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T\Documents\EJECUCIONES PRESUPUESTALES VIGENCIA 2020\"/>
    </mc:Choice>
  </mc:AlternateContent>
  <bookViews>
    <workbookView xWindow="0" yWindow="0" windowWidth="19200" windowHeight="7050" firstSheet="6" activeTab="6"/>
  </bookViews>
  <sheets>
    <sheet name="EJEC-ING.JULIO-2020" sheetId="9" state="hidden" r:id="rId1"/>
    <sheet name="EJEC-GASTOS-JULIO-2020" sheetId="8" state="hidden" r:id="rId2"/>
    <sheet name="Ingresos Marzo 2020" sheetId="4" state="hidden" r:id="rId3"/>
    <sheet name="Gastos Marzo 2020" sheetId="1" state="hidden" r:id="rId4"/>
    <sheet name="RESUMEN EJEC-INGRESOS" sheetId="14" state="hidden" r:id="rId5"/>
    <sheet name="RESUMEN EJEC-GASTOS" sheetId="12" state="hidden" r:id="rId6"/>
    <sheet name="EJEC-INGRESOS OCT-2020" sheetId="16" r:id="rId7"/>
    <sheet name="EJEC-OCT-2020" sheetId="17" r:id="rId8"/>
    <sheet name="PAC de Ingresos" sheetId="5" r:id="rId9"/>
    <sheet name="PAC de Gastos" sheetId="6" r:id="rId10"/>
    <sheet name="COMPARATIVO PAC ING-GASTOS" sheetId="11" r:id="rId11"/>
    <sheet name="FUENTES Y USOS" sheetId="10" state="hidden" r:id="rId12"/>
    <sheet name="Hoja1" sheetId="13" state="hidden" r:id="rId13"/>
  </sheets>
  <externalReferences>
    <externalReference r:id="rId14"/>
    <externalReference r:id="rId15"/>
    <externalReference r:id="rId16"/>
  </externalReferences>
  <definedNames>
    <definedName name="_xlnm._FilterDatabase" localSheetId="3" hidden="1">'Gastos Marzo 2020'!$A$5:$Q$398</definedName>
    <definedName name="_xlnm._FilterDatabase" localSheetId="2" hidden="1">'Ingresos Marzo 2020'!$A$4:$BT$166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30" i="16" l="1"/>
  <c r="D11" i="11" l="1"/>
  <c r="C11" i="11"/>
  <c r="F186" i="5"/>
  <c r="E186" i="5"/>
  <c r="D186" i="5"/>
  <c r="C186" i="5"/>
  <c r="B191" i="5"/>
  <c r="B190" i="5"/>
  <c r="B189" i="5"/>
  <c r="B188" i="5"/>
  <c r="B187" i="5"/>
  <c r="A191" i="5"/>
  <c r="A190" i="5"/>
  <c r="A189" i="5"/>
  <c r="A188" i="5"/>
  <c r="A187" i="5"/>
  <c r="AJ182" i="5" l="1"/>
  <c r="AJ181" i="5"/>
  <c r="AJ178" i="5"/>
  <c r="AJ177" i="5"/>
  <c r="AJ176" i="5"/>
  <c r="AJ175" i="5"/>
  <c r="AJ174" i="5"/>
  <c r="AJ173" i="5"/>
  <c r="AJ171" i="5"/>
  <c r="AJ170" i="5"/>
  <c r="AJ167" i="5"/>
  <c r="AJ165" i="5"/>
  <c r="AJ161" i="5"/>
  <c r="AJ160" i="5"/>
  <c r="AJ159" i="5"/>
  <c r="AJ158" i="5"/>
  <c r="AJ157" i="5"/>
  <c r="AJ156" i="5"/>
  <c r="AJ155" i="5"/>
  <c r="AJ154" i="5"/>
  <c r="AJ153" i="5"/>
  <c r="AJ151" i="5"/>
  <c r="AJ150" i="5"/>
  <c r="AJ149" i="5"/>
  <c r="AJ148" i="5"/>
  <c r="AJ147" i="5"/>
  <c r="AJ146" i="5"/>
  <c r="AJ142" i="5"/>
  <c r="AJ140" i="5"/>
  <c r="AJ138" i="5"/>
  <c r="AJ137" i="5"/>
  <c r="AJ136" i="5"/>
  <c r="AJ132" i="5"/>
  <c r="AJ131" i="5"/>
  <c r="AJ130" i="5"/>
  <c r="AJ129" i="5"/>
  <c r="AJ128" i="5"/>
  <c r="AJ127" i="5"/>
  <c r="AJ123" i="5"/>
  <c r="AJ122" i="5"/>
  <c r="AJ121" i="5"/>
  <c r="AJ119" i="5"/>
  <c r="AJ118" i="5"/>
  <c r="AJ117" i="5"/>
  <c r="AJ116" i="5"/>
  <c r="AJ115" i="5"/>
  <c r="AJ114" i="5"/>
  <c r="AJ113" i="5"/>
  <c r="AJ111" i="5"/>
  <c r="AJ109" i="5"/>
  <c r="AJ106" i="5"/>
  <c r="AJ104" i="5"/>
  <c r="AJ103" i="5"/>
  <c r="AJ101" i="5"/>
  <c r="AJ99" i="5"/>
  <c r="AJ98" i="5"/>
  <c r="AJ95" i="5"/>
  <c r="AJ94" i="5"/>
  <c r="AJ93" i="5"/>
  <c r="AJ90" i="5"/>
  <c r="AJ88" i="5"/>
  <c r="AJ87" i="5"/>
  <c r="AJ83" i="5"/>
  <c r="AJ76" i="5"/>
  <c r="AJ75" i="5"/>
  <c r="AJ74" i="5"/>
  <c r="AJ73" i="5"/>
  <c r="AJ72" i="5"/>
  <c r="AJ71" i="5"/>
  <c r="AJ70" i="5"/>
  <c r="AJ69" i="5"/>
  <c r="AJ68" i="5"/>
  <c r="AJ67" i="5"/>
  <c r="AJ66" i="5"/>
  <c r="AJ65" i="5"/>
  <c r="AJ64" i="5"/>
  <c r="AJ63" i="5"/>
  <c r="AJ62" i="5"/>
  <c r="AJ61" i="5"/>
  <c r="AJ60" i="5"/>
  <c r="AJ58" i="5"/>
  <c r="AJ57" i="5"/>
  <c r="AJ56" i="5"/>
  <c r="AJ55" i="5"/>
  <c r="AJ54" i="5"/>
  <c r="AJ53" i="5"/>
  <c r="AJ52" i="5"/>
  <c r="AJ51" i="5"/>
  <c r="AJ50" i="5"/>
  <c r="AJ49" i="5"/>
  <c r="AJ48" i="5"/>
  <c r="AJ47" i="5"/>
  <c r="AJ46" i="5"/>
  <c r="AJ45" i="5"/>
  <c r="AJ44" i="5"/>
  <c r="AJ43" i="5"/>
  <c r="AJ41" i="5"/>
  <c r="AJ40" i="5"/>
  <c r="AJ39" i="5"/>
  <c r="AJ38" i="5"/>
  <c r="AJ37" i="5"/>
  <c r="AJ35" i="5"/>
  <c r="AJ34" i="5"/>
  <c r="AJ33" i="5"/>
  <c r="AJ32" i="5"/>
  <c r="AJ30" i="5"/>
  <c r="AJ29" i="5"/>
  <c r="AJ28" i="5"/>
  <c r="AJ27" i="5"/>
  <c r="AJ26" i="5"/>
  <c r="AJ23" i="5"/>
  <c r="AJ21" i="5"/>
  <c r="AJ20" i="5"/>
  <c r="AJ19" i="5"/>
  <c r="AJ18" i="5"/>
  <c r="AJ17" i="5"/>
  <c r="AJ16" i="5"/>
  <c r="AJ15" i="5"/>
  <c r="AJ14" i="5"/>
  <c r="AJ12" i="5"/>
  <c r="AJ13" i="5"/>
  <c r="U160" i="5"/>
  <c r="T160" i="5"/>
  <c r="AV160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E169" i="5"/>
  <c r="E168" i="5" s="1"/>
  <c r="D169" i="5"/>
  <c r="D168" i="5" s="1"/>
  <c r="C169" i="5"/>
  <c r="C168" i="5" s="1"/>
  <c r="F167" i="5"/>
  <c r="F166" i="5" s="1"/>
  <c r="E166" i="5"/>
  <c r="D166" i="5"/>
  <c r="C166" i="5"/>
  <c r="F165" i="5"/>
  <c r="F164" i="5"/>
  <c r="E163" i="5"/>
  <c r="D163" i="5"/>
  <c r="C163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E145" i="5"/>
  <c r="E144" i="5" s="1"/>
  <c r="E143" i="5" s="1"/>
  <c r="D145" i="5"/>
  <c r="D144" i="5" s="1"/>
  <c r="D143" i="5" s="1"/>
  <c r="C145" i="5"/>
  <c r="C144" i="5" s="1"/>
  <c r="C143" i="5" s="1"/>
  <c r="F142" i="5"/>
  <c r="F141" i="5" s="1"/>
  <c r="E141" i="5"/>
  <c r="D141" i="5"/>
  <c r="C141" i="5"/>
  <c r="F140" i="5"/>
  <c r="F139" i="5"/>
  <c r="F138" i="5"/>
  <c r="F137" i="5"/>
  <c r="F136" i="5"/>
  <c r="E135" i="5"/>
  <c r="E134" i="5" s="1"/>
  <c r="E133" i="5" s="1"/>
  <c r="E126" i="5" s="1"/>
  <c r="E125" i="5" s="1"/>
  <c r="D135" i="5"/>
  <c r="D134" i="5" s="1"/>
  <c r="D133" i="5" s="1"/>
  <c r="D126" i="5" s="1"/>
  <c r="D125" i="5" s="1"/>
  <c r="C135" i="5"/>
  <c r="C134" i="5" s="1"/>
  <c r="C133" i="5" s="1"/>
  <c r="C126" i="5" s="1"/>
  <c r="C125" i="5" s="1"/>
  <c r="F132" i="5"/>
  <c r="F131" i="5"/>
  <c r="F130" i="5"/>
  <c r="F129" i="5"/>
  <c r="F128" i="5"/>
  <c r="F127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E110" i="5"/>
  <c r="E108" i="5" s="1"/>
  <c r="E107" i="5" s="1"/>
  <c r="E105" i="5" s="1"/>
  <c r="D110" i="5"/>
  <c r="D108" i="5" s="1"/>
  <c r="D107" i="5" s="1"/>
  <c r="D105" i="5" s="1"/>
  <c r="C110" i="5"/>
  <c r="C108" i="5" s="1"/>
  <c r="C107" i="5" s="1"/>
  <c r="C105" i="5" s="1"/>
  <c r="F109" i="5"/>
  <c r="F106" i="5"/>
  <c r="F103" i="5"/>
  <c r="F102" i="5" s="1"/>
  <c r="E102" i="5"/>
  <c r="D102" i="5"/>
  <c r="C102" i="5"/>
  <c r="F101" i="5"/>
  <c r="F100" i="5" s="1"/>
  <c r="E100" i="5"/>
  <c r="D100" i="5"/>
  <c r="C100" i="5"/>
  <c r="F99" i="5"/>
  <c r="F98" i="5"/>
  <c r="F97" i="5"/>
  <c r="F96" i="5"/>
  <c r="F95" i="5"/>
  <c r="F94" i="5"/>
  <c r="F93" i="5"/>
  <c r="E92" i="5"/>
  <c r="E91" i="5" s="1"/>
  <c r="D92" i="5"/>
  <c r="D91" i="5" s="1"/>
  <c r="C92" i="5"/>
  <c r="C91" i="5" s="1"/>
  <c r="F90" i="5"/>
  <c r="F89" i="5"/>
  <c r="F88" i="5"/>
  <c r="F87" i="5"/>
  <c r="F86" i="5"/>
  <c r="E85" i="5"/>
  <c r="D85" i="5"/>
  <c r="C85" i="5"/>
  <c r="F83" i="5"/>
  <c r="E82" i="5"/>
  <c r="C82" i="5"/>
  <c r="F82" i="5" s="1"/>
  <c r="F80" i="5"/>
  <c r="F79" i="5" s="1"/>
  <c r="F78" i="5" s="1"/>
  <c r="E79" i="5"/>
  <c r="E78" i="5" s="1"/>
  <c r="D79" i="5"/>
  <c r="D78" i="5" s="1"/>
  <c r="C79" i="5"/>
  <c r="C78" i="5" s="1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E42" i="5"/>
  <c r="D42" i="5"/>
  <c r="C42" i="5"/>
  <c r="F41" i="5"/>
  <c r="F40" i="5"/>
  <c r="F39" i="5"/>
  <c r="F38" i="5"/>
  <c r="F37" i="5"/>
  <c r="E36" i="5"/>
  <c r="D36" i="5"/>
  <c r="C36" i="5"/>
  <c r="F35" i="5"/>
  <c r="F34" i="5"/>
  <c r="F33" i="5"/>
  <c r="F32" i="5"/>
  <c r="E31" i="5"/>
  <c r="D31" i="5"/>
  <c r="C31" i="5"/>
  <c r="F30" i="5"/>
  <c r="F29" i="5"/>
  <c r="F28" i="5"/>
  <c r="F27" i="5"/>
  <c r="F26" i="5"/>
  <c r="E25" i="5"/>
  <c r="D25" i="5"/>
  <c r="C25" i="5"/>
  <c r="F23" i="5"/>
  <c r="F22" i="5"/>
  <c r="F21" i="5"/>
  <c r="F20" i="5"/>
  <c r="F19" i="5"/>
  <c r="F18" i="5"/>
  <c r="F17" i="5"/>
  <c r="F16" i="5"/>
  <c r="F15" i="5"/>
  <c r="F14" i="5"/>
  <c r="F13" i="5"/>
  <c r="F12" i="5"/>
  <c r="E11" i="5"/>
  <c r="E10" i="5" s="1"/>
  <c r="D11" i="5"/>
  <c r="D10" i="5" s="1"/>
  <c r="C11" i="5"/>
  <c r="C10" i="5" s="1"/>
  <c r="T182" i="5"/>
  <c r="T181" i="5"/>
  <c r="T180" i="5"/>
  <c r="T179" i="5"/>
  <c r="T178" i="5"/>
  <c r="T177" i="5"/>
  <c r="T176" i="5"/>
  <c r="T175" i="5"/>
  <c r="T174" i="5"/>
  <c r="T173" i="5"/>
  <c r="T172" i="5"/>
  <c r="T171" i="5"/>
  <c r="T170" i="5"/>
  <c r="T169" i="5"/>
  <c r="T167" i="5"/>
  <c r="T165" i="5"/>
  <c r="T164" i="5"/>
  <c r="T161" i="5"/>
  <c r="T159" i="5"/>
  <c r="T158" i="5"/>
  <c r="T157" i="5"/>
  <c r="T156" i="5"/>
  <c r="T155" i="5"/>
  <c r="T154" i="5"/>
  <c r="T153" i="5"/>
  <c r="T152" i="5"/>
  <c r="T151" i="5"/>
  <c r="T150" i="5"/>
  <c r="T149" i="5"/>
  <c r="T148" i="5"/>
  <c r="T147" i="5"/>
  <c r="T146" i="5"/>
  <c r="T142" i="5"/>
  <c r="T140" i="5"/>
  <c r="T139" i="5"/>
  <c r="T138" i="5"/>
  <c r="T137" i="5"/>
  <c r="T136" i="5"/>
  <c r="T132" i="5"/>
  <c r="T131" i="5"/>
  <c r="T130" i="5"/>
  <c r="T129" i="5"/>
  <c r="T128" i="5"/>
  <c r="T127" i="5"/>
  <c r="T123" i="5"/>
  <c r="T122" i="5"/>
  <c r="T121" i="5"/>
  <c r="T120" i="5"/>
  <c r="T119" i="5"/>
  <c r="T118" i="5"/>
  <c r="T117" i="5"/>
  <c r="T116" i="5"/>
  <c r="T115" i="5"/>
  <c r="T114" i="5"/>
  <c r="T113" i="5"/>
  <c r="T112" i="5"/>
  <c r="T111" i="5"/>
  <c r="T109" i="5"/>
  <c r="T106" i="5"/>
  <c r="T104" i="5"/>
  <c r="T103" i="5"/>
  <c r="T101" i="5"/>
  <c r="T99" i="5"/>
  <c r="T98" i="5"/>
  <c r="T97" i="5"/>
  <c r="T96" i="5"/>
  <c r="T95" i="5"/>
  <c r="T94" i="5"/>
  <c r="T93" i="5"/>
  <c r="T90" i="5"/>
  <c r="T89" i="5"/>
  <c r="T88" i="5"/>
  <c r="T87" i="5"/>
  <c r="T86" i="5"/>
  <c r="T83" i="5"/>
  <c r="T80" i="5"/>
  <c r="T77" i="5"/>
  <c r="T76" i="5"/>
  <c r="T75" i="5"/>
  <c r="T74" i="5"/>
  <c r="T73" i="5"/>
  <c r="T72" i="5"/>
  <c r="T71" i="5"/>
  <c r="T70" i="5"/>
  <c r="T69" i="5"/>
  <c r="T68" i="5"/>
  <c r="T67" i="5"/>
  <c r="T66" i="5"/>
  <c r="T65" i="5"/>
  <c r="T64" i="5"/>
  <c r="T63" i="5"/>
  <c r="T62" i="5"/>
  <c r="T61" i="5"/>
  <c r="T60" i="5"/>
  <c r="T59" i="5"/>
  <c r="T58" i="5"/>
  <c r="T57" i="5"/>
  <c r="T56" i="5"/>
  <c r="T55" i="5"/>
  <c r="T54" i="5"/>
  <c r="T53" i="5"/>
  <c r="T52" i="5"/>
  <c r="T51" i="5"/>
  <c r="T50" i="5"/>
  <c r="T49" i="5"/>
  <c r="T47" i="5"/>
  <c r="T46" i="5"/>
  <c r="T45" i="5"/>
  <c r="T44" i="5"/>
  <c r="T43" i="5"/>
  <c r="T41" i="5"/>
  <c r="T40" i="5"/>
  <c r="T39" i="5"/>
  <c r="T38" i="5"/>
  <c r="T37" i="5"/>
  <c r="T35" i="5"/>
  <c r="T34" i="5"/>
  <c r="T33" i="5"/>
  <c r="T32" i="5"/>
  <c r="T30" i="5"/>
  <c r="T29" i="5"/>
  <c r="T28" i="5"/>
  <c r="T27" i="5"/>
  <c r="T26" i="5"/>
  <c r="T23" i="5"/>
  <c r="T22" i="5"/>
  <c r="T21" i="5"/>
  <c r="T20" i="5"/>
  <c r="T19" i="5"/>
  <c r="T18" i="5"/>
  <c r="T17" i="5"/>
  <c r="T16" i="5"/>
  <c r="T15" i="5"/>
  <c r="T14" i="5"/>
  <c r="T12" i="5"/>
  <c r="AW95" i="5" l="1"/>
  <c r="AW159" i="5"/>
  <c r="AW39" i="5"/>
  <c r="AW103" i="5"/>
  <c r="AW23" i="5"/>
  <c r="AW15" i="5"/>
  <c r="AW26" i="5"/>
  <c r="AW35" i="5"/>
  <c r="AW45" i="5"/>
  <c r="AW62" i="5"/>
  <c r="AW70" i="5"/>
  <c r="AW87" i="5"/>
  <c r="AW101" i="5"/>
  <c r="AW127" i="5"/>
  <c r="AW138" i="5"/>
  <c r="AW160" i="5"/>
  <c r="AW175" i="5"/>
  <c r="AW63" i="5"/>
  <c r="AW71" i="5"/>
  <c r="AW167" i="5"/>
  <c r="AW119" i="5"/>
  <c r="AW111" i="5"/>
  <c r="AW16" i="5"/>
  <c r="AW27" i="5"/>
  <c r="AW37" i="5"/>
  <c r="AW46" i="5"/>
  <c r="AW54" i="5"/>
  <c r="AW88" i="5"/>
  <c r="AW116" i="5"/>
  <c r="AW128" i="5"/>
  <c r="AW140" i="5"/>
  <c r="AW153" i="5"/>
  <c r="AW161" i="5"/>
  <c r="AW176" i="5"/>
  <c r="AW151" i="5"/>
  <c r="AW17" i="5"/>
  <c r="AW28" i="5"/>
  <c r="AW38" i="5"/>
  <c r="AW47" i="5"/>
  <c r="AW55" i="5"/>
  <c r="AW64" i="5"/>
  <c r="AW72" i="5"/>
  <c r="AW90" i="5"/>
  <c r="AW104" i="5"/>
  <c r="AW117" i="5"/>
  <c r="AW129" i="5"/>
  <c r="AW142" i="5"/>
  <c r="AW154" i="5"/>
  <c r="AW165" i="5"/>
  <c r="AW177" i="5"/>
  <c r="AW18" i="5"/>
  <c r="AW29" i="5"/>
  <c r="AW56" i="5"/>
  <c r="AW65" i="5"/>
  <c r="AW73" i="5"/>
  <c r="AW93" i="5"/>
  <c r="AW106" i="5"/>
  <c r="AW118" i="5"/>
  <c r="AW130" i="5"/>
  <c r="AW146" i="5"/>
  <c r="AW155" i="5"/>
  <c r="AW178" i="5"/>
  <c r="AW19" i="5"/>
  <c r="AW30" i="5"/>
  <c r="AW40" i="5"/>
  <c r="AW49" i="5"/>
  <c r="AW57" i="5"/>
  <c r="AW66" i="5"/>
  <c r="AW74" i="5"/>
  <c r="AW94" i="5"/>
  <c r="AW109" i="5"/>
  <c r="AW131" i="5"/>
  <c r="AW147" i="5"/>
  <c r="AW156" i="5"/>
  <c r="AW170" i="5"/>
  <c r="AW181" i="5"/>
  <c r="AW20" i="5"/>
  <c r="AW32" i="5"/>
  <c r="AW41" i="5"/>
  <c r="AW50" i="5"/>
  <c r="AW58" i="5"/>
  <c r="AW67" i="5"/>
  <c r="AW75" i="5"/>
  <c r="AW121" i="5"/>
  <c r="AW132" i="5"/>
  <c r="AW148" i="5"/>
  <c r="AW157" i="5"/>
  <c r="AW171" i="5"/>
  <c r="AW182" i="5"/>
  <c r="AW53" i="5"/>
  <c r="AW12" i="5"/>
  <c r="AW21" i="5"/>
  <c r="AW33" i="5"/>
  <c r="AW43" i="5"/>
  <c r="AW51" i="5"/>
  <c r="AW60" i="5"/>
  <c r="AW68" i="5"/>
  <c r="AW76" i="5"/>
  <c r="AW98" i="5"/>
  <c r="AW113" i="5"/>
  <c r="AW122" i="5"/>
  <c r="AW136" i="5"/>
  <c r="AW149" i="5"/>
  <c r="AW158" i="5"/>
  <c r="AW173" i="5"/>
  <c r="AW115" i="5"/>
  <c r="AW14" i="5"/>
  <c r="AW34" i="5"/>
  <c r="AW44" i="5"/>
  <c r="AW52" i="5"/>
  <c r="AW61" i="5"/>
  <c r="AW69" i="5"/>
  <c r="AW83" i="5"/>
  <c r="AW99" i="5"/>
  <c r="AW114" i="5"/>
  <c r="AW123" i="5"/>
  <c r="AW137" i="5"/>
  <c r="AW150" i="5"/>
  <c r="AW174" i="5"/>
  <c r="C24" i="5"/>
  <c r="C9" i="5" s="1"/>
  <c r="C8" i="5" s="1"/>
  <c r="C7" i="5" s="1"/>
  <c r="C6" i="5" s="1"/>
  <c r="D24" i="5"/>
  <c r="D9" i="5" s="1"/>
  <c r="D8" i="5" s="1"/>
  <c r="D7" i="5" s="1"/>
  <c r="D6" i="5" s="1"/>
  <c r="F135" i="5"/>
  <c r="F134" i="5" s="1"/>
  <c r="F133" i="5" s="1"/>
  <c r="F126" i="5" s="1"/>
  <c r="F125" i="5" s="1"/>
  <c r="F31" i="5"/>
  <c r="F36" i="5"/>
  <c r="F163" i="5"/>
  <c r="F110" i="5"/>
  <c r="F108" i="5" s="1"/>
  <c r="F107" i="5" s="1"/>
  <c r="F105" i="5" s="1"/>
  <c r="F145" i="5"/>
  <c r="F144" i="5" s="1"/>
  <c r="F143" i="5" s="1"/>
  <c r="C84" i="5"/>
  <c r="C81" i="5" s="1"/>
  <c r="D84" i="5"/>
  <c r="D81" i="5" s="1"/>
  <c r="E84" i="5"/>
  <c r="E81" i="5" s="1"/>
  <c r="F85" i="5"/>
  <c r="F42" i="5"/>
  <c r="F169" i="5"/>
  <c r="F168" i="5" s="1"/>
  <c r="E24" i="5"/>
  <c r="E9" i="5" s="1"/>
  <c r="E8" i="5" s="1"/>
  <c r="E7" i="5" s="1"/>
  <c r="E6" i="5" s="1"/>
  <c r="F11" i="5"/>
  <c r="F10" i="5" s="1"/>
  <c r="F92" i="5"/>
  <c r="F91" i="5" s="1"/>
  <c r="F25" i="5"/>
  <c r="C162" i="5"/>
  <c r="C191" i="5" s="1"/>
  <c r="E124" i="5"/>
  <c r="E190" i="5" s="1"/>
  <c r="C124" i="5"/>
  <c r="C190" i="5" s="1"/>
  <c r="D162" i="5"/>
  <c r="D191" i="5" s="1"/>
  <c r="D124" i="5"/>
  <c r="D190" i="5" s="1"/>
  <c r="E162" i="5"/>
  <c r="E191" i="5" s="1"/>
  <c r="H28" i="16"/>
  <c r="H27" i="16" s="1"/>
  <c r="I14" i="16"/>
  <c r="I13" i="16" s="1"/>
  <c r="H14" i="16"/>
  <c r="H13" i="16" s="1"/>
  <c r="G14" i="16"/>
  <c r="G13" i="16" s="1"/>
  <c r="E14" i="16"/>
  <c r="E13" i="16" s="1"/>
  <c r="D14" i="16"/>
  <c r="D13" i="16" s="1"/>
  <c r="I172" i="16"/>
  <c r="I171" i="16" s="1"/>
  <c r="G172" i="16"/>
  <c r="G171" i="16" s="1"/>
  <c r="E172" i="16"/>
  <c r="E171" i="16" s="1"/>
  <c r="D172" i="16"/>
  <c r="D171" i="16" s="1"/>
  <c r="I169" i="16"/>
  <c r="G169" i="16"/>
  <c r="E169" i="16"/>
  <c r="D169" i="16"/>
  <c r="I166" i="16"/>
  <c r="G166" i="16"/>
  <c r="E166" i="16"/>
  <c r="D166" i="16"/>
  <c r="I148" i="16"/>
  <c r="I147" i="16" s="1"/>
  <c r="I146" i="16" s="1"/>
  <c r="G148" i="16"/>
  <c r="G147" i="16" s="1"/>
  <c r="G146" i="16" s="1"/>
  <c r="E148" i="16"/>
  <c r="E147" i="16" s="1"/>
  <c r="E146" i="16" s="1"/>
  <c r="D148" i="16"/>
  <c r="D147" i="16" s="1"/>
  <c r="D146" i="16" s="1"/>
  <c r="I144" i="16"/>
  <c r="G144" i="16"/>
  <c r="E144" i="16"/>
  <c r="D144" i="16"/>
  <c r="I138" i="16"/>
  <c r="I137" i="16" s="1"/>
  <c r="I136" i="16" s="1"/>
  <c r="G138" i="16"/>
  <c r="G137" i="16" s="1"/>
  <c r="G136" i="16" s="1"/>
  <c r="E138" i="16"/>
  <c r="E137" i="16" s="1"/>
  <c r="E136" i="16" s="1"/>
  <c r="D138" i="16"/>
  <c r="D137" i="16" s="1"/>
  <c r="D136" i="16" s="1"/>
  <c r="I113" i="16"/>
  <c r="I111" i="16" s="1"/>
  <c r="I110" i="16" s="1"/>
  <c r="I108" i="16" s="1"/>
  <c r="G113" i="16"/>
  <c r="G111" i="16" s="1"/>
  <c r="G110" i="16" s="1"/>
  <c r="G108" i="16" s="1"/>
  <c r="E113" i="16"/>
  <c r="D113" i="16"/>
  <c r="D111" i="16" s="1"/>
  <c r="D110" i="16" s="1"/>
  <c r="D108" i="16" s="1"/>
  <c r="I105" i="16"/>
  <c r="G105" i="16"/>
  <c r="E105" i="16"/>
  <c r="D105" i="16"/>
  <c r="I103" i="16"/>
  <c r="G103" i="16"/>
  <c r="E103" i="16"/>
  <c r="D103" i="16"/>
  <c r="I95" i="16"/>
  <c r="I94" i="16" s="1"/>
  <c r="G95" i="16"/>
  <c r="G94" i="16" s="1"/>
  <c r="E95" i="16"/>
  <c r="E94" i="16" s="1"/>
  <c r="D95" i="16"/>
  <c r="D94" i="16" s="1"/>
  <c r="I88" i="16"/>
  <c r="G88" i="16"/>
  <c r="E88" i="16"/>
  <c r="D88" i="16"/>
  <c r="I82" i="16"/>
  <c r="I81" i="16" s="1"/>
  <c r="G82" i="16"/>
  <c r="G81" i="16" s="1"/>
  <c r="E82" i="16"/>
  <c r="E81" i="16" s="1"/>
  <c r="D82" i="16"/>
  <c r="D81" i="16" s="1"/>
  <c r="I45" i="16"/>
  <c r="G45" i="16"/>
  <c r="E45" i="16"/>
  <c r="D45" i="16"/>
  <c r="I39" i="16"/>
  <c r="G39" i="16"/>
  <c r="E39" i="16"/>
  <c r="D39" i="16"/>
  <c r="I34" i="16"/>
  <c r="G34" i="16"/>
  <c r="E34" i="16"/>
  <c r="D34" i="16"/>
  <c r="I28" i="16"/>
  <c r="G28" i="16"/>
  <c r="E28" i="16"/>
  <c r="D28" i="16"/>
  <c r="F185" i="16"/>
  <c r="J185" i="16" s="1"/>
  <c r="F184" i="16"/>
  <c r="J184" i="16" s="1"/>
  <c r="F183" i="16"/>
  <c r="J183" i="16" s="1"/>
  <c r="F182" i="16"/>
  <c r="J182" i="16" s="1"/>
  <c r="F181" i="16"/>
  <c r="J181" i="16" s="1"/>
  <c r="F180" i="16"/>
  <c r="J180" i="16" s="1"/>
  <c r="F179" i="16"/>
  <c r="J179" i="16" s="1"/>
  <c r="F178" i="16"/>
  <c r="J178" i="16" s="1"/>
  <c r="F177" i="16"/>
  <c r="J177" i="16" s="1"/>
  <c r="F176" i="16"/>
  <c r="J176" i="16" s="1"/>
  <c r="F175" i="16"/>
  <c r="J175" i="16" s="1"/>
  <c r="F174" i="16"/>
  <c r="J174" i="16" s="1"/>
  <c r="F173" i="16"/>
  <c r="J173" i="16" s="1"/>
  <c r="F170" i="16"/>
  <c r="F169" i="16" s="1"/>
  <c r="F168" i="16"/>
  <c r="J168" i="16" s="1"/>
  <c r="F167" i="16"/>
  <c r="J167" i="16" s="1"/>
  <c r="F164" i="16"/>
  <c r="J164" i="16" s="1"/>
  <c r="F163" i="16"/>
  <c r="J163" i="16" s="1"/>
  <c r="F162" i="16"/>
  <c r="J162" i="16" s="1"/>
  <c r="F161" i="16"/>
  <c r="J161" i="16" s="1"/>
  <c r="F160" i="16"/>
  <c r="J160" i="16" s="1"/>
  <c r="F159" i="16"/>
  <c r="J159" i="16" s="1"/>
  <c r="F158" i="16"/>
  <c r="J158" i="16" s="1"/>
  <c r="F157" i="16"/>
  <c r="J157" i="16" s="1"/>
  <c r="F156" i="16"/>
  <c r="J156" i="16" s="1"/>
  <c r="F155" i="16"/>
  <c r="J155" i="16" s="1"/>
  <c r="F154" i="16"/>
  <c r="J154" i="16" s="1"/>
  <c r="F153" i="16"/>
  <c r="J153" i="16" s="1"/>
  <c r="F152" i="16"/>
  <c r="J152" i="16" s="1"/>
  <c r="F151" i="16"/>
  <c r="J151" i="16" s="1"/>
  <c r="F150" i="16"/>
  <c r="J150" i="16" s="1"/>
  <c r="F149" i="16"/>
  <c r="J149" i="16" s="1"/>
  <c r="F145" i="16"/>
  <c r="F144" i="16" s="1"/>
  <c r="J144" i="16" s="1"/>
  <c r="F143" i="16"/>
  <c r="J143" i="16" s="1"/>
  <c r="F142" i="16"/>
  <c r="J142" i="16" s="1"/>
  <c r="F141" i="16"/>
  <c r="J141" i="16" s="1"/>
  <c r="F140" i="16"/>
  <c r="J140" i="16" s="1"/>
  <c r="F139" i="16"/>
  <c r="J139" i="16" s="1"/>
  <c r="F135" i="16"/>
  <c r="J135" i="16" s="1"/>
  <c r="F134" i="16"/>
  <c r="J134" i="16" s="1"/>
  <c r="F133" i="16"/>
  <c r="J133" i="16" s="1"/>
  <c r="F132" i="16"/>
  <c r="J132" i="16" s="1"/>
  <c r="F131" i="16"/>
  <c r="J131" i="16" s="1"/>
  <c r="F130" i="16"/>
  <c r="F126" i="16"/>
  <c r="J126" i="16" s="1"/>
  <c r="F125" i="16"/>
  <c r="J125" i="16" s="1"/>
  <c r="F124" i="16"/>
  <c r="J124" i="16" s="1"/>
  <c r="F123" i="16"/>
  <c r="J123" i="16" s="1"/>
  <c r="F122" i="16"/>
  <c r="J122" i="16" s="1"/>
  <c r="F121" i="16"/>
  <c r="J121" i="16" s="1"/>
  <c r="F120" i="16"/>
  <c r="J120" i="16" s="1"/>
  <c r="F119" i="16"/>
  <c r="J119" i="16" s="1"/>
  <c r="F118" i="16"/>
  <c r="J118" i="16" s="1"/>
  <c r="F117" i="16"/>
  <c r="J117" i="16" s="1"/>
  <c r="F116" i="16"/>
  <c r="J116" i="16" s="1"/>
  <c r="F115" i="16"/>
  <c r="J115" i="16" s="1"/>
  <c r="F114" i="16"/>
  <c r="J114" i="16" s="1"/>
  <c r="F112" i="16"/>
  <c r="J112" i="16" s="1"/>
  <c r="F109" i="16"/>
  <c r="J109" i="16" s="1"/>
  <c r="F106" i="16"/>
  <c r="F105" i="16" s="1"/>
  <c r="F104" i="16"/>
  <c r="F103" i="16" s="1"/>
  <c r="F102" i="16"/>
  <c r="J102" i="16" s="1"/>
  <c r="F101" i="16"/>
  <c r="J101" i="16" s="1"/>
  <c r="F100" i="16"/>
  <c r="J100" i="16" s="1"/>
  <c r="F99" i="16"/>
  <c r="J99" i="16" s="1"/>
  <c r="F98" i="16"/>
  <c r="J98" i="16" s="1"/>
  <c r="F97" i="16"/>
  <c r="J97" i="16" s="1"/>
  <c r="F96" i="16"/>
  <c r="J96" i="16" s="1"/>
  <c r="F93" i="16"/>
  <c r="J93" i="16" s="1"/>
  <c r="F92" i="16"/>
  <c r="J92" i="16" s="1"/>
  <c r="F91" i="16"/>
  <c r="J91" i="16" s="1"/>
  <c r="F90" i="16"/>
  <c r="J90" i="16" s="1"/>
  <c r="F89" i="16"/>
  <c r="J89" i="16" s="1"/>
  <c r="F86" i="16"/>
  <c r="J86" i="16" s="1"/>
  <c r="F83" i="16"/>
  <c r="F82" i="16" s="1"/>
  <c r="F81" i="16" s="1"/>
  <c r="F80" i="16"/>
  <c r="J80" i="16" s="1"/>
  <c r="F79" i="16"/>
  <c r="J79" i="16" s="1"/>
  <c r="F78" i="16"/>
  <c r="J78" i="16" s="1"/>
  <c r="F77" i="16"/>
  <c r="J77" i="16" s="1"/>
  <c r="F76" i="16"/>
  <c r="J76" i="16" s="1"/>
  <c r="F75" i="16"/>
  <c r="J75" i="16" s="1"/>
  <c r="F74" i="16"/>
  <c r="J74" i="16" s="1"/>
  <c r="F73" i="16"/>
  <c r="J73" i="16" s="1"/>
  <c r="F72" i="16"/>
  <c r="J72" i="16" s="1"/>
  <c r="F71" i="16"/>
  <c r="J71" i="16" s="1"/>
  <c r="F70" i="16"/>
  <c r="J70" i="16" s="1"/>
  <c r="F69" i="16"/>
  <c r="J69" i="16" s="1"/>
  <c r="F68" i="16"/>
  <c r="J68" i="16" s="1"/>
  <c r="F67" i="16"/>
  <c r="J67" i="16" s="1"/>
  <c r="F66" i="16"/>
  <c r="J66" i="16" s="1"/>
  <c r="F65" i="16"/>
  <c r="J65" i="16" s="1"/>
  <c r="F64" i="16"/>
  <c r="J64" i="16" s="1"/>
  <c r="F63" i="16"/>
  <c r="J63" i="16" s="1"/>
  <c r="F62" i="16"/>
  <c r="J62" i="16" s="1"/>
  <c r="F61" i="16"/>
  <c r="J61" i="16" s="1"/>
  <c r="F60" i="16"/>
  <c r="J60" i="16" s="1"/>
  <c r="F59" i="16"/>
  <c r="J59" i="16" s="1"/>
  <c r="F58" i="16"/>
  <c r="J58" i="16" s="1"/>
  <c r="F57" i="16"/>
  <c r="J57" i="16" s="1"/>
  <c r="F56" i="16"/>
  <c r="J56" i="16" s="1"/>
  <c r="F55" i="16"/>
  <c r="J55" i="16" s="1"/>
  <c r="F54" i="16"/>
  <c r="J54" i="16" s="1"/>
  <c r="F53" i="16"/>
  <c r="J53" i="16" s="1"/>
  <c r="F52" i="16"/>
  <c r="J52" i="16" s="1"/>
  <c r="F51" i="16"/>
  <c r="J51" i="16" s="1"/>
  <c r="F50" i="16"/>
  <c r="J50" i="16" s="1"/>
  <c r="F49" i="16"/>
  <c r="J49" i="16" s="1"/>
  <c r="F48" i="16"/>
  <c r="J48" i="16" s="1"/>
  <c r="F47" i="16"/>
  <c r="J47" i="16" s="1"/>
  <c r="F46" i="16"/>
  <c r="J46" i="16" s="1"/>
  <c r="F44" i="16"/>
  <c r="J44" i="16" s="1"/>
  <c r="F43" i="16"/>
  <c r="J43" i="16" s="1"/>
  <c r="F42" i="16"/>
  <c r="J42" i="16" s="1"/>
  <c r="F41" i="16"/>
  <c r="J41" i="16" s="1"/>
  <c r="F40" i="16"/>
  <c r="J40" i="16" s="1"/>
  <c r="F38" i="16"/>
  <c r="J38" i="16" s="1"/>
  <c r="F37" i="16"/>
  <c r="J37" i="16" s="1"/>
  <c r="F36" i="16"/>
  <c r="J36" i="16" s="1"/>
  <c r="F35" i="16"/>
  <c r="J35" i="16" s="1"/>
  <c r="F33" i="16"/>
  <c r="J33" i="16" s="1"/>
  <c r="F32" i="16"/>
  <c r="J32" i="16" s="1"/>
  <c r="F31" i="16"/>
  <c r="J31" i="16" s="1"/>
  <c r="F30" i="16"/>
  <c r="J30" i="16" s="1"/>
  <c r="F29" i="16"/>
  <c r="J29" i="16" s="1"/>
  <c r="F26" i="16"/>
  <c r="J26" i="16" s="1"/>
  <c r="F25" i="16"/>
  <c r="J25" i="16" s="1"/>
  <c r="F24" i="16"/>
  <c r="J24" i="16" s="1"/>
  <c r="F23" i="16"/>
  <c r="J23" i="16" s="1"/>
  <c r="F22" i="16"/>
  <c r="J22" i="16" s="1"/>
  <c r="F21" i="16"/>
  <c r="J21" i="16" s="1"/>
  <c r="F20" i="16"/>
  <c r="J20" i="16" s="1"/>
  <c r="F19" i="16"/>
  <c r="J19" i="16" s="1"/>
  <c r="F18" i="16"/>
  <c r="J18" i="16" s="1"/>
  <c r="F17" i="16"/>
  <c r="J17" i="16" s="1"/>
  <c r="F16" i="16"/>
  <c r="J16" i="16" s="1"/>
  <c r="J130" i="16" l="1"/>
  <c r="P130" i="16"/>
  <c r="Q130" i="16" s="1"/>
  <c r="F162" i="5"/>
  <c r="F191" i="5" s="1"/>
  <c r="C5" i="5"/>
  <c r="C189" i="5" s="1"/>
  <c r="J105" i="16"/>
  <c r="F24" i="5"/>
  <c r="F9" i="5" s="1"/>
  <c r="F8" i="5" s="1"/>
  <c r="F7" i="5" s="1"/>
  <c r="F6" i="5" s="1"/>
  <c r="E5" i="5"/>
  <c r="F124" i="5"/>
  <c r="F190" i="5" s="1"/>
  <c r="F84" i="5"/>
  <c r="F81" i="5" s="1"/>
  <c r="D5" i="5"/>
  <c r="J169" i="16"/>
  <c r="J103" i="16"/>
  <c r="J81" i="16"/>
  <c r="J106" i="16"/>
  <c r="J82" i="16"/>
  <c r="J170" i="16"/>
  <c r="J83" i="16"/>
  <c r="J104" i="16"/>
  <c r="J145" i="16"/>
  <c r="H12" i="16"/>
  <c r="H11" i="16" s="1"/>
  <c r="H10" i="16" s="1"/>
  <c r="H9" i="16" s="1"/>
  <c r="H8" i="16" s="1"/>
  <c r="H7" i="16" s="1"/>
  <c r="H6" i="16" s="1"/>
  <c r="H5" i="16" s="1"/>
  <c r="F166" i="16"/>
  <c r="J166" i="16" s="1"/>
  <c r="F172" i="16"/>
  <c r="G129" i="16"/>
  <c r="G128" i="16" s="1"/>
  <c r="G127" i="16" s="1"/>
  <c r="I129" i="16"/>
  <c r="I128" i="16" s="1"/>
  <c r="I127" i="16" s="1"/>
  <c r="I165" i="16"/>
  <c r="D165" i="16"/>
  <c r="G165" i="16"/>
  <c r="D129" i="16"/>
  <c r="D128" i="16" s="1"/>
  <c r="D127" i="16" s="1"/>
  <c r="F148" i="16"/>
  <c r="F138" i="16"/>
  <c r="F113" i="16"/>
  <c r="J113" i="16" s="1"/>
  <c r="F95" i="16"/>
  <c r="I87" i="16"/>
  <c r="I84" i="16" s="1"/>
  <c r="G87" i="16"/>
  <c r="G84" i="16" s="1"/>
  <c r="D87" i="16"/>
  <c r="D84" i="16" s="1"/>
  <c r="F88" i="16"/>
  <c r="J88" i="16" s="1"/>
  <c r="F34" i="16"/>
  <c r="J34" i="16" s="1"/>
  <c r="G27" i="16"/>
  <c r="G12" i="16" s="1"/>
  <c r="G11" i="16" s="1"/>
  <c r="G10" i="16" s="1"/>
  <c r="G9" i="16" s="1"/>
  <c r="F45" i="16"/>
  <c r="J45" i="16" s="1"/>
  <c r="F39" i="16"/>
  <c r="J39" i="16" s="1"/>
  <c r="D27" i="16"/>
  <c r="D12" i="16" s="1"/>
  <c r="D11" i="16" s="1"/>
  <c r="D10" i="16" s="1"/>
  <c r="D9" i="16" s="1"/>
  <c r="I27" i="16"/>
  <c r="I12" i="16" s="1"/>
  <c r="I11" i="16" s="1"/>
  <c r="I10" i="16" s="1"/>
  <c r="I9" i="16" s="1"/>
  <c r="F28" i="16"/>
  <c r="J28" i="16" s="1"/>
  <c r="C4" i="5" l="1"/>
  <c r="C3" i="5" s="1"/>
  <c r="C2" i="5" s="1"/>
  <c r="C187" i="5" s="1"/>
  <c r="D4" i="5"/>
  <c r="D3" i="5" s="1"/>
  <c r="D189" i="5"/>
  <c r="E4" i="5"/>
  <c r="E3" i="5" s="1"/>
  <c r="E189" i="5"/>
  <c r="F5" i="5"/>
  <c r="I8" i="16"/>
  <c r="I7" i="16" s="1"/>
  <c r="I6" i="16" s="1"/>
  <c r="I5" i="16" s="1"/>
  <c r="F94" i="16"/>
  <c r="J94" i="16" s="1"/>
  <c r="J95" i="16"/>
  <c r="F171" i="16"/>
  <c r="J171" i="16" s="1"/>
  <c r="J172" i="16"/>
  <c r="F147" i="16"/>
  <c r="J148" i="16"/>
  <c r="F137" i="16"/>
  <c r="J138" i="16"/>
  <c r="G8" i="16"/>
  <c r="G7" i="16" s="1"/>
  <c r="G6" i="16" s="1"/>
  <c r="G5" i="16" s="1"/>
  <c r="D8" i="16"/>
  <c r="D7" i="16" s="1"/>
  <c r="D6" i="16" s="1"/>
  <c r="D5" i="16" s="1"/>
  <c r="C188" i="5" l="1"/>
  <c r="F4" i="5"/>
  <c r="F3" i="5" s="1"/>
  <c r="F189" i="5"/>
  <c r="E2" i="5"/>
  <c r="E187" i="5" s="1"/>
  <c r="E188" i="5"/>
  <c r="D2" i="5"/>
  <c r="D187" i="5" s="1"/>
  <c r="D188" i="5"/>
  <c r="F146" i="16"/>
  <c r="J146" i="16" s="1"/>
  <c r="J147" i="16"/>
  <c r="F136" i="16"/>
  <c r="J136" i="16" s="1"/>
  <c r="J137" i="16"/>
  <c r="F2" i="5" l="1"/>
  <c r="F187" i="5" s="1"/>
  <c r="F188" i="5"/>
  <c r="U412" i="6"/>
  <c r="U411" i="6"/>
  <c r="U410" i="6"/>
  <c r="U409" i="6"/>
  <c r="U408" i="6"/>
  <c r="U406" i="6"/>
  <c r="U405" i="6"/>
  <c r="U404" i="6"/>
  <c r="U403" i="6"/>
  <c r="U402" i="6"/>
  <c r="U401" i="6"/>
  <c r="U400" i="6"/>
  <c r="U399" i="6"/>
  <c r="U398" i="6"/>
  <c r="U397" i="6"/>
  <c r="U396" i="6"/>
  <c r="U395" i="6"/>
  <c r="U394" i="6"/>
  <c r="U393" i="6"/>
  <c r="U392" i="6"/>
  <c r="U391" i="6"/>
  <c r="U390" i="6"/>
  <c r="U357" i="6"/>
  <c r="U347" i="6"/>
  <c r="U343" i="6"/>
  <c r="U342" i="6"/>
  <c r="U341" i="6"/>
  <c r="U333" i="6"/>
  <c r="U330" i="6"/>
  <c r="U328" i="6"/>
  <c r="U327" i="6"/>
  <c r="U326" i="6"/>
  <c r="U325" i="6"/>
  <c r="U324" i="6"/>
  <c r="U323" i="6"/>
  <c r="U322" i="6"/>
  <c r="U321" i="6"/>
  <c r="U318" i="6"/>
  <c r="U316" i="6"/>
  <c r="U313" i="6"/>
  <c r="U311" i="6"/>
  <c r="U310" i="6"/>
  <c r="U308" i="6"/>
  <c r="U307" i="6"/>
  <c r="U306" i="6"/>
  <c r="U304" i="6"/>
  <c r="U303" i="6"/>
  <c r="U302" i="6"/>
  <c r="U301" i="6"/>
  <c r="U299" i="6"/>
  <c r="U298" i="6"/>
  <c r="U297" i="6"/>
  <c r="U296" i="6"/>
  <c r="U294" i="6"/>
  <c r="U293" i="6"/>
  <c r="U292" i="6"/>
  <c r="U290" i="6"/>
  <c r="U288" i="6"/>
  <c r="U287" i="6"/>
  <c r="U286" i="6"/>
  <c r="U285" i="6"/>
  <c r="U284" i="6"/>
  <c r="U283" i="6"/>
  <c r="U282" i="6"/>
  <c r="U281" i="6"/>
  <c r="U280" i="6"/>
  <c r="U279" i="6"/>
  <c r="U275" i="6"/>
  <c r="U270" i="6"/>
  <c r="U269" i="6"/>
  <c r="U268" i="6"/>
  <c r="U267" i="6"/>
  <c r="U266" i="6"/>
  <c r="U265" i="6"/>
  <c r="U264" i="6"/>
  <c r="U263" i="6"/>
  <c r="U262" i="6"/>
  <c r="U261" i="6"/>
  <c r="U260" i="6"/>
  <c r="U259" i="6"/>
  <c r="U258" i="6"/>
  <c r="U257" i="6"/>
  <c r="U254" i="6"/>
  <c r="U250" i="6"/>
  <c r="U249" i="6"/>
  <c r="U245" i="6"/>
  <c r="U243" i="6"/>
  <c r="U241" i="6"/>
  <c r="U237" i="6"/>
  <c r="U235" i="6"/>
  <c r="U231" i="6"/>
  <c r="U230" i="6"/>
  <c r="U229" i="6"/>
  <c r="U228" i="6"/>
  <c r="U226" i="6"/>
  <c r="U225" i="6"/>
  <c r="U223" i="6"/>
  <c r="U222" i="6"/>
  <c r="U220" i="6"/>
  <c r="U219" i="6"/>
  <c r="U216" i="6"/>
  <c r="U214" i="6"/>
  <c r="U213" i="6"/>
  <c r="U212" i="6"/>
  <c r="U209" i="6"/>
  <c r="U208" i="6"/>
  <c r="U206" i="6"/>
  <c r="U205" i="6"/>
  <c r="U202" i="6"/>
  <c r="U200" i="6"/>
  <c r="U199" i="6"/>
  <c r="U198" i="6"/>
  <c r="U196" i="6"/>
  <c r="U194" i="6"/>
  <c r="U193" i="6"/>
  <c r="U190" i="6"/>
  <c r="U187" i="6"/>
  <c r="U186" i="6"/>
  <c r="U185" i="6"/>
  <c r="U180" i="6"/>
  <c r="U179" i="6"/>
  <c r="U177" i="6"/>
  <c r="U175" i="6"/>
  <c r="U171" i="6"/>
  <c r="U170" i="6"/>
  <c r="U169" i="6"/>
  <c r="U168" i="6"/>
  <c r="U167" i="6"/>
  <c r="U164" i="6"/>
  <c r="U161" i="6"/>
  <c r="U158" i="6"/>
  <c r="U157" i="6"/>
  <c r="U155" i="6"/>
  <c r="U154" i="6"/>
  <c r="U152" i="6"/>
  <c r="U151" i="6"/>
  <c r="U149" i="6"/>
  <c r="U148" i="6"/>
  <c r="U146" i="6"/>
  <c r="U144" i="6"/>
  <c r="U142" i="6"/>
  <c r="U141" i="6"/>
  <c r="U140" i="6"/>
  <c r="U139" i="6"/>
  <c r="U138" i="6"/>
  <c r="U137" i="6"/>
  <c r="U136" i="6"/>
  <c r="U133" i="6"/>
  <c r="U132" i="6"/>
  <c r="U131" i="6"/>
  <c r="U130" i="6"/>
  <c r="U129" i="6"/>
  <c r="U126" i="6"/>
  <c r="U125" i="6"/>
  <c r="U122" i="6"/>
  <c r="U121" i="6"/>
  <c r="U120" i="6"/>
  <c r="U119" i="6"/>
  <c r="U118" i="6"/>
  <c r="U117" i="6"/>
  <c r="U116" i="6"/>
  <c r="U115" i="6"/>
  <c r="U113" i="6"/>
  <c r="U112" i="6"/>
  <c r="U111" i="6"/>
  <c r="U110" i="6"/>
  <c r="U109" i="6"/>
  <c r="U104" i="6"/>
  <c r="U102" i="6"/>
  <c r="U101" i="6"/>
  <c r="U96" i="6"/>
  <c r="U93" i="6"/>
  <c r="U90" i="6"/>
  <c r="U88" i="6"/>
  <c r="U86" i="6"/>
  <c r="U85" i="6"/>
  <c r="U84" i="6"/>
  <c r="U82" i="6"/>
  <c r="U81" i="6"/>
  <c r="U80" i="6"/>
  <c r="U79" i="6"/>
  <c r="U78" i="6"/>
  <c r="U75" i="6"/>
  <c r="U73" i="6"/>
  <c r="U72" i="6"/>
  <c r="U71" i="6"/>
  <c r="U69" i="6"/>
  <c r="U65" i="6"/>
  <c r="U64" i="6"/>
  <c r="U58" i="6"/>
  <c r="U57" i="6"/>
  <c r="U56" i="6"/>
  <c r="U55" i="6"/>
  <c r="U54" i="6"/>
  <c r="U53" i="6"/>
  <c r="U51" i="6"/>
  <c r="U50" i="6"/>
  <c r="U49" i="6"/>
  <c r="U47" i="6"/>
  <c r="U46" i="6"/>
  <c r="U45" i="6"/>
  <c r="U44" i="6"/>
  <c r="U43" i="6"/>
  <c r="U42" i="6"/>
  <c r="U38" i="6"/>
  <c r="U37" i="6"/>
  <c r="U36" i="6"/>
  <c r="U34" i="6"/>
  <c r="U33" i="6"/>
  <c r="U29" i="6"/>
  <c r="U28" i="6"/>
  <c r="U27" i="6"/>
  <c r="U26" i="6"/>
  <c r="U25" i="6"/>
  <c r="U24" i="6"/>
  <c r="U21" i="6"/>
  <c r="U20" i="6"/>
  <c r="U18" i="6"/>
  <c r="U17" i="6"/>
  <c r="U16" i="6"/>
  <c r="U14" i="6"/>
  <c r="U13" i="6"/>
  <c r="U12" i="6"/>
  <c r="U11" i="6"/>
  <c r="U10" i="6"/>
  <c r="U8" i="6"/>
  <c r="U9" i="6"/>
  <c r="AJ430" i="6"/>
  <c r="AI430" i="6"/>
  <c r="AH430" i="6"/>
  <c r="AJ429" i="6"/>
  <c r="AI429" i="6"/>
  <c r="AH429" i="6"/>
  <c r="AJ426" i="6"/>
  <c r="AI426" i="6"/>
  <c r="AH426" i="6"/>
  <c r="AJ425" i="6"/>
  <c r="AI425" i="6"/>
  <c r="AH425" i="6"/>
  <c r="AJ424" i="6"/>
  <c r="AI424" i="6"/>
  <c r="AH424" i="6"/>
  <c r="AJ423" i="6"/>
  <c r="AJ422" i="6"/>
  <c r="AJ421" i="6"/>
  <c r="AJ420" i="6"/>
  <c r="AI420" i="6"/>
  <c r="AH420" i="6"/>
  <c r="AV412" i="6"/>
  <c r="AU412" i="6"/>
  <c r="AT412" i="6"/>
  <c r="AS412" i="6"/>
  <c r="AR412" i="6"/>
  <c r="AQ412" i="6"/>
  <c r="AP412" i="6"/>
  <c r="AO412" i="6"/>
  <c r="AN412" i="6"/>
  <c r="AM412" i="6"/>
  <c r="AV411" i="6"/>
  <c r="AU411" i="6"/>
  <c r="AT411" i="6"/>
  <c r="AS411" i="6"/>
  <c r="AR411" i="6"/>
  <c r="AQ411" i="6"/>
  <c r="AP411" i="6"/>
  <c r="AO411" i="6"/>
  <c r="AN411" i="6"/>
  <c r="AM411" i="6"/>
  <c r="AV410" i="6"/>
  <c r="AU410" i="6"/>
  <c r="AT410" i="6"/>
  <c r="AS410" i="6"/>
  <c r="AR410" i="6"/>
  <c r="AQ410" i="6"/>
  <c r="AP410" i="6"/>
  <c r="AO410" i="6"/>
  <c r="AN410" i="6"/>
  <c r="AM410" i="6"/>
  <c r="AV409" i="6"/>
  <c r="AU409" i="6"/>
  <c r="AT409" i="6"/>
  <c r="AS409" i="6"/>
  <c r="AR409" i="6"/>
  <c r="AQ409" i="6"/>
  <c r="AP409" i="6"/>
  <c r="AO409" i="6"/>
  <c r="AN409" i="6"/>
  <c r="AM409" i="6"/>
  <c r="AV408" i="6"/>
  <c r="AU408" i="6"/>
  <c r="AT408" i="6"/>
  <c r="AS408" i="6"/>
  <c r="AR408" i="6"/>
  <c r="AQ408" i="6"/>
  <c r="AP408" i="6"/>
  <c r="AO408" i="6"/>
  <c r="AN408" i="6"/>
  <c r="AM408" i="6"/>
  <c r="AV406" i="6"/>
  <c r="AU406" i="6"/>
  <c r="AT406" i="6"/>
  <c r="AS406" i="6"/>
  <c r="AR406" i="6"/>
  <c r="AQ406" i="6"/>
  <c r="AP406" i="6"/>
  <c r="AO406" i="6"/>
  <c r="AN406" i="6"/>
  <c r="AM406" i="6"/>
  <c r="AV405" i="6"/>
  <c r="AU405" i="6"/>
  <c r="AT405" i="6"/>
  <c r="AS405" i="6"/>
  <c r="AR405" i="6"/>
  <c r="AQ405" i="6"/>
  <c r="AP405" i="6"/>
  <c r="AO405" i="6"/>
  <c r="AN405" i="6"/>
  <c r="AM405" i="6"/>
  <c r="AV404" i="6"/>
  <c r="AU404" i="6"/>
  <c r="AT404" i="6"/>
  <c r="AS404" i="6"/>
  <c r="AR404" i="6"/>
  <c r="AQ404" i="6"/>
  <c r="AP404" i="6"/>
  <c r="AO404" i="6"/>
  <c r="AN404" i="6"/>
  <c r="AM404" i="6"/>
  <c r="AV403" i="6"/>
  <c r="AU403" i="6"/>
  <c r="AS403" i="6"/>
  <c r="AR403" i="6"/>
  <c r="AQ403" i="6"/>
  <c r="AP403" i="6"/>
  <c r="AO403" i="6"/>
  <c r="AN403" i="6"/>
  <c r="AM403" i="6"/>
  <c r="AV402" i="6"/>
  <c r="AU402" i="6"/>
  <c r="AT402" i="6"/>
  <c r="AS402" i="6"/>
  <c r="AR402" i="6"/>
  <c r="AQ402" i="6"/>
  <c r="AP402" i="6"/>
  <c r="AO402" i="6"/>
  <c r="AN402" i="6"/>
  <c r="AM402" i="6"/>
  <c r="AV401" i="6"/>
  <c r="AU401" i="6"/>
  <c r="AT401" i="6"/>
  <c r="AS401" i="6"/>
  <c r="AR401" i="6"/>
  <c r="AQ401" i="6"/>
  <c r="AP401" i="6"/>
  <c r="AO401" i="6"/>
  <c r="AN401" i="6"/>
  <c r="AM401" i="6"/>
  <c r="AV400" i="6"/>
  <c r="AU400" i="6"/>
  <c r="AT400" i="6"/>
  <c r="AS400" i="6"/>
  <c r="AR400" i="6"/>
  <c r="AQ400" i="6"/>
  <c r="AP400" i="6"/>
  <c r="AO400" i="6"/>
  <c r="AN400" i="6"/>
  <c r="AM400" i="6"/>
  <c r="AV399" i="6"/>
  <c r="AU399" i="6"/>
  <c r="AT399" i="6"/>
  <c r="AS399" i="6"/>
  <c r="AR399" i="6"/>
  <c r="AQ399" i="6"/>
  <c r="AP399" i="6"/>
  <c r="AO399" i="6"/>
  <c r="AN399" i="6"/>
  <c r="AM399" i="6"/>
  <c r="AV398" i="6"/>
  <c r="AU398" i="6"/>
  <c r="AT398" i="6"/>
  <c r="AS398" i="6"/>
  <c r="AR398" i="6"/>
  <c r="AQ398" i="6"/>
  <c r="AP398" i="6"/>
  <c r="AO398" i="6"/>
  <c r="AN398" i="6"/>
  <c r="AM398" i="6"/>
  <c r="AV397" i="6"/>
  <c r="AU397" i="6"/>
  <c r="AT397" i="6"/>
  <c r="AS397" i="6"/>
  <c r="AR397" i="6"/>
  <c r="AQ397" i="6"/>
  <c r="AP397" i="6"/>
  <c r="AO397" i="6"/>
  <c r="AN397" i="6"/>
  <c r="AM397" i="6"/>
  <c r="AV396" i="6"/>
  <c r="AU396" i="6"/>
  <c r="AT396" i="6"/>
  <c r="AS396" i="6"/>
  <c r="AR396" i="6"/>
  <c r="AQ396" i="6"/>
  <c r="AP396" i="6"/>
  <c r="AO396" i="6"/>
  <c r="AN396" i="6"/>
  <c r="AM396" i="6"/>
  <c r="AV395" i="6"/>
  <c r="AU395" i="6"/>
  <c r="AT395" i="6"/>
  <c r="AS395" i="6"/>
  <c r="AR395" i="6"/>
  <c r="AQ395" i="6"/>
  <c r="AP395" i="6"/>
  <c r="AO395" i="6"/>
  <c r="AN395" i="6"/>
  <c r="AM395" i="6"/>
  <c r="AV394" i="6"/>
  <c r="AU394" i="6"/>
  <c r="AT394" i="6"/>
  <c r="AS394" i="6"/>
  <c r="AR394" i="6"/>
  <c r="AQ394" i="6"/>
  <c r="AP394" i="6"/>
  <c r="AO394" i="6"/>
  <c r="AN394" i="6"/>
  <c r="AM394" i="6"/>
  <c r="AV393" i="6"/>
  <c r="AU393" i="6"/>
  <c r="AT393" i="6"/>
  <c r="AS393" i="6"/>
  <c r="AR393" i="6"/>
  <c r="AQ393" i="6"/>
  <c r="AP393" i="6"/>
  <c r="AO393" i="6"/>
  <c r="AN393" i="6"/>
  <c r="AM393" i="6"/>
  <c r="AV392" i="6"/>
  <c r="AU392" i="6"/>
  <c r="AT392" i="6"/>
  <c r="AS392" i="6"/>
  <c r="AR392" i="6"/>
  <c r="AQ392" i="6"/>
  <c r="AP392" i="6"/>
  <c r="AO392" i="6"/>
  <c r="AN392" i="6"/>
  <c r="AM392" i="6"/>
  <c r="AV391" i="6"/>
  <c r="AU391" i="6"/>
  <c r="AT391" i="6"/>
  <c r="AS391" i="6"/>
  <c r="AR391" i="6"/>
  <c r="AQ391" i="6"/>
  <c r="AP391" i="6"/>
  <c r="AO391" i="6"/>
  <c r="AN391" i="6"/>
  <c r="AM391" i="6"/>
  <c r="AV390" i="6"/>
  <c r="AU390" i="6"/>
  <c r="AT390" i="6"/>
  <c r="AS390" i="6"/>
  <c r="AR390" i="6"/>
  <c r="AQ390" i="6"/>
  <c r="AP390" i="6"/>
  <c r="AO390" i="6"/>
  <c r="AN390" i="6"/>
  <c r="AM390" i="6"/>
  <c r="AV389" i="6"/>
  <c r="AU389" i="6"/>
  <c r="AT389" i="6"/>
  <c r="AS389" i="6"/>
  <c r="AR389" i="6"/>
  <c r="AQ389" i="6"/>
  <c r="AP389" i="6"/>
  <c r="AO389" i="6"/>
  <c r="AM389" i="6"/>
  <c r="AV388" i="6"/>
  <c r="AU388" i="6"/>
  <c r="AT388" i="6"/>
  <c r="AS388" i="6"/>
  <c r="AR388" i="6"/>
  <c r="AQ388" i="6"/>
  <c r="AP388" i="6"/>
  <c r="AO388" i="6"/>
  <c r="AM388" i="6"/>
  <c r="AV387" i="6"/>
  <c r="AU387" i="6"/>
  <c r="AT387" i="6"/>
  <c r="AS387" i="6"/>
  <c r="AQ387" i="6"/>
  <c r="AP387" i="6"/>
  <c r="AO387" i="6"/>
  <c r="AM387" i="6"/>
  <c r="AV386" i="6"/>
  <c r="AU386" i="6"/>
  <c r="AT386" i="6"/>
  <c r="AS386" i="6"/>
  <c r="AR386" i="6"/>
  <c r="AQ386" i="6"/>
  <c r="AP386" i="6"/>
  <c r="AO386" i="6"/>
  <c r="AM386" i="6"/>
  <c r="AV385" i="6"/>
  <c r="AU385" i="6"/>
  <c r="AT385" i="6"/>
  <c r="AS385" i="6"/>
  <c r="AR385" i="6"/>
  <c r="AQ385" i="6"/>
  <c r="AP385" i="6"/>
  <c r="AO385" i="6"/>
  <c r="AM385" i="6"/>
  <c r="AV384" i="6"/>
  <c r="AU384" i="6"/>
  <c r="AT384" i="6"/>
  <c r="AS384" i="6"/>
  <c r="AR384" i="6"/>
  <c r="AQ384" i="6"/>
  <c r="AP384" i="6"/>
  <c r="AO384" i="6"/>
  <c r="AM384" i="6"/>
  <c r="AV383" i="6"/>
  <c r="AU383" i="6"/>
  <c r="AT383" i="6"/>
  <c r="AS383" i="6"/>
  <c r="AR383" i="6"/>
  <c r="AQ383" i="6"/>
  <c r="AP383" i="6"/>
  <c r="AO383" i="6"/>
  <c r="AM383" i="6"/>
  <c r="AV382" i="6"/>
  <c r="AU382" i="6"/>
  <c r="AT382" i="6"/>
  <c r="AS382" i="6"/>
  <c r="AR382" i="6"/>
  <c r="AQ382" i="6"/>
  <c r="AP382" i="6"/>
  <c r="AO382" i="6"/>
  <c r="AM382" i="6"/>
  <c r="AV380" i="6"/>
  <c r="AU380" i="6"/>
  <c r="AT380" i="6"/>
  <c r="AS380" i="6"/>
  <c r="AR380" i="6"/>
  <c r="AQ380" i="6"/>
  <c r="AP380" i="6"/>
  <c r="AO380" i="6"/>
  <c r="AM380" i="6"/>
  <c r="AV379" i="6"/>
  <c r="AU379" i="6"/>
  <c r="AT379" i="6"/>
  <c r="AS379" i="6"/>
  <c r="AR379" i="6"/>
  <c r="AQ379" i="6"/>
  <c r="AP379" i="6"/>
  <c r="AO379" i="6"/>
  <c r="AM379" i="6"/>
  <c r="AV378" i="6"/>
  <c r="AU378" i="6"/>
  <c r="AT378" i="6"/>
  <c r="AS378" i="6"/>
  <c r="AR378" i="6"/>
  <c r="AQ378" i="6"/>
  <c r="AP378" i="6"/>
  <c r="AO378" i="6"/>
  <c r="AM378" i="6"/>
  <c r="AV377" i="6"/>
  <c r="AU377" i="6"/>
  <c r="AT377" i="6"/>
  <c r="AS377" i="6"/>
  <c r="AR377" i="6"/>
  <c r="AQ377" i="6"/>
  <c r="AP377" i="6"/>
  <c r="AO377" i="6"/>
  <c r="AM377" i="6"/>
  <c r="AV376" i="6"/>
  <c r="AU376" i="6"/>
  <c r="AT376" i="6"/>
  <c r="AS376" i="6"/>
  <c r="AR376" i="6"/>
  <c r="AQ376" i="6"/>
  <c r="AP376" i="6"/>
  <c r="AO376" i="6"/>
  <c r="AM376" i="6"/>
  <c r="AV375" i="6"/>
  <c r="AU375" i="6"/>
  <c r="AT375" i="6"/>
  <c r="AS375" i="6"/>
  <c r="AR375" i="6"/>
  <c r="AQ375" i="6"/>
  <c r="AP375" i="6"/>
  <c r="AO375" i="6"/>
  <c r="AM375" i="6"/>
  <c r="AV374" i="6"/>
  <c r="AU374" i="6"/>
  <c r="AT374" i="6"/>
  <c r="AS374" i="6"/>
  <c r="AR374" i="6"/>
  <c r="AQ374" i="6"/>
  <c r="AP374" i="6"/>
  <c r="AO374" i="6"/>
  <c r="AM374" i="6"/>
  <c r="AV372" i="6"/>
  <c r="AU372" i="6"/>
  <c r="AT372" i="6"/>
  <c r="AS372" i="6"/>
  <c r="AR372" i="6"/>
  <c r="AQ372" i="6"/>
  <c r="AP372" i="6"/>
  <c r="AO372" i="6"/>
  <c r="AM372" i="6"/>
  <c r="AV371" i="6"/>
  <c r="AU371" i="6"/>
  <c r="AT371" i="6"/>
  <c r="AS371" i="6"/>
  <c r="AR371" i="6"/>
  <c r="AQ371" i="6"/>
  <c r="AP371" i="6"/>
  <c r="AO371" i="6"/>
  <c r="AM371" i="6"/>
  <c r="AV370" i="6"/>
  <c r="AU370" i="6"/>
  <c r="AT370" i="6"/>
  <c r="AS370" i="6"/>
  <c r="AR370" i="6"/>
  <c r="AQ370" i="6"/>
  <c r="AP370" i="6"/>
  <c r="AO370" i="6"/>
  <c r="AM370" i="6"/>
  <c r="AV369" i="6"/>
  <c r="AU369" i="6"/>
  <c r="AT369" i="6"/>
  <c r="AS369" i="6"/>
  <c r="AR369" i="6"/>
  <c r="AQ369" i="6"/>
  <c r="AP369" i="6"/>
  <c r="AO369" i="6"/>
  <c r="AM369" i="6"/>
  <c r="AV368" i="6"/>
  <c r="AU368" i="6"/>
  <c r="AT368" i="6"/>
  <c r="AS368" i="6"/>
  <c r="AR368" i="6"/>
  <c r="AQ368" i="6"/>
  <c r="AP368" i="6"/>
  <c r="AO368" i="6"/>
  <c r="AM368" i="6"/>
  <c r="AV367" i="6"/>
  <c r="AU367" i="6"/>
  <c r="AT367" i="6"/>
  <c r="AS367" i="6"/>
  <c r="AR367" i="6"/>
  <c r="AQ367" i="6"/>
  <c r="AP367" i="6"/>
  <c r="AO367" i="6"/>
  <c r="AM367" i="6"/>
  <c r="AV366" i="6"/>
  <c r="AU366" i="6"/>
  <c r="AT366" i="6"/>
  <c r="AS366" i="6"/>
  <c r="AR366" i="6"/>
  <c r="AQ366" i="6"/>
  <c r="AP366" i="6"/>
  <c r="AO366" i="6"/>
  <c r="AM366" i="6"/>
  <c r="AV365" i="6"/>
  <c r="AU365" i="6"/>
  <c r="AT365" i="6"/>
  <c r="AS365" i="6"/>
  <c r="AR365" i="6"/>
  <c r="AQ365" i="6"/>
  <c r="AP365" i="6"/>
  <c r="AO365" i="6"/>
  <c r="AM365" i="6"/>
  <c r="AV364" i="6"/>
  <c r="AU364" i="6"/>
  <c r="AT364" i="6"/>
  <c r="AS364" i="6"/>
  <c r="AR364" i="6"/>
  <c r="AQ364" i="6"/>
  <c r="AP364" i="6"/>
  <c r="AO364" i="6"/>
  <c r="AM364" i="6"/>
  <c r="AV363" i="6"/>
  <c r="AU363" i="6"/>
  <c r="AT363" i="6"/>
  <c r="AS363" i="6"/>
  <c r="AR363" i="6"/>
  <c r="AQ363" i="6"/>
  <c r="AP363" i="6"/>
  <c r="AO363" i="6"/>
  <c r="AM363" i="6"/>
  <c r="AV362" i="6"/>
  <c r="AU362" i="6"/>
  <c r="AT362" i="6"/>
  <c r="AS362" i="6"/>
  <c r="AR362" i="6"/>
  <c r="AQ362" i="6"/>
  <c r="AP362" i="6"/>
  <c r="AO362" i="6"/>
  <c r="AM362" i="6"/>
  <c r="AV360" i="6"/>
  <c r="AU360" i="6"/>
  <c r="AT360" i="6"/>
  <c r="AS360" i="6"/>
  <c r="AR360" i="6"/>
  <c r="AQ360" i="6"/>
  <c r="AP360" i="6"/>
  <c r="AO360" i="6"/>
  <c r="AM360" i="6"/>
  <c r="AV359" i="6"/>
  <c r="AU359" i="6"/>
  <c r="AT359" i="6"/>
  <c r="AS359" i="6"/>
  <c r="AR359" i="6"/>
  <c r="AQ359" i="6"/>
  <c r="AP359" i="6"/>
  <c r="AO359" i="6"/>
  <c r="AM359" i="6"/>
  <c r="AV358" i="6"/>
  <c r="AU358" i="6"/>
  <c r="AT358" i="6"/>
  <c r="AS358" i="6"/>
  <c r="AR358" i="6"/>
  <c r="AQ358" i="6"/>
  <c r="AP358" i="6"/>
  <c r="AO358" i="6"/>
  <c r="AM358" i="6"/>
  <c r="AV357" i="6"/>
  <c r="AU357" i="6"/>
  <c r="AT357" i="6"/>
  <c r="AS357" i="6"/>
  <c r="AR357" i="6"/>
  <c r="AQ357" i="6"/>
  <c r="AP357" i="6"/>
  <c r="AO357" i="6"/>
  <c r="AN357" i="6"/>
  <c r="AM357" i="6"/>
  <c r="AV356" i="6"/>
  <c r="AU356" i="6"/>
  <c r="AT356" i="6"/>
  <c r="AS356" i="6"/>
  <c r="AR356" i="6"/>
  <c r="AQ356" i="6"/>
  <c r="AP356" i="6"/>
  <c r="AO356" i="6"/>
  <c r="AM356" i="6"/>
  <c r="AV355" i="6"/>
  <c r="AU355" i="6"/>
  <c r="AT355" i="6"/>
  <c r="AS355" i="6"/>
  <c r="AR355" i="6"/>
  <c r="AQ355" i="6"/>
  <c r="AP355" i="6"/>
  <c r="AO355" i="6"/>
  <c r="AM355" i="6"/>
  <c r="AV354" i="6"/>
  <c r="AU354" i="6"/>
  <c r="AT354" i="6"/>
  <c r="AS354" i="6"/>
  <c r="AR354" i="6"/>
  <c r="AQ354" i="6"/>
  <c r="AP354" i="6"/>
  <c r="AO354" i="6"/>
  <c r="AM354" i="6"/>
  <c r="AV353" i="6"/>
  <c r="AU353" i="6"/>
  <c r="AT353" i="6"/>
  <c r="AS353" i="6"/>
  <c r="AR353" i="6"/>
  <c r="AQ353" i="6"/>
  <c r="AP353" i="6"/>
  <c r="AO353" i="6"/>
  <c r="AM353" i="6"/>
  <c r="AV352" i="6"/>
  <c r="AU352" i="6"/>
  <c r="AT352" i="6"/>
  <c r="AS352" i="6"/>
  <c r="AR352" i="6"/>
  <c r="AQ352" i="6"/>
  <c r="AP352" i="6"/>
  <c r="AO352" i="6"/>
  <c r="AM352" i="6"/>
  <c r="AV351" i="6"/>
  <c r="AU351" i="6"/>
  <c r="AT351" i="6"/>
  <c r="AS351" i="6"/>
  <c r="AR351" i="6"/>
  <c r="AQ351" i="6"/>
  <c r="AP351" i="6"/>
  <c r="AO351" i="6"/>
  <c r="AM351" i="6"/>
  <c r="AV350" i="6"/>
  <c r="AU350" i="6"/>
  <c r="AT350" i="6"/>
  <c r="AS350" i="6"/>
  <c r="AR350" i="6"/>
  <c r="AQ350" i="6"/>
  <c r="AP350" i="6"/>
  <c r="AO350" i="6"/>
  <c r="AM350" i="6"/>
  <c r="AV348" i="6"/>
  <c r="AU348" i="6"/>
  <c r="AT348" i="6"/>
  <c r="AS348" i="6"/>
  <c r="AR348" i="6"/>
  <c r="AQ348" i="6"/>
  <c r="AP348" i="6"/>
  <c r="AO348" i="6"/>
  <c r="AM348" i="6"/>
  <c r="AV347" i="6"/>
  <c r="AU347" i="6"/>
  <c r="AT347" i="6"/>
  <c r="AS347" i="6"/>
  <c r="AR347" i="6"/>
  <c r="AQ347" i="6"/>
  <c r="AP347" i="6"/>
  <c r="AO347" i="6"/>
  <c r="AN347" i="6"/>
  <c r="AM347" i="6"/>
  <c r="AV346" i="6"/>
  <c r="AU346" i="6"/>
  <c r="AT346" i="6"/>
  <c r="AS346" i="6"/>
  <c r="AR346" i="6"/>
  <c r="AQ346" i="6"/>
  <c r="AP346" i="6"/>
  <c r="AO346" i="6"/>
  <c r="AM346" i="6"/>
  <c r="AV345" i="6"/>
  <c r="AU345" i="6"/>
  <c r="AT345" i="6"/>
  <c r="AS345" i="6"/>
  <c r="AR345" i="6"/>
  <c r="AQ345" i="6"/>
  <c r="AP345" i="6"/>
  <c r="AO345" i="6"/>
  <c r="AM345" i="6"/>
  <c r="AV343" i="6"/>
  <c r="AU343" i="6"/>
  <c r="AT343" i="6"/>
  <c r="AS343" i="6"/>
  <c r="AR343" i="6"/>
  <c r="AQ343" i="6"/>
  <c r="AP343" i="6"/>
  <c r="AO343" i="6"/>
  <c r="AN343" i="6"/>
  <c r="AM343" i="6"/>
  <c r="AV342" i="6"/>
  <c r="AU342" i="6"/>
  <c r="AT342" i="6"/>
  <c r="AS342" i="6"/>
  <c r="AR342" i="6"/>
  <c r="AQ342" i="6"/>
  <c r="AP342" i="6"/>
  <c r="AO342" i="6"/>
  <c r="AN342" i="6"/>
  <c r="AM342" i="6"/>
  <c r="AV341" i="6"/>
  <c r="AU341" i="6"/>
  <c r="AT341" i="6"/>
  <c r="AS341" i="6"/>
  <c r="AR341" i="6"/>
  <c r="AQ341" i="6"/>
  <c r="AP341" i="6"/>
  <c r="AO341" i="6"/>
  <c r="AN341" i="6"/>
  <c r="AM341" i="6"/>
  <c r="AV340" i="6"/>
  <c r="AU340" i="6"/>
  <c r="AT340" i="6"/>
  <c r="AS340" i="6"/>
  <c r="AR340" i="6"/>
  <c r="AQ340" i="6"/>
  <c r="AP340" i="6"/>
  <c r="AO340" i="6"/>
  <c r="AM340" i="6"/>
  <c r="AV339" i="6"/>
  <c r="AU339" i="6"/>
  <c r="AT339" i="6"/>
  <c r="AS339" i="6"/>
  <c r="AR339" i="6"/>
  <c r="AQ339" i="6"/>
  <c r="AP339" i="6"/>
  <c r="AO339" i="6"/>
  <c r="AM339" i="6"/>
  <c r="AV338" i="6"/>
  <c r="AU338" i="6"/>
  <c r="AT338" i="6"/>
  <c r="AS338" i="6"/>
  <c r="AR338" i="6"/>
  <c r="AQ338" i="6"/>
  <c r="AP338" i="6"/>
  <c r="AO338" i="6"/>
  <c r="AM338" i="6"/>
  <c r="AV337" i="6"/>
  <c r="AU337" i="6"/>
  <c r="AT337" i="6"/>
  <c r="AS337" i="6"/>
  <c r="AR337" i="6"/>
  <c r="AQ337" i="6"/>
  <c r="AP337" i="6"/>
  <c r="AO337" i="6"/>
  <c r="AM337" i="6"/>
  <c r="AV336" i="6"/>
  <c r="AU336" i="6"/>
  <c r="AT336" i="6"/>
  <c r="AS336" i="6"/>
  <c r="AR336" i="6"/>
  <c r="AQ336" i="6"/>
  <c r="AP336" i="6"/>
  <c r="AN336" i="6"/>
  <c r="AM336" i="6"/>
  <c r="AV335" i="6"/>
  <c r="AU335" i="6"/>
  <c r="AT335" i="6"/>
  <c r="AS335" i="6"/>
  <c r="AR335" i="6"/>
  <c r="AQ335" i="6"/>
  <c r="AP335" i="6"/>
  <c r="AO335" i="6"/>
  <c r="AM335" i="6"/>
  <c r="AV334" i="6"/>
  <c r="AU334" i="6"/>
  <c r="AT334" i="6"/>
  <c r="AS334" i="6"/>
  <c r="AR334" i="6"/>
  <c r="AQ334" i="6"/>
  <c r="AP334" i="6"/>
  <c r="AO334" i="6"/>
  <c r="AM334" i="6"/>
  <c r="AV333" i="6"/>
  <c r="AU333" i="6"/>
  <c r="AT333" i="6"/>
  <c r="AS333" i="6"/>
  <c r="AR333" i="6"/>
  <c r="AQ333" i="6"/>
  <c r="AP333" i="6"/>
  <c r="AO333" i="6"/>
  <c r="AN333" i="6"/>
  <c r="AM333" i="6"/>
  <c r="AV330" i="6"/>
  <c r="AU330" i="6"/>
  <c r="AT330" i="6"/>
  <c r="AS330" i="6"/>
  <c r="AR330" i="6"/>
  <c r="AQ330" i="6"/>
  <c r="AP330" i="6"/>
  <c r="AO330" i="6"/>
  <c r="AN330" i="6"/>
  <c r="AM330" i="6"/>
  <c r="AV328" i="6"/>
  <c r="AU328" i="6"/>
  <c r="AT328" i="6"/>
  <c r="AS328" i="6"/>
  <c r="AR328" i="6"/>
  <c r="AQ328" i="6"/>
  <c r="AP328" i="6"/>
  <c r="AO328" i="6"/>
  <c r="AN328" i="6"/>
  <c r="AM328" i="6"/>
  <c r="AV327" i="6"/>
  <c r="AU327" i="6"/>
  <c r="AT327" i="6"/>
  <c r="AS327" i="6"/>
  <c r="AR327" i="6"/>
  <c r="AQ327" i="6"/>
  <c r="AP327" i="6"/>
  <c r="AO327" i="6"/>
  <c r="AN327" i="6"/>
  <c r="AM327" i="6"/>
  <c r="AV326" i="6"/>
  <c r="AU326" i="6"/>
  <c r="AT326" i="6"/>
  <c r="AS326" i="6"/>
  <c r="AR326" i="6"/>
  <c r="AQ326" i="6"/>
  <c r="AP326" i="6"/>
  <c r="AO326" i="6"/>
  <c r="AN326" i="6"/>
  <c r="AM326" i="6"/>
  <c r="AV325" i="6"/>
  <c r="AU325" i="6"/>
  <c r="AT325" i="6"/>
  <c r="AS325" i="6"/>
  <c r="AR325" i="6"/>
  <c r="AQ325" i="6"/>
  <c r="AP325" i="6"/>
  <c r="AO325" i="6"/>
  <c r="AN325" i="6"/>
  <c r="AM325" i="6"/>
  <c r="AV324" i="6"/>
  <c r="AU324" i="6"/>
  <c r="AT324" i="6"/>
  <c r="AS324" i="6"/>
  <c r="AR324" i="6"/>
  <c r="AQ324" i="6"/>
  <c r="AP324" i="6"/>
  <c r="AO324" i="6"/>
  <c r="AN324" i="6"/>
  <c r="AM324" i="6"/>
  <c r="AV323" i="6"/>
  <c r="AU323" i="6"/>
  <c r="AT323" i="6"/>
  <c r="AS323" i="6"/>
  <c r="AR323" i="6"/>
  <c r="AQ323" i="6"/>
  <c r="AP323" i="6"/>
  <c r="AO323" i="6"/>
  <c r="AN323" i="6"/>
  <c r="AM323" i="6"/>
  <c r="AV322" i="6"/>
  <c r="AU322" i="6"/>
  <c r="AT322" i="6"/>
  <c r="AS322" i="6"/>
  <c r="AR322" i="6"/>
  <c r="AQ322" i="6"/>
  <c r="AP322" i="6"/>
  <c r="AO322" i="6"/>
  <c r="AN322" i="6"/>
  <c r="AM322" i="6"/>
  <c r="AV321" i="6"/>
  <c r="AU321" i="6"/>
  <c r="AT321" i="6"/>
  <c r="AS321" i="6"/>
  <c r="AR321" i="6"/>
  <c r="AQ321" i="6"/>
  <c r="AP321" i="6"/>
  <c r="AO321" i="6"/>
  <c r="AN321" i="6"/>
  <c r="AM321" i="6"/>
  <c r="AV318" i="6"/>
  <c r="AU318" i="6"/>
  <c r="AT318" i="6"/>
  <c r="AS318" i="6"/>
  <c r="AR318" i="6"/>
  <c r="AQ318" i="6"/>
  <c r="AP318" i="6"/>
  <c r="AO318" i="6"/>
  <c r="AN318" i="6"/>
  <c r="AM318" i="6"/>
  <c r="AV316" i="6"/>
  <c r="AU316" i="6"/>
  <c r="AT316" i="6"/>
  <c r="AS316" i="6"/>
  <c r="AR316" i="6"/>
  <c r="AQ316" i="6"/>
  <c r="AP316" i="6"/>
  <c r="AO316" i="6"/>
  <c r="AN316" i="6"/>
  <c r="AM316" i="6"/>
  <c r="AV313" i="6"/>
  <c r="AU313" i="6"/>
  <c r="AT313" i="6"/>
  <c r="AS313" i="6"/>
  <c r="AR313" i="6"/>
  <c r="AQ313" i="6"/>
  <c r="AP313" i="6"/>
  <c r="AO313" i="6"/>
  <c r="AN313" i="6"/>
  <c r="AM313" i="6"/>
  <c r="AV311" i="6"/>
  <c r="AU311" i="6"/>
  <c r="AT311" i="6"/>
  <c r="AS311" i="6"/>
  <c r="AR311" i="6"/>
  <c r="AQ311" i="6"/>
  <c r="AP311" i="6"/>
  <c r="AO311" i="6"/>
  <c r="AN311" i="6"/>
  <c r="AM311" i="6"/>
  <c r="AV310" i="6"/>
  <c r="AU310" i="6"/>
  <c r="AT310" i="6"/>
  <c r="AS310" i="6"/>
  <c r="AR310" i="6"/>
  <c r="AQ310" i="6"/>
  <c r="AP310" i="6"/>
  <c r="AO310" i="6"/>
  <c r="AN310" i="6"/>
  <c r="AM310" i="6"/>
  <c r="AV308" i="6"/>
  <c r="AU308" i="6"/>
  <c r="AT308" i="6"/>
  <c r="AS308" i="6"/>
  <c r="AR308" i="6"/>
  <c r="AQ308" i="6"/>
  <c r="AP308" i="6"/>
  <c r="AO308" i="6"/>
  <c r="AN308" i="6"/>
  <c r="AM308" i="6"/>
  <c r="AV307" i="6"/>
  <c r="AU307" i="6"/>
  <c r="AT307" i="6"/>
  <c r="AS307" i="6"/>
  <c r="AR307" i="6"/>
  <c r="AQ307" i="6"/>
  <c r="AP307" i="6"/>
  <c r="AO307" i="6"/>
  <c r="AN307" i="6"/>
  <c r="AM307" i="6"/>
  <c r="AV306" i="6"/>
  <c r="AU306" i="6"/>
  <c r="AT306" i="6"/>
  <c r="AS306" i="6"/>
  <c r="AR306" i="6"/>
  <c r="AQ306" i="6"/>
  <c r="AP306" i="6"/>
  <c r="AO306" i="6"/>
  <c r="AN306" i="6"/>
  <c r="AM306" i="6"/>
  <c r="AV304" i="6"/>
  <c r="AU304" i="6"/>
  <c r="AT304" i="6"/>
  <c r="AS304" i="6"/>
  <c r="AR304" i="6"/>
  <c r="AQ304" i="6"/>
  <c r="AP304" i="6"/>
  <c r="AO304" i="6"/>
  <c r="AN304" i="6"/>
  <c r="AM304" i="6"/>
  <c r="AV303" i="6"/>
  <c r="AU303" i="6"/>
  <c r="AT303" i="6"/>
  <c r="AS303" i="6"/>
  <c r="AR303" i="6"/>
  <c r="AQ303" i="6"/>
  <c r="AP303" i="6"/>
  <c r="AO303" i="6"/>
  <c r="AN303" i="6"/>
  <c r="AM303" i="6"/>
  <c r="AV302" i="6"/>
  <c r="AU302" i="6"/>
  <c r="AT302" i="6"/>
  <c r="AS302" i="6"/>
  <c r="AR302" i="6"/>
  <c r="AQ302" i="6"/>
  <c r="AP302" i="6"/>
  <c r="AO302" i="6"/>
  <c r="AN302" i="6"/>
  <c r="AM302" i="6"/>
  <c r="AV301" i="6"/>
  <c r="AU301" i="6"/>
  <c r="AT301" i="6"/>
  <c r="AS301" i="6"/>
  <c r="AR301" i="6"/>
  <c r="AQ301" i="6"/>
  <c r="AP301" i="6"/>
  <c r="AO301" i="6"/>
  <c r="AN301" i="6"/>
  <c r="AM301" i="6"/>
  <c r="AV299" i="6"/>
  <c r="AU299" i="6"/>
  <c r="AT299" i="6"/>
  <c r="AS299" i="6"/>
  <c r="AR299" i="6"/>
  <c r="AQ299" i="6"/>
  <c r="AP299" i="6"/>
  <c r="AO299" i="6"/>
  <c r="AN299" i="6"/>
  <c r="AM299" i="6"/>
  <c r="AV298" i="6"/>
  <c r="AU298" i="6"/>
  <c r="AT298" i="6"/>
  <c r="AS298" i="6"/>
  <c r="AR298" i="6"/>
  <c r="AQ298" i="6"/>
  <c r="AP298" i="6"/>
  <c r="AO298" i="6"/>
  <c r="AN298" i="6"/>
  <c r="AM298" i="6"/>
  <c r="AV297" i="6"/>
  <c r="AU297" i="6"/>
  <c r="AT297" i="6"/>
  <c r="AS297" i="6"/>
  <c r="AR297" i="6"/>
  <c r="AQ297" i="6"/>
  <c r="AP297" i="6"/>
  <c r="AO297" i="6"/>
  <c r="AN297" i="6"/>
  <c r="AM297" i="6"/>
  <c r="AV296" i="6"/>
  <c r="AU296" i="6"/>
  <c r="AT296" i="6"/>
  <c r="AS296" i="6"/>
  <c r="AR296" i="6"/>
  <c r="AQ296" i="6"/>
  <c r="AP296" i="6"/>
  <c r="AO296" i="6"/>
  <c r="AN296" i="6"/>
  <c r="AM296" i="6"/>
  <c r="AV294" i="6"/>
  <c r="AU294" i="6"/>
  <c r="AT294" i="6"/>
  <c r="AS294" i="6"/>
  <c r="AR294" i="6"/>
  <c r="AQ294" i="6"/>
  <c r="AP294" i="6"/>
  <c r="AO294" i="6"/>
  <c r="AN294" i="6"/>
  <c r="AM294" i="6"/>
  <c r="AV293" i="6"/>
  <c r="AU293" i="6"/>
  <c r="AT293" i="6"/>
  <c r="AS293" i="6"/>
  <c r="AR293" i="6"/>
  <c r="AQ293" i="6"/>
  <c r="AP293" i="6"/>
  <c r="AO293" i="6"/>
  <c r="AN293" i="6"/>
  <c r="AM293" i="6"/>
  <c r="AV292" i="6"/>
  <c r="AU292" i="6"/>
  <c r="AT292" i="6"/>
  <c r="AS292" i="6"/>
  <c r="AR292" i="6"/>
  <c r="AQ292" i="6"/>
  <c r="AP292" i="6"/>
  <c r="AO292" i="6"/>
  <c r="AN292" i="6"/>
  <c r="AM292" i="6"/>
  <c r="AV290" i="6"/>
  <c r="AU290" i="6"/>
  <c r="AT290" i="6"/>
  <c r="AQ290" i="6"/>
  <c r="AP290" i="6"/>
  <c r="AO290" i="6"/>
  <c r="AN290" i="6"/>
  <c r="AM290" i="6"/>
  <c r="AV289" i="6"/>
  <c r="AU289" i="6"/>
  <c r="AR289" i="6"/>
  <c r="AQ289" i="6"/>
  <c r="AP289" i="6"/>
  <c r="AO289" i="6"/>
  <c r="AN289" i="6"/>
  <c r="AM289" i="6"/>
  <c r="AV288" i="6"/>
  <c r="AU288" i="6"/>
  <c r="AT288" i="6"/>
  <c r="AS288" i="6"/>
  <c r="AR288" i="6"/>
  <c r="AQ288" i="6"/>
  <c r="AP288" i="6"/>
  <c r="AO288" i="6"/>
  <c r="AN288" i="6"/>
  <c r="AM288" i="6"/>
  <c r="AV287" i="6"/>
  <c r="AU287" i="6"/>
  <c r="AT287" i="6"/>
  <c r="AS287" i="6"/>
  <c r="AR287" i="6"/>
  <c r="AQ287" i="6"/>
  <c r="AP287" i="6"/>
  <c r="AO287" i="6"/>
  <c r="AN287" i="6"/>
  <c r="AM287" i="6"/>
  <c r="AV286" i="6"/>
  <c r="AU286" i="6"/>
  <c r="AT286" i="6"/>
  <c r="AS286" i="6"/>
  <c r="AR286" i="6"/>
  <c r="AQ286" i="6"/>
  <c r="AP286" i="6"/>
  <c r="AO286" i="6"/>
  <c r="AN286" i="6"/>
  <c r="AM286" i="6"/>
  <c r="AV285" i="6"/>
  <c r="AU285" i="6"/>
  <c r="AT285" i="6"/>
  <c r="AS285" i="6"/>
  <c r="AR285" i="6"/>
  <c r="AQ285" i="6"/>
  <c r="AP285" i="6"/>
  <c r="AO285" i="6"/>
  <c r="AN285" i="6"/>
  <c r="AM285" i="6"/>
  <c r="AV284" i="6"/>
  <c r="AU284" i="6"/>
  <c r="AT284" i="6"/>
  <c r="AS284" i="6"/>
  <c r="AR284" i="6"/>
  <c r="AQ284" i="6"/>
  <c r="AP284" i="6"/>
  <c r="AO284" i="6"/>
  <c r="AN284" i="6"/>
  <c r="AM284" i="6"/>
  <c r="AV283" i="6"/>
  <c r="AU283" i="6"/>
  <c r="AT283" i="6"/>
  <c r="AS283" i="6"/>
  <c r="AR283" i="6"/>
  <c r="AQ283" i="6"/>
  <c r="AP283" i="6"/>
  <c r="AO283" i="6"/>
  <c r="AN283" i="6"/>
  <c r="AM283" i="6"/>
  <c r="AV282" i="6"/>
  <c r="AU282" i="6"/>
  <c r="AT282" i="6"/>
  <c r="AS282" i="6"/>
  <c r="AR282" i="6"/>
  <c r="AQ282" i="6"/>
  <c r="AP282" i="6"/>
  <c r="AO282" i="6"/>
  <c r="AN282" i="6"/>
  <c r="AM282" i="6"/>
  <c r="AV281" i="6"/>
  <c r="AU281" i="6"/>
  <c r="AT281" i="6"/>
  <c r="AS281" i="6"/>
  <c r="AR281" i="6"/>
  <c r="AQ281" i="6"/>
  <c r="AP281" i="6"/>
  <c r="AO281" i="6"/>
  <c r="AN281" i="6"/>
  <c r="AM281" i="6"/>
  <c r="AV280" i="6"/>
  <c r="AU280" i="6"/>
  <c r="AT280" i="6"/>
  <c r="AS280" i="6"/>
  <c r="AR280" i="6"/>
  <c r="AQ280" i="6"/>
  <c r="AP280" i="6"/>
  <c r="AO280" i="6"/>
  <c r="AN280" i="6"/>
  <c r="AM280" i="6"/>
  <c r="AV279" i="6"/>
  <c r="AU279" i="6"/>
  <c r="AT279" i="6"/>
  <c r="AS279" i="6"/>
  <c r="AR279" i="6"/>
  <c r="AQ279" i="6"/>
  <c r="AP279" i="6"/>
  <c r="AO279" i="6"/>
  <c r="AN279" i="6"/>
  <c r="AM279" i="6"/>
  <c r="AV275" i="6"/>
  <c r="AU275" i="6"/>
  <c r="AT275" i="6"/>
  <c r="AS275" i="6"/>
  <c r="AQ275" i="6"/>
  <c r="AP275" i="6"/>
  <c r="AO275" i="6"/>
  <c r="AN275" i="6"/>
  <c r="AM275" i="6"/>
  <c r="AU273" i="6"/>
  <c r="AS273" i="6"/>
  <c r="AR273" i="6"/>
  <c r="AQ273" i="6"/>
  <c r="AP273" i="6"/>
  <c r="AO273" i="6"/>
  <c r="AN273" i="6"/>
  <c r="AM273" i="6"/>
  <c r="AV270" i="6"/>
  <c r="AU270" i="6"/>
  <c r="AT270" i="6"/>
  <c r="AS270" i="6"/>
  <c r="AR270" i="6"/>
  <c r="AQ270" i="6"/>
  <c r="AP270" i="6"/>
  <c r="AO270" i="6"/>
  <c r="AN270" i="6"/>
  <c r="AM270" i="6"/>
  <c r="AV269" i="6"/>
  <c r="AU269" i="6"/>
  <c r="AT269" i="6"/>
  <c r="AS269" i="6"/>
  <c r="AR269" i="6"/>
  <c r="AQ269" i="6"/>
  <c r="AP269" i="6"/>
  <c r="AO269" i="6"/>
  <c r="AN269" i="6"/>
  <c r="AM269" i="6"/>
  <c r="AV268" i="6"/>
  <c r="AU268" i="6"/>
  <c r="AT268" i="6"/>
  <c r="AS268" i="6"/>
  <c r="AR268" i="6"/>
  <c r="AQ268" i="6"/>
  <c r="AP268" i="6"/>
  <c r="AO268" i="6"/>
  <c r="AN268" i="6"/>
  <c r="AM268" i="6"/>
  <c r="AV267" i="6"/>
  <c r="AU267" i="6"/>
  <c r="AT267" i="6"/>
  <c r="AS267" i="6"/>
  <c r="AR267" i="6"/>
  <c r="AQ267" i="6"/>
  <c r="AP267" i="6"/>
  <c r="AO267" i="6"/>
  <c r="AN267" i="6"/>
  <c r="AM267" i="6"/>
  <c r="AV266" i="6"/>
  <c r="AU266" i="6"/>
  <c r="AT266" i="6"/>
  <c r="AS266" i="6"/>
  <c r="AR266" i="6"/>
  <c r="AQ266" i="6"/>
  <c r="AP266" i="6"/>
  <c r="AO266" i="6"/>
  <c r="AN266" i="6"/>
  <c r="AM266" i="6"/>
  <c r="AV265" i="6"/>
  <c r="AU265" i="6"/>
  <c r="AT265" i="6"/>
  <c r="AS265" i="6"/>
  <c r="AR265" i="6"/>
  <c r="AQ265" i="6"/>
  <c r="AP265" i="6"/>
  <c r="AO265" i="6"/>
  <c r="AN265" i="6"/>
  <c r="AM265" i="6"/>
  <c r="AV264" i="6"/>
  <c r="AU264" i="6"/>
  <c r="AT264" i="6"/>
  <c r="AS264" i="6"/>
  <c r="AR264" i="6"/>
  <c r="AQ264" i="6"/>
  <c r="AP264" i="6"/>
  <c r="AO264" i="6"/>
  <c r="AN264" i="6"/>
  <c r="AM264" i="6"/>
  <c r="AV263" i="6"/>
  <c r="AU263" i="6"/>
  <c r="AS263" i="6"/>
  <c r="AR263" i="6"/>
  <c r="AQ263" i="6"/>
  <c r="AP263" i="6"/>
  <c r="AO263" i="6"/>
  <c r="AN263" i="6"/>
  <c r="AM263" i="6"/>
  <c r="AV262" i="6"/>
  <c r="AU262" i="6"/>
  <c r="AT262" i="6"/>
  <c r="AS262" i="6"/>
  <c r="AR262" i="6"/>
  <c r="AQ262" i="6"/>
  <c r="AP262" i="6"/>
  <c r="AO262" i="6"/>
  <c r="AN262" i="6"/>
  <c r="AM262" i="6"/>
  <c r="AV261" i="6"/>
  <c r="AU261" i="6"/>
  <c r="AT261" i="6"/>
  <c r="AS261" i="6"/>
  <c r="AR261" i="6"/>
  <c r="AQ261" i="6"/>
  <c r="AP261" i="6"/>
  <c r="AO261" i="6"/>
  <c r="AN261" i="6"/>
  <c r="AM261" i="6"/>
  <c r="AV260" i="6"/>
  <c r="AU260" i="6"/>
  <c r="AS260" i="6"/>
  <c r="AR260" i="6"/>
  <c r="AQ260" i="6"/>
  <c r="AP260" i="6"/>
  <c r="AO260" i="6"/>
  <c r="AN260" i="6"/>
  <c r="AM260" i="6"/>
  <c r="AV259" i="6"/>
  <c r="AU259" i="6"/>
  <c r="AS259" i="6"/>
  <c r="AR259" i="6"/>
  <c r="AQ259" i="6"/>
  <c r="AP259" i="6"/>
  <c r="AO259" i="6"/>
  <c r="AN259" i="6"/>
  <c r="AM259" i="6"/>
  <c r="AV258" i="6"/>
  <c r="AU258" i="6"/>
  <c r="AT258" i="6"/>
  <c r="AS258" i="6"/>
  <c r="AR258" i="6"/>
  <c r="AQ258" i="6"/>
  <c r="AP258" i="6"/>
  <c r="AO258" i="6"/>
  <c r="AN258" i="6"/>
  <c r="AM258" i="6"/>
  <c r="AV257" i="6"/>
  <c r="AU257" i="6"/>
  <c r="AT257" i="6"/>
  <c r="AS257" i="6"/>
  <c r="AR257" i="6"/>
  <c r="AQ257" i="6"/>
  <c r="AP257" i="6"/>
  <c r="AO257" i="6"/>
  <c r="AN257" i="6"/>
  <c r="AM257" i="6"/>
  <c r="AV254" i="6"/>
  <c r="AU254" i="6"/>
  <c r="AT254" i="6"/>
  <c r="AS254" i="6"/>
  <c r="AR254" i="6"/>
  <c r="AQ254" i="6"/>
  <c r="AP254" i="6"/>
  <c r="AO254" i="6"/>
  <c r="AN254" i="6"/>
  <c r="AM254" i="6"/>
  <c r="AV253" i="6"/>
  <c r="AU253" i="6"/>
  <c r="AT253" i="6"/>
  <c r="AS253" i="6"/>
  <c r="AR253" i="6"/>
  <c r="AP253" i="6"/>
  <c r="AO253" i="6"/>
  <c r="AN253" i="6"/>
  <c r="AM253" i="6"/>
  <c r="AV250" i="6"/>
  <c r="AU250" i="6"/>
  <c r="AT250" i="6"/>
  <c r="AS250" i="6"/>
  <c r="AR250" i="6"/>
  <c r="AQ250" i="6"/>
  <c r="AP250" i="6"/>
  <c r="AO250" i="6"/>
  <c r="AN250" i="6"/>
  <c r="AM250" i="6"/>
  <c r="AV249" i="6"/>
  <c r="AU249" i="6"/>
  <c r="AT249" i="6"/>
  <c r="AS249" i="6"/>
  <c r="AR249" i="6"/>
  <c r="AQ249" i="6"/>
  <c r="AP249" i="6"/>
  <c r="AO249" i="6"/>
  <c r="AN249" i="6"/>
  <c r="AM249" i="6"/>
  <c r="AV245" i="6"/>
  <c r="AU245" i="6"/>
  <c r="AT245" i="6"/>
  <c r="AS245" i="6"/>
  <c r="AR245" i="6"/>
  <c r="AQ245" i="6"/>
  <c r="AP245" i="6"/>
  <c r="AO245" i="6"/>
  <c r="AN245" i="6"/>
  <c r="AM245" i="6"/>
  <c r="AV244" i="6"/>
  <c r="AU244" i="6"/>
  <c r="AT244" i="6"/>
  <c r="AS244" i="6"/>
  <c r="AR244" i="6"/>
  <c r="AQ244" i="6"/>
  <c r="AP244" i="6"/>
  <c r="AO244" i="6"/>
  <c r="AN244" i="6"/>
  <c r="AV243" i="6"/>
  <c r="AU243" i="6"/>
  <c r="AT243" i="6"/>
  <c r="AS243" i="6"/>
  <c r="AR243" i="6"/>
  <c r="AQ243" i="6"/>
  <c r="AP243" i="6"/>
  <c r="AO243" i="6"/>
  <c r="AN243" i="6"/>
  <c r="AM243" i="6"/>
  <c r="AV241" i="6"/>
  <c r="AU241" i="6"/>
  <c r="AT241" i="6"/>
  <c r="AS241" i="6"/>
  <c r="AR241" i="6"/>
  <c r="AQ241" i="6"/>
  <c r="AP241" i="6"/>
  <c r="AO241" i="6"/>
  <c r="AN241" i="6"/>
  <c r="AM241" i="6"/>
  <c r="AV237" i="6"/>
  <c r="AU237" i="6"/>
  <c r="AT237" i="6"/>
  <c r="AS237" i="6"/>
  <c r="AR237" i="6"/>
  <c r="AQ237" i="6"/>
  <c r="AP237" i="6"/>
  <c r="AO237" i="6"/>
  <c r="AN237" i="6"/>
  <c r="AM237" i="6"/>
  <c r="AV235" i="6"/>
  <c r="AU235" i="6"/>
  <c r="AT235" i="6"/>
  <c r="AS235" i="6"/>
  <c r="AR235" i="6"/>
  <c r="AQ235" i="6"/>
  <c r="AP235" i="6"/>
  <c r="AO235" i="6"/>
  <c r="AN235" i="6"/>
  <c r="AM235" i="6"/>
  <c r="AV231" i="6"/>
  <c r="AU231" i="6"/>
  <c r="AT231" i="6"/>
  <c r="AS231" i="6"/>
  <c r="AR231" i="6"/>
  <c r="AQ231" i="6"/>
  <c r="AP231" i="6"/>
  <c r="AO231" i="6"/>
  <c r="AN231" i="6"/>
  <c r="AM231" i="6"/>
  <c r="AV230" i="6"/>
  <c r="AU230" i="6"/>
  <c r="AT230" i="6"/>
  <c r="AS230" i="6"/>
  <c r="AR230" i="6"/>
  <c r="AQ230" i="6"/>
  <c r="AP230" i="6"/>
  <c r="AO230" i="6"/>
  <c r="AN230" i="6"/>
  <c r="AM230" i="6"/>
  <c r="AV229" i="6"/>
  <c r="AU229" i="6"/>
  <c r="AT229" i="6"/>
  <c r="AS229" i="6"/>
  <c r="AR229" i="6"/>
  <c r="AQ229" i="6"/>
  <c r="AP229" i="6"/>
  <c r="AO229" i="6"/>
  <c r="AN229" i="6"/>
  <c r="AM229" i="6"/>
  <c r="AV228" i="6"/>
  <c r="AU228" i="6"/>
  <c r="AT228" i="6"/>
  <c r="AS228" i="6"/>
  <c r="AR228" i="6"/>
  <c r="AQ228" i="6"/>
  <c r="AP228" i="6"/>
  <c r="AO228" i="6"/>
  <c r="AN228" i="6"/>
  <c r="AM228" i="6"/>
  <c r="AV226" i="6"/>
  <c r="AU226" i="6"/>
  <c r="AT226" i="6"/>
  <c r="AS226" i="6"/>
  <c r="AR226" i="6"/>
  <c r="AQ226" i="6"/>
  <c r="AP226" i="6"/>
  <c r="AO226" i="6"/>
  <c r="AN226" i="6"/>
  <c r="AM226" i="6"/>
  <c r="AV225" i="6"/>
  <c r="AU225" i="6"/>
  <c r="AT225" i="6"/>
  <c r="AS225" i="6"/>
  <c r="AR225" i="6"/>
  <c r="AQ225" i="6"/>
  <c r="AP225" i="6"/>
  <c r="AO225" i="6"/>
  <c r="AN225" i="6"/>
  <c r="AM225" i="6"/>
  <c r="AV223" i="6"/>
  <c r="AU223" i="6"/>
  <c r="AT223" i="6"/>
  <c r="AS223" i="6"/>
  <c r="AR223" i="6"/>
  <c r="AQ223" i="6"/>
  <c r="AP223" i="6"/>
  <c r="AO223" i="6"/>
  <c r="AN223" i="6"/>
  <c r="AM223" i="6"/>
  <c r="AV222" i="6"/>
  <c r="AU222" i="6"/>
  <c r="AT222" i="6"/>
  <c r="AS222" i="6"/>
  <c r="AR222" i="6"/>
  <c r="AQ222" i="6"/>
  <c r="AO222" i="6"/>
  <c r="AN222" i="6"/>
  <c r="AM222" i="6"/>
  <c r="AV220" i="6"/>
  <c r="AU220" i="6"/>
  <c r="AT220" i="6"/>
  <c r="AS220" i="6"/>
  <c r="AR220" i="6"/>
  <c r="AQ220" i="6"/>
  <c r="AP220" i="6"/>
  <c r="AO220" i="6"/>
  <c r="AN220" i="6"/>
  <c r="AM220" i="6"/>
  <c r="AV219" i="6"/>
  <c r="AU219" i="6"/>
  <c r="AT219" i="6"/>
  <c r="AS219" i="6"/>
  <c r="AR219" i="6"/>
  <c r="AQ219" i="6"/>
  <c r="AP219" i="6"/>
  <c r="AO219" i="6"/>
  <c r="AN219" i="6"/>
  <c r="AM219" i="6"/>
  <c r="AV216" i="6"/>
  <c r="AU216" i="6"/>
  <c r="AT216" i="6"/>
  <c r="AS216" i="6"/>
  <c r="AR216" i="6"/>
  <c r="AQ216" i="6"/>
  <c r="AP216" i="6"/>
  <c r="AO216" i="6"/>
  <c r="AN216" i="6"/>
  <c r="AM216" i="6"/>
  <c r="AV214" i="6"/>
  <c r="AU214" i="6"/>
  <c r="AT214" i="6"/>
  <c r="AS214" i="6"/>
  <c r="AR214" i="6"/>
  <c r="AQ214" i="6"/>
  <c r="AP214" i="6"/>
  <c r="AO214" i="6"/>
  <c r="AN214" i="6"/>
  <c r="AM214" i="6"/>
  <c r="AV213" i="6"/>
  <c r="AU213" i="6"/>
  <c r="AT213" i="6"/>
  <c r="AS213" i="6"/>
  <c r="AR213" i="6"/>
  <c r="AQ213" i="6"/>
  <c r="AP213" i="6"/>
  <c r="AO213" i="6"/>
  <c r="AN213" i="6"/>
  <c r="AM213" i="6"/>
  <c r="AV212" i="6"/>
  <c r="AU212" i="6"/>
  <c r="AT212" i="6"/>
  <c r="AS212" i="6"/>
  <c r="AR212" i="6"/>
  <c r="AQ212" i="6"/>
  <c r="AP212" i="6"/>
  <c r="AO212" i="6"/>
  <c r="AN212" i="6"/>
  <c r="AM212" i="6"/>
  <c r="AV209" i="6"/>
  <c r="AU209" i="6"/>
  <c r="AT209" i="6"/>
  <c r="AS209" i="6"/>
  <c r="AR209" i="6"/>
  <c r="AQ209" i="6"/>
  <c r="AP209" i="6"/>
  <c r="AO209" i="6"/>
  <c r="AN209" i="6"/>
  <c r="AM209" i="6"/>
  <c r="AV208" i="6"/>
  <c r="AU208" i="6"/>
  <c r="AT208" i="6"/>
  <c r="AS208" i="6"/>
  <c r="AR208" i="6"/>
  <c r="AQ208" i="6"/>
  <c r="AP208" i="6"/>
  <c r="AO208" i="6"/>
  <c r="AN208" i="6"/>
  <c r="AM208" i="6"/>
  <c r="AV206" i="6"/>
  <c r="AU206" i="6"/>
  <c r="AT206" i="6"/>
  <c r="AS206" i="6"/>
  <c r="AR206" i="6"/>
  <c r="AQ206" i="6"/>
  <c r="AP206" i="6"/>
  <c r="AO206" i="6"/>
  <c r="AN206" i="6"/>
  <c r="AM206" i="6"/>
  <c r="AV205" i="6"/>
  <c r="AU205" i="6"/>
  <c r="AT205" i="6"/>
  <c r="AS205" i="6"/>
  <c r="AR205" i="6"/>
  <c r="AQ205" i="6"/>
  <c r="AP205" i="6"/>
  <c r="AO205" i="6"/>
  <c r="AN205" i="6"/>
  <c r="AM205" i="6"/>
  <c r="AV202" i="6"/>
  <c r="AU202" i="6"/>
  <c r="AT202" i="6"/>
  <c r="AS202" i="6"/>
  <c r="AR202" i="6"/>
  <c r="AQ202" i="6"/>
  <c r="AP202" i="6"/>
  <c r="AO202" i="6"/>
  <c r="AN202" i="6"/>
  <c r="AM202" i="6"/>
  <c r="AV200" i="6"/>
  <c r="AU200" i="6"/>
  <c r="AT200" i="6"/>
  <c r="AS200" i="6"/>
  <c r="AR200" i="6"/>
  <c r="AQ200" i="6"/>
  <c r="AP200" i="6"/>
  <c r="AO200" i="6"/>
  <c r="AN200" i="6"/>
  <c r="AM200" i="6"/>
  <c r="AV199" i="6"/>
  <c r="AU199" i="6"/>
  <c r="AT199" i="6"/>
  <c r="AS199" i="6"/>
  <c r="AQ199" i="6"/>
  <c r="AP199" i="6"/>
  <c r="AO199" i="6"/>
  <c r="AN199" i="6"/>
  <c r="AM199" i="6"/>
  <c r="AV198" i="6"/>
  <c r="AU198" i="6"/>
  <c r="AT198" i="6"/>
  <c r="AS198" i="6"/>
  <c r="AR198" i="6"/>
  <c r="AQ198" i="6"/>
  <c r="AP198" i="6"/>
  <c r="AO198" i="6"/>
  <c r="AN198" i="6"/>
  <c r="AM198" i="6"/>
  <c r="AV196" i="6"/>
  <c r="AU196" i="6"/>
  <c r="AT196" i="6"/>
  <c r="AS196" i="6"/>
  <c r="AR196" i="6"/>
  <c r="AQ196" i="6"/>
  <c r="AP196" i="6"/>
  <c r="AO196" i="6"/>
  <c r="AN196" i="6"/>
  <c r="AM196" i="6"/>
  <c r="AV195" i="6"/>
  <c r="AU195" i="6"/>
  <c r="AS195" i="6"/>
  <c r="AR195" i="6"/>
  <c r="AQ195" i="6"/>
  <c r="AP195" i="6"/>
  <c r="AO195" i="6"/>
  <c r="AN195" i="6"/>
  <c r="AM195" i="6"/>
  <c r="AV194" i="6"/>
  <c r="AU194" i="6"/>
  <c r="AT194" i="6"/>
  <c r="AS194" i="6"/>
  <c r="AR194" i="6"/>
  <c r="AQ194" i="6"/>
  <c r="AP194" i="6"/>
  <c r="AO194" i="6"/>
  <c r="AN194" i="6"/>
  <c r="AM194" i="6"/>
  <c r="AV193" i="6"/>
  <c r="AU193" i="6"/>
  <c r="AT193" i="6"/>
  <c r="AS193" i="6"/>
  <c r="AR193" i="6"/>
  <c r="AQ193" i="6"/>
  <c r="AP193" i="6"/>
  <c r="AO193" i="6"/>
  <c r="AN193" i="6"/>
  <c r="AM193" i="6"/>
  <c r="AV190" i="6"/>
  <c r="AU190" i="6"/>
  <c r="AT190" i="6"/>
  <c r="AS190" i="6"/>
  <c r="AR190" i="6"/>
  <c r="AQ190" i="6"/>
  <c r="AP190" i="6"/>
  <c r="AO190" i="6"/>
  <c r="AN190" i="6"/>
  <c r="AM190" i="6"/>
  <c r="AV187" i="6"/>
  <c r="AU187" i="6"/>
  <c r="AT187" i="6"/>
  <c r="AS187" i="6"/>
  <c r="AR187" i="6"/>
  <c r="AQ187" i="6"/>
  <c r="AP187" i="6"/>
  <c r="AO187" i="6"/>
  <c r="AN187" i="6"/>
  <c r="AM187" i="6"/>
  <c r="AV186" i="6"/>
  <c r="AU186" i="6"/>
  <c r="AT186" i="6"/>
  <c r="AS186" i="6"/>
  <c r="AR186" i="6"/>
  <c r="AQ186" i="6"/>
  <c r="AP186" i="6"/>
  <c r="AO186" i="6"/>
  <c r="AN186" i="6"/>
  <c r="AM186" i="6"/>
  <c r="AV185" i="6"/>
  <c r="AU185" i="6"/>
  <c r="AT185" i="6"/>
  <c r="AS185" i="6"/>
  <c r="AR185" i="6"/>
  <c r="AQ185" i="6"/>
  <c r="AP185" i="6"/>
  <c r="AO185" i="6"/>
  <c r="AN185" i="6"/>
  <c r="AM185" i="6"/>
  <c r="AV183" i="6"/>
  <c r="AU183" i="6"/>
  <c r="AT183" i="6"/>
  <c r="AS183" i="6"/>
  <c r="AR183" i="6"/>
  <c r="AQ183" i="6"/>
  <c r="AP183" i="6"/>
  <c r="AN183" i="6"/>
  <c r="AM183" i="6"/>
  <c r="AV180" i="6"/>
  <c r="AU180" i="6"/>
  <c r="AS180" i="6"/>
  <c r="AR180" i="6"/>
  <c r="AP180" i="6"/>
  <c r="AO180" i="6"/>
  <c r="AN180" i="6"/>
  <c r="AM180" i="6"/>
  <c r="AV179" i="6"/>
  <c r="AU179" i="6"/>
  <c r="AT179" i="6"/>
  <c r="AS179" i="6"/>
  <c r="AR179" i="6"/>
  <c r="AQ179" i="6"/>
  <c r="AP179" i="6"/>
  <c r="AO179" i="6"/>
  <c r="AN179" i="6"/>
  <c r="AM179" i="6"/>
  <c r="AV177" i="6"/>
  <c r="AU177" i="6"/>
  <c r="AT177" i="6"/>
  <c r="AS177" i="6"/>
  <c r="AR177" i="6"/>
  <c r="AQ177" i="6"/>
  <c r="AP177" i="6"/>
  <c r="AO177" i="6"/>
  <c r="AN177" i="6"/>
  <c r="AM177" i="6"/>
  <c r="AV175" i="6"/>
  <c r="AU175" i="6"/>
  <c r="AT175" i="6"/>
  <c r="AS175" i="6"/>
  <c r="AR175" i="6"/>
  <c r="AQ175" i="6"/>
  <c r="AP175" i="6"/>
  <c r="AO175" i="6"/>
  <c r="AN175" i="6"/>
  <c r="AM175" i="6"/>
  <c r="AV171" i="6"/>
  <c r="AU171" i="6"/>
  <c r="AT171" i="6"/>
  <c r="AS171" i="6"/>
  <c r="AR171" i="6"/>
  <c r="AQ171" i="6"/>
  <c r="AP171" i="6"/>
  <c r="AO171" i="6"/>
  <c r="AN171" i="6"/>
  <c r="AM171" i="6"/>
  <c r="AV170" i="6"/>
  <c r="AU170" i="6"/>
  <c r="AT170" i="6"/>
  <c r="AS170" i="6"/>
  <c r="AR170" i="6"/>
  <c r="AQ170" i="6"/>
  <c r="AP170" i="6"/>
  <c r="AO170" i="6"/>
  <c r="AN170" i="6"/>
  <c r="AM170" i="6"/>
  <c r="AV169" i="6"/>
  <c r="AU169" i="6"/>
  <c r="AT169" i="6"/>
  <c r="AS169" i="6"/>
  <c r="AR169" i="6"/>
  <c r="AQ169" i="6"/>
  <c r="AP169" i="6"/>
  <c r="AO169" i="6"/>
  <c r="AN169" i="6"/>
  <c r="AM169" i="6"/>
  <c r="AV168" i="6"/>
  <c r="AU168" i="6"/>
  <c r="AT168" i="6"/>
  <c r="AS168" i="6"/>
  <c r="AR168" i="6"/>
  <c r="AQ168" i="6"/>
  <c r="AP168" i="6"/>
  <c r="AO168" i="6"/>
  <c r="AN168" i="6"/>
  <c r="AM168" i="6"/>
  <c r="AV167" i="6"/>
  <c r="AU167" i="6"/>
  <c r="AT167" i="6"/>
  <c r="AS167" i="6"/>
  <c r="AR167" i="6"/>
  <c r="AQ167" i="6"/>
  <c r="AP167" i="6"/>
  <c r="AO167" i="6"/>
  <c r="AN167" i="6"/>
  <c r="AM167" i="6"/>
  <c r="AV164" i="6"/>
  <c r="AU164" i="6"/>
  <c r="AT164" i="6"/>
  <c r="AS164" i="6"/>
  <c r="AR164" i="6"/>
  <c r="AQ164" i="6"/>
  <c r="AP164" i="6"/>
  <c r="AO164" i="6"/>
  <c r="AN164" i="6"/>
  <c r="AM164" i="6"/>
  <c r="AV161" i="6"/>
  <c r="AU161" i="6"/>
  <c r="AS161" i="6"/>
  <c r="AR161" i="6"/>
  <c r="AQ161" i="6"/>
  <c r="AO161" i="6"/>
  <c r="AN161" i="6"/>
  <c r="AM161" i="6"/>
  <c r="AV158" i="6"/>
  <c r="AU158" i="6"/>
  <c r="AT158" i="6"/>
  <c r="AS158" i="6"/>
  <c r="AR158" i="6"/>
  <c r="AQ158" i="6"/>
  <c r="AP158" i="6"/>
  <c r="AO158" i="6"/>
  <c r="AN158" i="6"/>
  <c r="AM158" i="6"/>
  <c r="AV157" i="6"/>
  <c r="AU157" i="6"/>
  <c r="AT157" i="6"/>
  <c r="AS157" i="6"/>
  <c r="AR157" i="6"/>
  <c r="AQ157" i="6"/>
  <c r="AP157" i="6"/>
  <c r="AO157" i="6"/>
  <c r="AN157" i="6"/>
  <c r="AM157" i="6"/>
  <c r="AV155" i="6"/>
  <c r="AU155" i="6"/>
  <c r="AT155" i="6"/>
  <c r="AS155" i="6"/>
  <c r="AR155" i="6"/>
  <c r="AQ155" i="6"/>
  <c r="AP155" i="6"/>
  <c r="AO155" i="6"/>
  <c r="AN155" i="6"/>
  <c r="AM155" i="6"/>
  <c r="AV154" i="6"/>
  <c r="AU154" i="6"/>
  <c r="AT154" i="6"/>
  <c r="AS154" i="6"/>
  <c r="AR154" i="6"/>
  <c r="AQ154" i="6"/>
  <c r="AP154" i="6"/>
  <c r="AO154" i="6"/>
  <c r="AN154" i="6"/>
  <c r="AM154" i="6"/>
  <c r="AV152" i="6"/>
  <c r="AU152" i="6"/>
  <c r="AT152" i="6"/>
  <c r="AS152" i="6"/>
  <c r="AR152" i="6"/>
  <c r="AQ152" i="6"/>
  <c r="AP152" i="6"/>
  <c r="AO152" i="6"/>
  <c r="AN152" i="6"/>
  <c r="AM152" i="6"/>
  <c r="AV151" i="6"/>
  <c r="AU151" i="6"/>
  <c r="AT151" i="6"/>
  <c r="AS151" i="6"/>
  <c r="AR151" i="6"/>
  <c r="AQ151" i="6"/>
  <c r="AP151" i="6"/>
  <c r="AO151" i="6"/>
  <c r="AN151" i="6"/>
  <c r="AM151" i="6"/>
  <c r="AV149" i="6"/>
  <c r="AU149" i="6"/>
  <c r="AT149" i="6"/>
  <c r="AS149" i="6"/>
  <c r="AR149" i="6"/>
  <c r="AQ149" i="6"/>
  <c r="AP149" i="6"/>
  <c r="AO149" i="6"/>
  <c r="AN149" i="6"/>
  <c r="AM149" i="6"/>
  <c r="AV148" i="6"/>
  <c r="AU148" i="6"/>
  <c r="AT148" i="6"/>
  <c r="AS148" i="6"/>
  <c r="AR148" i="6"/>
  <c r="AQ148" i="6"/>
  <c r="AP148" i="6"/>
  <c r="AO148" i="6"/>
  <c r="AN148" i="6"/>
  <c r="AM148" i="6"/>
  <c r="AU147" i="6"/>
  <c r="AT147" i="6"/>
  <c r="AS147" i="6"/>
  <c r="AR147" i="6"/>
  <c r="AQ147" i="6"/>
  <c r="AP147" i="6"/>
  <c r="AO147" i="6"/>
  <c r="AN147" i="6"/>
  <c r="AM147" i="6"/>
  <c r="AV146" i="6"/>
  <c r="AU146" i="6"/>
  <c r="AS146" i="6"/>
  <c r="AR146" i="6"/>
  <c r="AQ146" i="6"/>
  <c r="AP146" i="6"/>
  <c r="AO146" i="6"/>
  <c r="AN146" i="6"/>
  <c r="AM146" i="6"/>
  <c r="AV144" i="6"/>
  <c r="AU144" i="6"/>
  <c r="AT144" i="6"/>
  <c r="AR144" i="6"/>
  <c r="AQ144" i="6"/>
  <c r="AP144" i="6"/>
  <c r="AO144" i="6"/>
  <c r="AN144" i="6"/>
  <c r="AM144" i="6"/>
  <c r="AV142" i="6"/>
  <c r="AU142" i="6"/>
  <c r="AT142" i="6"/>
  <c r="AS142" i="6"/>
  <c r="AR142" i="6"/>
  <c r="AQ142" i="6"/>
  <c r="AP142" i="6"/>
  <c r="AO142" i="6"/>
  <c r="AN142" i="6"/>
  <c r="AM142" i="6"/>
  <c r="AV141" i="6"/>
  <c r="AU141" i="6"/>
  <c r="AT141" i="6"/>
  <c r="AS141" i="6"/>
  <c r="AR141" i="6"/>
  <c r="AQ141" i="6"/>
  <c r="AP141" i="6"/>
  <c r="AO141" i="6"/>
  <c r="AN141" i="6"/>
  <c r="AM141" i="6"/>
  <c r="AV140" i="6"/>
  <c r="AU140" i="6"/>
  <c r="AT140" i="6"/>
  <c r="AS140" i="6"/>
  <c r="AR140" i="6"/>
  <c r="AQ140" i="6"/>
  <c r="AP140" i="6"/>
  <c r="AO140" i="6"/>
  <c r="AN140" i="6"/>
  <c r="AM140" i="6"/>
  <c r="AV139" i="6"/>
  <c r="AU139" i="6"/>
  <c r="AT139" i="6"/>
  <c r="AS139" i="6"/>
  <c r="AR139" i="6"/>
  <c r="AQ139" i="6"/>
  <c r="AP139" i="6"/>
  <c r="AO139" i="6"/>
  <c r="AN139" i="6"/>
  <c r="AM139" i="6"/>
  <c r="AV138" i="6"/>
  <c r="AU138" i="6"/>
  <c r="AT138" i="6"/>
  <c r="AS138" i="6"/>
  <c r="AR138" i="6"/>
  <c r="AQ138" i="6"/>
  <c r="AP138" i="6"/>
  <c r="AO138" i="6"/>
  <c r="AN138" i="6"/>
  <c r="AM138" i="6"/>
  <c r="AV137" i="6"/>
  <c r="AU137" i="6"/>
  <c r="AT137" i="6"/>
  <c r="AS137" i="6"/>
  <c r="AR137" i="6"/>
  <c r="AQ137" i="6"/>
  <c r="AP137" i="6"/>
  <c r="AO137" i="6"/>
  <c r="AN137" i="6"/>
  <c r="AM137" i="6"/>
  <c r="AV136" i="6"/>
  <c r="AU136" i="6"/>
  <c r="AT136" i="6"/>
  <c r="AS136" i="6"/>
  <c r="AR136" i="6"/>
  <c r="AQ136" i="6"/>
  <c r="AP136" i="6"/>
  <c r="AO136" i="6"/>
  <c r="AN136" i="6"/>
  <c r="AM136" i="6"/>
  <c r="AV133" i="6"/>
  <c r="AU133" i="6"/>
  <c r="AT133" i="6"/>
  <c r="AS133" i="6"/>
  <c r="AR133" i="6"/>
  <c r="AQ133" i="6"/>
  <c r="AP133" i="6"/>
  <c r="AO133" i="6"/>
  <c r="AN133" i="6"/>
  <c r="AM133" i="6"/>
  <c r="AV132" i="6"/>
  <c r="AU132" i="6"/>
  <c r="AT132" i="6"/>
  <c r="AS132" i="6"/>
  <c r="AR132" i="6"/>
  <c r="AQ132" i="6"/>
  <c r="AP132" i="6"/>
  <c r="AO132" i="6"/>
  <c r="AN132" i="6"/>
  <c r="AM132" i="6"/>
  <c r="AV131" i="6"/>
  <c r="AU131" i="6"/>
  <c r="AT131" i="6"/>
  <c r="AS131" i="6"/>
  <c r="AR131" i="6"/>
  <c r="AQ131" i="6"/>
  <c r="AP131" i="6"/>
  <c r="AO131" i="6"/>
  <c r="AN131" i="6"/>
  <c r="AM131" i="6"/>
  <c r="AV130" i="6"/>
  <c r="AU130" i="6"/>
  <c r="AT130" i="6"/>
  <c r="AS130" i="6"/>
  <c r="AR130" i="6"/>
  <c r="AQ130" i="6"/>
  <c r="AP130" i="6"/>
  <c r="AO130" i="6"/>
  <c r="AN130" i="6"/>
  <c r="AM130" i="6"/>
  <c r="AV129" i="6"/>
  <c r="AU129" i="6"/>
  <c r="AT129" i="6"/>
  <c r="AS129" i="6"/>
  <c r="AR129" i="6"/>
  <c r="AQ129" i="6"/>
  <c r="AP129" i="6"/>
  <c r="AO129" i="6"/>
  <c r="AN129" i="6"/>
  <c r="AM129" i="6"/>
  <c r="AV126" i="6"/>
  <c r="AU126" i="6"/>
  <c r="AT126" i="6"/>
  <c r="AR126" i="6"/>
  <c r="AQ126" i="6"/>
  <c r="AO126" i="6"/>
  <c r="AN126" i="6"/>
  <c r="AM126" i="6"/>
  <c r="AV125" i="6"/>
  <c r="AU125" i="6"/>
  <c r="AS125" i="6"/>
  <c r="AR125" i="6"/>
  <c r="AQ125" i="6"/>
  <c r="AO125" i="6"/>
  <c r="AN125" i="6"/>
  <c r="AM125" i="6"/>
  <c r="AV122" i="6"/>
  <c r="AU122" i="6"/>
  <c r="AT122" i="6"/>
  <c r="AS122" i="6"/>
  <c r="AR122" i="6"/>
  <c r="AQ122" i="6"/>
  <c r="AP122" i="6"/>
  <c r="AO122" i="6"/>
  <c r="AN122" i="6"/>
  <c r="AM122" i="6"/>
  <c r="AV121" i="6"/>
  <c r="AU121" i="6"/>
  <c r="AT121" i="6"/>
  <c r="AS121" i="6"/>
  <c r="AR121" i="6"/>
  <c r="AQ121" i="6"/>
  <c r="AP121" i="6"/>
  <c r="AO121" i="6"/>
  <c r="AN121" i="6"/>
  <c r="AM121" i="6"/>
  <c r="AV120" i="6"/>
  <c r="AU120" i="6"/>
  <c r="AT120" i="6"/>
  <c r="AS120" i="6"/>
  <c r="AR120" i="6"/>
  <c r="AQ120" i="6"/>
  <c r="AP120" i="6"/>
  <c r="AO120" i="6"/>
  <c r="AN120" i="6"/>
  <c r="AM120" i="6"/>
  <c r="AV119" i="6"/>
  <c r="AU119" i="6"/>
  <c r="AT119" i="6"/>
  <c r="AS119" i="6"/>
  <c r="AR119" i="6"/>
  <c r="AQ119" i="6"/>
  <c r="AP119" i="6"/>
  <c r="AO119" i="6"/>
  <c r="AN119" i="6"/>
  <c r="AM119" i="6"/>
  <c r="AV118" i="6"/>
  <c r="AU118" i="6"/>
  <c r="AT118" i="6"/>
  <c r="AS118" i="6"/>
  <c r="AR118" i="6"/>
  <c r="AQ118" i="6"/>
  <c r="AP118" i="6"/>
  <c r="AO118" i="6"/>
  <c r="AN118" i="6"/>
  <c r="AM118" i="6"/>
  <c r="AV117" i="6"/>
  <c r="AU117" i="6"/>
  <c r="AT117" i="6"/>
  <c r="AS117" i="6"/>
  <c r="AR117" i="6"/>
  <c r="AQ117" i="6"/>
  <c r="AP117" i="6"/>
  <c r="AO117" i="6"/>
  <c r="AN117" i="6"/>
  <c r="AM117" i="6"/>
  <c r="AV116" i="6"/>
  <c r="AU116" i="6"/>
  <c r="AT116" i="6"/>
  <c r="AS116" i="6"/>
  <c r="AR116" i="6"/>
  <c r="AQ116" i="6"/>
  <c r="AP116" i="6"/>
  <c r="AO116" i="6"/>
  <c r="AN116" i="6"/>
  <c r="AM116" i="6"/>
  <c r="AV115" i="6"/>
  <c r="AU115" i="6"/>
  <c r="AT115" i="6"/>
  <c r="AS115" i="6"/>
  <c r="AR115" i="6"/>
  <c r="AQ115" i="6"/>
  <c r="AP115" i="6"/>
  <c r="AO115" i="6"/>
  <c r="AN115" i="6"/>
  <c r="AM115" i="6"/>
  <c r="AV113" i="6"/>
  <c r="AU113" i="6"/>
  <c r="AT113" i="6"/>
  <c r="AS113" i="6"/>
  <c r="AR113" i="6"/>
  <c r="AQ113" i="6"/>
  <c r="AP113" i="6"/>
  <c r="AO113" i="6"/>
  <c r="AN113" i="6"/>
  <c r="AM113" i="6"/>
  <c r="AV112" i="6"/>
  <c r="AU112" i="6"/>
  <c r="AT112" i="6"/>
  <c r="AS112" i="6"/>
  <c r="AR112" i="6"/>
  <c r="AQ112" i="6"/>
  <c r="AP112" i="6"/>
  <c r="AO112" i="6"/>
  <c r="AN112" i="6"/>
  <c r="AM112" i="6"/>
  <c r="AV111" i="6"/>
  <c r="AU111" i="6"/>
  <c r="AT111" i="6"/>
  <c r="AS111" i="6"/>
  <c r="AR111" i="6"/>
  <c r="AQ111" i="6"/>
  <c r="AP111" i="6"/>
  <c r="AO111" i="6"/>
  <c r="AN111" i="6"/>
  <c r="AM111" i="6"/>
  <c r="AV110" i="6"/>
  <c r="AU110" i="6"/>
  <c r="AT110" i="6"/>
  <c r="AS110" i="6"/>
  <c r="AR110" i="6"/>
  <c r="AQ110" i="6"/>
  <c r="AP110" i="6"/>
  <c r="AO110" i="6"/>
  <c r="AN110" i="6"/>
  <c r="AM110" i="6"/>
  <c r="AV109" i="6"/>
  <c r="AU109" i="6"/>
  <c r="AT109" i="6"/>
  <c r="AS109" i="6"/>
  <c r="AR109" i="6"/>
  <c r="AQ109" i="6"/>
  <c r="AP109" i="6"/>
  <c r="AO109" i="6"/>
  <c r="AN109" i="6"/>
  <c r="AM109" i="6"/>
  <c r="AV104" i="6"/>
  <c r="AU104" i="6"/>
  <c r="AT104" i="6"/>
  <c r="AS104" i="6"/>
  <c r="AR104" i="6"/>
  <c r="AQ104" i="6"/>
  <c r="AP104" i="6"/>
  <c r="AO104" i="6"/>
  <c r="AN104" i="6"/>
  <c r="AM104" i="6"/>
  <c r="AV102" i="6"/>
  <c r="AU102" i="6"/>
  <c r="AT102" i="6"/>
  <c r="AS102" i="6"/>
  <c r="AR102" i="6"/>
  <c r="AQ102" i="6"/>
  <c r="AP102" i="6"/>
  <c r="AO102" i="6"/>
  <c r="AN102" i="6"/>
  <c r="AM102" i="6"/>
  <c r="AV101" i="6"/>
  <c r="AU101" i="6"/>
  <c r="AT101" i="6"/>
  <c r="AS101" i="6"/>
  <c r="AR101" i="6"/>
  <c r="AQ101" i="6"/>
  <c r="AP101" i="6"/>
  <c r="AO101" i="6"/>
  <c r="AN101" i="6"/>
  <c r="AM101" i="6"/>
  <c r="AV100" i="6"/>
  <c r="AU100" i="6"/>
  <c r="AT100" i="6"/>
  <c r="AR100" i="6"/>
  <c r="AQ100" i="6"/>
  <c r="AP100" i="6"/>
  <c r="AO100" i="6"/>
  <c r="AN100" i="6"/>
  <c r="AM100" i="6"/>
  <c r="AV96" i="6"/>
  <c r="AU96" i="6"/>
  <c r="AT96" i="6"/>
  <c r="AS96" i="6"/>
  <c r="AR96" i="6"/>
  <c r="AQ96" i="6"/>
  <c r="AP96" i="6"/>
  <c r="AO96" i="6"/>
  <c r="AN96" i="6"/>
  <c r="AM96" i="6"/>
  <c r="AV93" i="6"/>
  <c r="AU93" i="6"/>
  <c r="AT93" i="6"/>
  <c r="AS93" i="6"/>
  <c r="AR93" i="6"/>
  <c r="AQ93" i="6"/>
  <c r="AP93" i="6"/>
  <c r="AO93" i="6"/>
  <c r="AN93" i="6"/>
  <c r="AM93" i="6"/>
  <c r="AV90" i="6"/>
  <c r="AU90" i="6"/>
  <c r="AT90" i="6"/>
  <c r="AS90" i="6"/>
  <c r="AR90" i="6"/>
  <c r="AQ90" i="6"/>
  <c r="AP90" i="6"/>
  <c r="AO90" i="6"/>
  <c r="AN90" i="6"/>
  <c r="AM90" i="6"/>
  <c r="AV88" i="6"/>
  <c r="AU88" i="6"/>
  <c r="AT88" i="6"/>
  <c r="AS88" i="6"/>
  <c r="AR88" i="6"/>
  <c r="AQ88" i="6"/>
  <c r="AP88" i="6"/>
  <c r="AO88" i="6"/>
  <c r="AN88" i="6"/>
  <c r="AM88" i="6"/>
  <c r="AV86" i="6"/>
  <c r="AU86" i="6"/>
  <c r="AT86" i="6"/>
  <c r="AS86" i="6"/>
  <c r="AR86" i="6"/>
  <c r="AQ86" i="6"/>
  <c r="AP86" i="6"/>
  <c r="AO86" i="6"/>
  <c r="AN86" i="6"/>
  <c r="AM86" i="6"/>
  <c r="AV85" i="6"/>
  <c r="AU85" i="6"/>
  <c r="AT85" i="6"/>
  <c r="AS85" i="6"/>
  <c r="AR85" i="6"/>
  <c r="AQ85" i="6"/>
  <c r="AP85" i="6"/>
  <c r="AO85" i="6"/>
  <c r="AN85" i="6"/>
  <c r="AM85" i="6"/>
  <c r="AV84" i="6"/>
  <c r="AU84" i="6"/>
  <c r="AT84" i="6"/>
  <c r="AS84" i="6"/>
  <c r="AR84" i="6"/>
  <c r="AQ84" i="6"/>
  <c r="AP84" i="6"/>
  <c r="AO84" i="6"/>
  <c r="AN84" i="6"/>
  <c r="AM84" i="6"/>
  <c r="AV82" i="6"/>
  <c r="AU82" i="6"/>
  <c r="AT82" i="6"/>
  <c r="AS82" i="6"/>
  <c r="AR82" i="6"/>
  <c r="AQ82" i="6"/>
  <c r="AP82" i="6"/>
  <c r="AO82" i="6"/>
  <c r="AN82" i="6"/>
  <c r="AM82" i="6"/>
  <c r="AV81" i="6"/>
  <c r="AU81" i="6"/>
  <c r="AT81" i="6"/>
  <c r="AS81" i="6"/>
  <c r="AR81" i="6"/>
  <c r="AQ81" i="6"/>
  <c r="AP81" i="6"/>
  <c r="AO81" i="6"/>
  <c r="AN81" i="6"/>
  <c r="AM81" i="6"/>
  <c r="AV80" i="6"/>
  <c r="AU80" i="6"/>
  <c r="AT80" i="6"/>
  <c r="AS80" i="6"/>
  <c r="AR80" i="6"/>
  <c r="AQ80" i="6"/>
  <c r="AP80" i="6"/>
  <c r="AO80" i="6"/>
  <c r="AN80" i="6"/>
  <c r="AM80" i="6"/>
  <c r="AV79" i="6"/>
  <c r="AU79" i="6"/>
  <c r="AT79" i="6"/>
  <c r="AS79" i="6"/>
  <c r="AR79" i="6"/>
  <c r="AQ79" i="6"/>
  <c r="AP79" i="6"/>
  <c r="AO79" i="6"/>
  <c r="AN79" i="6"/>
  <c r="AM79" i="6"/>
  <c r="AV78" i="6"/>
  <c r="AU78" i="6"/>
  <c r="AT78" i="6"/>
  <c r="AS78" i="6"/>
  <c r="AR78" i="6"/>
  <c r="AQ78" i="6"/>
  <c r="AP78" i="6"/>
  <c r="AO78" i="6"/>
  <c r="AN78" i="6"/>
  <c r="AM78" i="6"/>
  <c r="AV76" i="6"/>
  <c r="AT76" i="6"/>
  <c r="AS76" i="6"/>
  <c r="AR76" i="6"/>
  <c r="AQ76" i="6"/>
  <c r="AP76" i="6"/>
  <c r="AO76" i="6"/>
  <c r="AN76" i="6"/>
  <c r="AM76" i="6"/>
  <c r="AV75" i="6"/>
  <c r="AU75" i="6"/>
  <c r="AT75" i="6"/>
  <c r="AS75" i="6"/>
  <c r="AR75" i="6"/>
  <c r="AQ75" i="6"/>
  <c r="AP75" i="6"/>
  <c r="AO75" i="6"/>
  <c r="AN75" i="6"/>
  <c r="AM75" i="6"/>
  <c r="AV73" i="6"/>
  <c r="AU73" i="6"/>
  <c r="AT73" i="6"/>
  <c r="AS73" i="6"/>
  <c r="AR73" i="6"/>
  <c r="AQ73" i="6"/>
  <c r="AP73" i="6"/>
  <c r="AO73" i="6"/>
  <c r="AN73" i="6"/>
  <c r="AM73" i="6"/>
  <c r="AV72" i="6"/>
  <c r="AU72" i="6"/>
  <c r="AT72" i="6"/>
  <c r="AS72" i="6"/>
  <c r="AR72" i="6"/>
  <c r="AQ72" i="6"/>
  <c r="AP72" i="6"/>
  <c r="AO72" i="6"/>
  <c r="AN72" i="6"/>
  <c r="AM72" i="6"/>
  <c r="AV71" i="6"/>
  <c r="AU71" i="6"/>
  <c r="AT71" i="6"/>
  <c r="AS71" i="6"/>
  <c r="AR71" i="6"/>
  <c r="AQ71" i="6"/>
  <c r="AP71" i="6"/>
  <c r="AO71" i="6"/>
  <c r="AN71" i="6"/>
  <c r="AM71" i="6"/>
  <c r="AV69" i="6"/>
  <c r="AT69" i="6"/>
  <c r="AS69" i="6"/>
  <c r="AR69" i="6"/>
  <c r="AQ69" i="6"/>
  <c r="AP69" i="6"/>
  <c r="AO69" i="6"/>
  <c r="AN69" i="6"/>
  <c r="AM69" i="6"/>
  <c r="AV65" i="6"/>
  <c r="AU65" i="6"/>
  <c r="AT65" i="6"/>
  <c r="AS65" i="6"/>
  <c r="AR65" i="6"/>
  <c r="AQ65" i="6"/>
  <c r="AP65" i="6"/>
  <c r="AO65" i="6"/>
  <c r="AN65" i="6"/>
  <c r="AM65" i="6"/>
  <c r="AV64" i="6"/>
  <c r="AU64" i="6"/>
  <c r="AT64" i="6"/>
  <c r="AS64" i="6"/>
  <c r="AR64" i="6"/>
  <c r="AQ64" i="6"/>
  <c r="AP64" i="6"/>
  <c r="AO64" i="6"/>
  <c r="AN64" i="6"/>
  <c r="AM64" i="6"/>
  <c r="AV58" i="6"/>
  <c r="AU58" i="6"/>
  <c r="AT58" i="6"/>
  <c r="AS58" i="6"/>
  <c r="AR58" i="6"/>
  <c r="AQ58" i="6"/>
  <c r="AP58" i="6"/>
  <c r="AO58" i="6"/>
  <c r="AN58" i="6"/>
  <c r="AM58" i="6"/>
  <c r="AV57" i="6"/>
  <c r="AU57" i="6"/>
  <c r="AT57" i="6"/>
  <c r="AS57" i="6"/>
  <c r="AR57" i="6"/>
  <c r="AQ57" i="6"/>
  <c r="AP57" i="6"/>
  <c r="AO57" i="6"/>
  <c r="AN57" i="6"/>
  <c r="AM57" i="6"/>
  <c r="AV56" i="6"/>
  <c r="AU56" i="6"/>
  <c r="AT56" i="6"/>
  <c r="AS56" i="6"/>
  <c r="AR56" i="6"/>
  <c r="AQ56" i="6"/>
  <c r="AP56" i="6"/>
  <c r="AO56" i="6"/>
  <c r="AN56" i="6"/>
  <c r="AM56" i="6"/>
  <c r="AV55" i="6"/>
  <c r="AU55" i="6"/>
  <c r="AT55" i="6"/>
  <c r="AS55" i="6"/>
  <c r="AR55" i="6"/>
  <c r="AQ55" i="6"/>
  <c r="AP55" i="6"/>
  <c r="AO55" i="6"/>
  <c r="AN55" i="6"/>
  <c r="AM55" i="6"/>
  <c r="AV54" i="6"/>
  <c r="AU54" i="6"/>
  <c r="AT54" i="6"/>
  <c r="AS54" i="6"/>
  <c r="AR54" i="6"/>
  <c r="AQ54" i="6"/>
  <c r="AP54" i="6"/>
  <c r="AO54" i="6"/>
  <c r="AN54" i="6"/>
  <c r="AM54" i="6"/>
  <c r="AV53" i="6"/>
  <c r="AU53" i="6"/>
  <c r="AT53" i="6"/>
  <c r="AS53" i="6"/>
  <c r="AR53" i="6"/>
  <c r="AQ53" i="6"/>
  <c r="AP53" i="6"/>
  <c r="AO53" i="6"/>
  <c r="AN53" i="6"/>
  <c r="AM53" i="6"/>
  <c r="AV51" i="6"/>
  <c r="AU51" i="6"/>
  <c r="AT51" i="6"/>
  <c r="AS51" i="6"/>
  <c r="AR51" i="6"/>
  <c r="AQ51" i="6"/>
  <c r="AP51" i="6"/>
  <c r="AO51" i="6"/>
  <c r="AN51" i="6"/>
  <c r="AM51" i="6"/>
  <c r="AV50" i="6"/>
  <c r="AU50" i="6"/>
  <c r="AT50" i="6"/>
  <c r="AS50" i="6"/>
  <c r="AR50" i="6"/>
  <c r="AQ50" i="6"/>
  <c r="AP50" i="6"/>
  <c r="AO50" i="6"/>
  <c r="AN50" i="6"/>
  <c r="AM50" i="6"/>
  <c r="AV49" i="6"/>
  <c r="AU49" i="6"/>
  <c r="AT49" i="6"/>
  <c r="AS49" i="6"/>
  <c r="AR49" i="6"/>
  <c r="AQ49" i="6"/>
  <c r="AP49" i="6"/>
  <c r="AO49" i="6"/>
  <c r="AN49" i="6"/>
  <c r="AM49" i="6"/>
  <c r="AV47" i="6"/>
  <c r="AU47" i="6"/>
  <c r="AT47" i="6"/>
  <c r="AS47" i="6"/>
  <c r="AR47" i="6"/>
  <c r="AQ47" i="6"/>
  <c r="AP47" i="6"/>
  <c r="AO47" i="6"/>
  <c r="AN47" i="6"/>
  <c r="AM47" i="6"/>
  <c r="AV46" i="6"/>
  <c r="AU46" i="6"/>
  <c r="AT46" i="6"/>
  <c r="AS46" i="6"/>
  <c r="AR46" i="6"/>
  <c r="AQ46" i="6"/>
  <c r="AP46" i="6"/>
  <c r="AO46" i="6"/>
  <c r="AN46" i="6"/>
  <c r="AM46" i="6"/>
  <c r="AV45" i="6"/>
  <c r="AU45" i="6"/>
  <c r="AT45" i="6"/>
  <c r="AS45" i="6"/>
  <c r="AR45" i="6"/>
  <c r="AQ45" i="6"/>
  <c r="AP45" i="6"/>
  <c r="AO45" i="6"/>
  <c r="AN45" i="6"/>
  <c r="AM45" i="6"/>
  <c r="AV44" i="6"/>
  <c r="AU44" i="6"/>
  <c r="AT44" i="6"/>
  <c r="AS44" i="6"/>
  <c r="AR44" i="6"/>
  <c r="AQ44" i="6"/>
  <c r="AP44" i="6"/>
  <c r="AO44" i="6"/>
  <c r="AN44" i="6"/>
  <c r="AM44" i="6"/>
  <c r="AV43" i="6"/>
  <c r="AU43" i="6"/>
  <c r="AT43" i="6"/>
  <c r="AS43" i="6"/>
  <c r="AR43" i="6"/>
  <c r="AQ43" i="6"/>
  <c r="AP43" i="6"/>
  <c r="AO43" i="6"/>
  <c r="AN43" i="6"/>
  <c r="AM43" i="6"/>
  <c r="AV42" i="6"/>
  <c r="AU42" i="6"/>
  <c r="AT42" i="6"/>
  <c r="AR42" i="6"/>
  <c r="AQ42" i="6"/>
  <c r="AP42" i="6"/>
  <c r="AO42" i="6"/>
  <c r="AM42" i="6"/>
  <c r="AV38" i="6"/>
  <c r="AU38" i="6"/>
  <c r="AT38" i="6"/>
  <c r="AS38" i="6"/>
  <c r="AR38" i="6"/>
  <c r="AQ38" i="6"/>
  <c r="AP38" i="6"/>
  <c r="AO38" i="6"/>
  <c r="AN38" i="6"/>
  <c r="AM38" i="6"/>
  <c r="AV37" i="6"/>
  <c r="AU37" i="6"/>
  <c r="AT37" i="6"/>
  <c r="AS37" i="6"/>
  <c r="AR37" i="6"/>
  <c r="AQ37" i="6"/>
  <c r="AP37" i="6"/>
  <c r="AO37" i="6"/>
  <c r="AN37" i="6"/>
  <c r="AM37" i="6"/>
  <c r="AV36" i="6"/>
  <c r="AU36" i="6"/>
  <c r="AT36" i="6"/>
  <c r="AS36" i="6"/>
  <c r="AR36" i="6"/>
  <c r="AQ36" i="6"/>
  <c r="AP36" i="6"/>
  <c r="AO36" i="6"/>
  <c r="AN36" i="6"/>
  <c r="AM36" i="6"/>
  <c r="AV34" i="6"/>
  <c r="AU34" i="6"/>
  <c r="AT34" i="6"/>
  <c r="AS34" i="6"/>
  <c r="AR34" i="6"/>
  <c r="AQ34" i="6"/>
  <c r="AP34" i="6"/>
  <c r="AO34" i="6"/>
  <c r="AN34" i="6"/>
  <c r="AM34" i="6"/>
  <c r="AV33" i="6"/>
  <c r="AU33" i="6"/>
  <c r="AT33" i="6"/>
  <c r="AS33" i="6"/>
  <c r="AR33" i="6"/>
  <c r="AQ33" i="6"/>
  <c r="AP33" i="6"/>
  <c r="AO33" i="6"/>
  <c r="AN33" i="6"/>
  <c r="AM33" i="6"/>
  <c r="AV29" i="6"/>
  <c r="AU29" i="6"/>
  <c r="AT29" i="6"/>
  <c r="AS29" i="6"/>
  <c r="AR29" i="6"/>
  <c r="AQ29" i="6"/>
  <c r="AP29" i="6"/>
  <c r="AO29" i="6"/>
  <c r="AN29" i="6"/>
  <c r="AM29" i="6"/>
  <c r="AV28" i="6"/>
  <c r="AU28" i="6"/>
  <c r="AT28" i="6"/>
  <c r="AS28" i="6"/>
  <c r="AR28" i="6"/>
  <c r="AQ28" i="6"/>
  <c r="AP28" i="6"/>
  <c r="AO28" i="6"/>
  <c r="AN28" i="6"/>
  <c r="AM28" i="6"/>
  <c r="AV27" i="6"/>
  <c r="AU27" i="6"/>
  <c r="AT27" i="6"/>
  <c r="AS27" i="6"/>
  <c r="AR27" i="6"/>
  <c r="AQ27" i="6"/>
  <c r="AP27" i="6"/>
  <c r="AO27" i="6"/>
  <c r="AN27" i="6"/>
  <c r="AM27" i="6"/>
  <c r="AV26" i="6"/>
  <c r="AU26" i="6"/>
  <c r="AT26" i="6"/>
  <c r="AS26" i="6"/>
  <c r="AR26" i="6"/>
  <c r="AQ26" i="6"/>
  <c r="AP26" i="6"/>
  <c r="AO26" i="6"/>
  <c r="AN26" i="6"/>
  <c r="AM26" i="6"/>
  <c r="AV25" i="6"/>
  <c r="AU25" i="6"/>
  <c r="AT25" i="6"/>
  <c r="AS25" i="6"/>
  <c r="AR25" i="6"/>
  <c r="AQ25" i="6"/>
  <c r="AP25" i="6"/>
  <c r="AO25" i="6"/>
  <c r="AN25" i="6"/>
  <c r="AM25" i="6"/>
  <c r="AV24" i="6"/>
  <c r="AU24" i="6"/>
  <c r="AT24" i="6"/>
  <c r="AS24" i="6"/>
  <c r="AR24" i="6"/>
  <c r="AQ24" i="6"/>
  <c r="AP24" i="6"/>
  <c r="AO24" i="6"/>
  <c r="AN24" i="6"/>
  <c r="AM24" i="6"/>
  <c r="AV22" i="6"/>
  <c r="AT22" i="6"/>
  <c r="AS22" i="6"/>
  <c r="AR22" i="6"/>
  <c r="AQ22" i="6"/>
  <c r="AP22" i="6"/>
  <c r="AO22" i="6"/>
  <c r="AN22" i="6"/>
  <c r="AM22" i="6"/>
  <c r="AV21" i="6"/>
  <c r="AU21" i="6"/>
  <c r="AT21" i="6"/>
  <c r="AS21" i="6"/>
  <c r="AR21" i="6"/>
  <c r="AQ21" i="6"/>
  <c r="AP21" i="6"/>
  <c r="AO21" i="6"/>
  <c r="AN21" i="6"/>
  <c r="AM21" i="6"/>
  <c r="AV20" i="6"/>
  <c r="AU20" i="6"/>
  <c r="AT20" i="6"/>
  <c r="AS20" i="6"/>
  <c r="AR20" i="6"/>
  <c r="AQ20" i="6"/>
  <c r="AP20" i="6"/>
  <c r="AO20" i="6"/>
  <c r="AN20" i="6"/>
  <c r="AM20" i="6"/>
  <c r="AV18" i="6"/>
  <c r="AU18" i="6"/>
  <c r="AT18" i="6"/>
  <c r="AS18" i="6"/>
  <c r="AR18" i="6"/>
  <c r="AQ18" i="6"/>
  <c r="AP18" i="6"/>
  <c r="AO18" i="6"/>
  <c r="AN18" i="6"/>
  <c r="AM18" i="6"/>
  <c r="AV17" i="6"/>
  <c r="AU17" i="6"/>
  <c r="AT17" i="6"/>
  <c r="AS17" i="6"/>
  <c r="AR17" i="6"/>
  <c r="AQ17" i="6"/>
  <c r="AP17" i="6"/>
  <c r="AO17" i="6"/>
  <c r="AN17" i="6"/>
  <c r="AM17" i="6"/>
  <c r="AV16" i="6"/>
  <c r="AU16" i="6"/>
  <c r="AT16" i="6"/>
  <c r="AS16" i="6"/>
  <c r="AR16" i="6"/>
  <c r="AQ16" i="6"/>
  <c r="AP16" i="6"/>
  <c r="AO16" i="6"/>
  <c r="AN16" i="6"/>
  <c r="AM16" i="6"/>
  <c r="AV14" i="6"/>
  <c r="AU14" i="6"/>
  <c r="AT14" i="6"/>
  <c r="AS14" i="6"/>
  <c r="AR14" i="6"/>
  <c r="AQ14" i="6"/>
  <c r="AP14" i="6"/>
  <c r="AO14" i="6"/>
  <c r="AN14" i="6"/>
  <c r="AM14" i="6"/>
  <c r="AV13" i="6"/>
  <c r="AU13" i="6"/>
  <c r="AT13" i="6"/>
  <c r="AS13" i="6"/>
  <c r="AR13" i="6"/>
  <c r="AQ13" i="6"/>
  <c r="AP13" i="6"/>
  <c r="AO13" i="6"/>
  <c r="AN13" i="6"/>
  <c r="AM13" i="6"/>
  <c r="AV12" i="6"/>
  <c r="AU12" i="6"/>
  <c r="AT12" i="6"/>
  <c r="AS12" i="6"/>
  <c r="AR12" i="6"/>
  <c r="AQ12" i="6"/>
  <c r="AP12" i="6"/>
  <c r="AO12" i="6"/>
  <c r="AN12" i="6"/>
  <c r="AM12" i="6"/>
  <c r="AV11" i="6"/>
  <c r="AU11" i="6"/>
  <c r="AT11" i="6"/>
  <c r="AS11" i="6"/>
  <c r="AR11" i="6"/>
  <c r="AQ11" i="6"/>
  <c r="AP11" i="6"/>
  <c r="AO11" i="6"/>
  <c r="AN11" i="6"/>
  <c r="AM11" i="6"/>
  <c r="AV10" i="6"/>
  <c r="AU10" i="6"/>
  <c r="AT10" i="6"/>
  <c r="AS10" i="6"/>
  <c r="AR10" i="6"/>
  <c r="AQ10" i="6"/>
  <c r="AP10" i="6"/>
  <c r="AO10" i="6"/>
  <c r="AN10" i="6"/>
  <c r="AM10" i="6"/>
  <c r="AV9" i="6"/>
  <c r="AU9" i="6"/>
  <c r="AT9" i="6"/>
  <c r="AS9" i="6"/>
  <c r="AR9" i="6"/>
  <c r="AQ9" i="6"/>
  <c r="AP9" i="6"/>
  <c r="AO9" i="6"/>
  <c r="AN9" i="6"/>
  <c r="AM9" i="6"/>
  <c r="AV8" i="6"/>
  <c r="AU8" i="6"/>
  <c r="AT8" i="6"/>
  <c r="AS8" i="6"/>
  <c r="AR8" i="6"/>
  <c r="AQ8" i="6"/>
  <c r="AP8" i="6"/>
  <c r="AO8" i="6"/>
  <c r="AN8" i="6"/>
  <c r="AM8" i="6"/>
  <c r="AJ7" i="6"/>
  <c r="AJ6" i="6" s="1"/>
  <c r="AJ5" i="6" s="1"/>
  <c r="AJ4" i="6" s="1"/>
  <c r="AJ3" i="6" s="1"/>
  <c r="AJ417" i="6" s="1"/>
  <c r="AI7" i="6"/>
  <c r="AI6" i="6" s="1"/>
  <c r="AI5" i="6" s="1"/>
  <c r="AI4" i="6" s="1"/>
  <c r="AI418" i="6" s="1"/>
  <c r="AH7" i="6"/>
  <c r="AH6" i="6" s="1"/>
  <c r="AH5" i="6" s="1"/>
  <c r="AH4" i="6" s="1"/>
  <c r="AH418" i="6" s="1"/>
  <c r="Z7" i="6"/>
  <c r="Z6" i="6" s="1"/>
  <c r="Z5" i="6" s="1"/>
  <c r="Z4" i="6" s="1"/>
  <c r="Z3" i="6" s="1"/>
  <c r="Y7" i="6"/>
  <c r="Y6" i="6" s="1"/>
  <c r="Y5" i="6" s="1"/>
  <c r="Y4" i="6" s="1"/>
  <c r="Y3" i="6" s="1"/>
  <c r="AJ124" i="6"/>
  <c r="AI124" i="6"/>
  <c r="AF124" i="6"/>
  <c r="AE124" i="6"/>
  <c r="AE123" i="6" s="1"/>
  <c r="AC124" i="6"/>
  <c r="AB124" i="6"/>
  <c r="AA124" i="6"/>
  <c r="Z124" i="6"/>
  <c r="Z123" i="6" s="1"/>
  <c r="Y124" i="6"/>
  <c r="Y123" i="6" s="1"/>
  <c r="T124" i="6"/>
  <c r="T123" i="6" s="1"/>
  <c r="S124" i="6"/>
  <c r="S123" i="6" s="1"/>
  <c r="R124" i="6"/>
  <c r="R123" i="6" s="1"/>
  <c r="Q124" i="6"/>
  <c r="Q123" i="6" s="1"/>
  <c r="P124" i="6"/>
  <c r="P123" i="6" s="1"/>
  <c r="O124" i="6"/>
  <c r="O123" i="6" s="1"/>
  <c r="N124" i="6"/>
  <c r="N123" i="6" s="1"/>
  <c r="M124" i="6"/>
  <c r="M123" i="6" s="1"/>
  <c r="L124" i="6"/>
  <c r="L123" i="6" s="1"/>
  <c r="K124" i="6"/>
  <c r="K123" i="6" s="1"/>
  <c r="J124" i="6"/>
  <c r="J123" i="6" s="1"/>
  <c r="I124" i="6"/>
  <c r="I123" i="6" s="1"/>
  <c r="H124" i="6"/>
  <c r="H123" i="6" s="1"/>
  <c r="F124" i="6"/>
  <c r="F123" i="6" s="1"/>
  <c r="E124" i="6"/>
  <c r="E123" i="6" s="1"/>
  <c r="D124" i="6"/>
  <c r="D123" i="6" s="1"/>
  <c r="AH125" i="6"/>
  <c r="AH161" i="6"/>
  <c r="AJ160" i="6"/>
  <c r="AI160" i="6"/>
  <c r="AG160" i="6"/>
  <c r="AF160" i="6"/>
  <c r="AE160" i="6"/>
  <c r="AC160" i="6"/>
  <c r="AB160" i="6"/>
  <c r="AA160" i="6"/>
  <c r="Z160" i="6"/>
  <c r="Z159" i="6" s="1"/>
  <c r="Y160" i="6"/>
  <c r="Y159" i="6" s="1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F160" i="6"/>
  <c r="E160" i="6"/>
  <c r="D160" i="6"/>
  <c r="AJ174" i="6"/>
  <c r="AI174" i="6"/>
  <c r="AH174" i="6"/>
  <c r="AG174" i="6"/>
  <c r="AF174" i="6"/>
  <c r="AE174" i="6"/>
  <c r="AD174" i="6"/>
  <c r="AC174" i="6"/>
  <c r="AB174" i="6"/>
  <c r="AA174" i="6"/>
  <c r="Z174" i="6"/>
  <c r="Z173" i="6" s="1"/>
  <c r="Y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F174" i="6"/>
  <c r="E174" i="6"/>
  <c r="D174" i="6"/>
  <c r="AJ211" i="6"/>
  <c r="AI211" i="6"/>
  <c r="AH211" i="6"/>
  <c r="AG211" i="6"/>
  <c r="AF211" i="6"/>
  <c r="AE211" i="6"/>
  <c r="AD211" i="6"/>
  <c r="AC211" i="6"/>
  <c r="AB211" i="6"/>
  <c r="AA211" i="6"/>
  <c r="Z211" i="6"/>
  <c r="Z210" i="6" s="1"/>
  <c r="Y211" i="6"/>
  <c r="Y210" i="6" s="1"/>
  <c r="T211" i="6"/>
  <c r="T210" i="6" s="1"/>
  <c r="S211" i="6"/>
  <c r="S210" i="6" s="1"/>
  <c r="R211" i="6"/>
  <c r="R210" i="6" s="1"/>
  <c r="Q211" i="6"/>
  <c r="Q210" i="6" s="1"/>
  <c r="P211" i="6"/>
  <c r="P210" i="6" s="1"/>
  <c r="O211" i="6"/>
  <c r="O210" i="6" s="1"/>
  <c r="N211" i="6"/>
  <c r="N210" i="6" s="1"/>
  <c r="M211" i="6"/>
  <c r="M210" i="6" s="1"/>
  <c r="L211" i="6"/>
  <c r="L210" i="6" s="1"/>
  <c r="K211" i="6"/>
  <c r="K210" i="6" s="1"/>
  <c r="J211" i="6"/>
  <c r="J210" i="6" s="1"/>
  <c r="I211" i="6"/>
  <c r="I210" i="6" s="1"/>
  <c r="H211" i="6"/>
  <c r="H210" i="6" s="1"/>
  <c r="F211" i="6"/>
  <c r="F210" i="6" s="1"/>
  <c r="E211" i="6"/>
  <c r="E210" i="6" s="1"/>
  <c r="D211" i="6"/>
  <c r="D210" i="6" s="1"/>
  <c r="AI256" i="6"/>
  <c r="AJ248" i="6"/>
  <c r="AI248" i="6"/>
  <c r="AH248" i="6"/>
  <c r="AG248" i="6"/>
  <c r="AF248" i="6"/>
  <c r="AE248" i="6"/>
  <c r="AD248" i="6"/>
  <c r="AC248" i="6"/>
  <c r="AB248" i="6"/>
  <c r="AA248" i="6"/>
  <c r="Z248" i="6"/>
  <c r="Y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F248" i="6"/>
  <c r="E248" i="6"/>
  <c r="D248" i="6"/>
  <c r="AH260" i="6"/>
  <c r="AH259" i="6"/>
  <c r="AJ255" i="6"/>
  <c r="Z255" i="6"/>
  <c r="H255" i="6"/>
  <c r="E255" i="6"/>
  <c r="D255" i="6"/>
  <c r="I256" i="6"/>
  <c r="I255" i="6" s="1"/>
  <c r="J256" i="6"/>
  <c r="K256" i="6"/>
  <c r="K255" i="6" s="1"/>
  <c r="L256" i="6"/>
  <c r="L255" i="6" s="1"/>
  <c r="M256" i="6"/>
  <c r="M255" i="6" s="1"/>
  <c r="N256" i="6"/>
  <c r="O256" i="6"/>
  <c r="O255" i="6" s="1"/>
  <c r="P256" i="6"/>
  <c r="P255" i="6" s="1"/>
  <c r="Q256" i="6"/>
  <c r="Q255" i="6" s="1"/>
  <c r="R256" i="6"/>
  <c r="S256" i="6"/>
  <c r="S255" i="6" s="1"/>
  <c r="T256" i="6"/>
  <c r="T255" i="6" s="1"/>
  <c r="AA256" i="6"/>
  <c r="AB256" i="6"/>
  <c r="AC256" i="6"/>
  <c r="AD256" i="6"/>
  <c r="AE256" i="6"/>
  <c r="AF256" i="6"/>
  <c r="AG256" i="6"/>
  <c r="AJ320" i="6"/>
  <c r="AI320" i="6"/>
  <c r="AH320" i="6"/>
  <c r="AG320" i="6"/>
  <c r="AF320" i="6"/>
  <c r="AE320" i="6"/>
  <c r="AD320" i="6"/>
  <c r="AC320" i="6"/>
  <c r="AB320" i="6"/>
  <c r="AA320" i="6"/>
  <c r="Z320" i="6"/>
  <c r="Z319" i="6" s="1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F320" i="6"/>
  <c r="E320" i="6"/>
  <c r="D320" i="6"/>
  <c r="AJ332" i="6"/>
  <c r="AI332" i="6"/>
  <c r="AH332" i="6"/>
  <c r="AG332" i="6"/>
  <c r="AF332" i="6"/>
  <c r="AE332" i="6"/>
  <c r="AD332" i="6"/>
  <c r="AC332" i="6"/>
  <c r="AB332" i="6"/>
  <c r="AA332" i="6"/>
  <c r="Z332" i="6"/>
  <c r="Z331" i="6" s="1"/>
  <c r="T332" i="6"/>
  <c r="S332" i="6"/>
  <c r="R332" i="6"/>
  <c r="Q332" i="6"/>
  <c r="P332" i="6"/>
  <c r="O332" i="6"/>
  <c r="N332" i="6"/>
  <c r="M332" i="6"/>
  <c r="L332" i="6"/>
  <c r="I332" i="6"/>
  <c r="H332" i="6"/>
  <c r="F332" i="6"/>
  <c r="E332" i="6"/>
  <c r="D332" i="6"/>
  <c r="AH403" i="6"/>
  <c r="AG42" i="6"/>
  <c r="AS42" i="6" s="1"/>
  <c r="AK412" i="6"/>
  <c r="AW412" i="6" s="1"/>
  <c r="AK411" i="6"/>
  <c r="AW411" i="6" s="1"/>
  <c r="AK410" i="6"/>
  <c r="AW410" i="6" s="1"/>
  <c r="AK409" i="6"/>
  <c r="AW409" i="6" s="1"/>
  <c r="AK408" i="6"/>
  <c r="AW408" i="6" s="1"/>
  <c r="AK407" i="6"/>
  <c r="AK406" i="6"/>
  <c r="AW406" i="6" s="1"/>
  <c r="AK405" i="6"/>
  <c r="AW405" i="6" s="1"/>
  <c r="AK404" i="6"/>
  <c r="AW404" i="6" s="1"/>
  <c r="AK402" i="6"/>
  <c r="AW402" i="6" s="1"/>
  <c r="AK401" i="6"/>
  <c r="AW401" i="6" s="1"/>
  <c r="AK400" i="6"/>
  <c r="AW400" i="6" s="1"/>
  <c r="AK399" i="6"/>
  <c r="AW399" i="6" s="1"/>
  <c r="AK398" i="6"/>
  <c r="AW398" i="6" s="1"/>
  <c r="AK397" i="6"/>
  <c r="AW397" i="6" s="1"/>
  <c r="AK396" i="6"/>
  <c r="AW396" i="6" s="1"/>
  <c r="AK395" i="6"/>
  <c r="AW395" i="6" s="1"/>
  <c r="AK394" i="6"/>
  <c r="AW394" i="6" s="1"/>
  <c r="AK393" i="6"/>
  <c r="AW393" i="6" s="1"/>
  <c r="AK392" i="6"/>
  <c r="AW392" i="6" s="1"/>
  <c r="AK391" i="6"/>
  <c r="AW391" i="6" s="1"/>
  <c r="AK390" i="6"/>
  <c r="AW390" i="6" s="1"/>
  <c r="AK389" i="6"/>
  <c r="AW389" i="6" s="1"/>
  <c r="AK388" i="6"/>
  <c r="AW388" i="6" s="1"/>
  <c r="AK386" i="6"/>
  <c r="AW386" i="6" s="1"/>
  <c r="AK385" i="6"/>
  <c r="AW385" i="6" s="1"/>
  <c r="AK384" i="6"/>
  <c r="AW384" i="6" s="1"/>
  <c r="AK383" i="6"/>
  <c r="AW383" i="6" s="1"/>
  <c r="AK382" i="6"/>
  <c r="AW382" i="6" s="1"/>
  <c r="AK380" i="6"/>
  <c r="AW380" i="6" s="1"/>
  <c r="AK379" i="6"/>
  <c r="AW379" i="6" s="1"/>
  <c r="AK378" i="6"/>
  <c r="AW378" i="6" s="1"/>
  <c r="AK377" i="6"/>
  <c r="AW377" i="6" s="1"/>
  <c r="AK376" i="6"/>
  <c r="AW376" i="6" s="1"/>
  <c r="AK375" i="6"/>
  <c r="AW375" i="6" s="1"/>
  <c r="AK374" i="6"/>
  <c r="AW374" i="6" s="1"/>
  <c r="AK373" i="6"/>
  <c r="AK372" i="6"/>
  <c r="AW372" i="6" s="1"/>
  <c r="AK371" i="6"/>
  <c r="AW371" i="6" s="1"/>
  <c r="AK370" i="6"/>
  <c r="AW370" i="6" s="1"/>
  <c r="AK369" i="6"/>
  <c r="AW369" i="6" s="1"/>
  <c r="AK368" i="6"/>
  <c r="AW368" i="6" s="1"/>
  <c r="AK367" i="6"/>
  <c r="AW367" i="6" s="1"/>
  <c r="AK366" i="6"/>
  <c r="AW366" i="6" s="1"/>
  <c r="AK365" i="6"/>
  <c r="AW365" i="6" s="1"/>
  <c r="AK364" i="6"/>
  <c r="AW364" i="6" s="1"/>
  <c r="AK363" i="6"/>
  <c r="AW363" i="6" s="1"/>
  <c r="AK362" i="6"/>
  <c r="AW362" i="6" s="1"/>
  <c r="AK361" i="6"/>
  <c r="AK360" i="6"/>
  <c r="AW360" i="6" s="1"/>
  <c r="AK359" i="6"/>
  <c r="AW359" i="6" s="1"/>
  <c r="AK358" i="6"/>
  <c r="AW358" i="6" s="1"/>
  <c r="AK357" i="6"/>
  <c r="AW357" i="6" s="1"/>
  <c r="AK356" i="6"/>
  <c r="AW356" i="6" s="1"/>
  <c r="AK355" i="6"/>
  <c r="AW355" i="6" s="1"/>
  <c r="AK354" i="6"/>
  <c r="AW354" i="6" s="1"/>
  <c r="AK353" i="6"/>
  <c r="AW353" i="6" s="1"/>
  <c r="AK352" i="6"/>
  <c r="AW352" i="6" s="1"/>
  <c r="AK351" i="6"/>
  <c r="AW351" i="6" s="1"/>
  <c r="AK350" i="6"/>
  <c r="AW350" i="6" s="1"/>
  <c r="AK349" i="6"/>
  <c r="AK348" i="6"/>
  <c r="AW348" i="6" s="1"/>
  <c r="AK347" i="6"/>
  <c r="AW347" i="6" s="1"/>
  <c r="AK346" i="6"/>
  <c r="AW346" i="6" s="1"/>
  <c r="AK345" i="6"/>
  <c r="AW345" i="6" s="1"/>
  <c r="AK344" i="6"/>
  <c r="AK343" i="6"/>
  <c r="AW343" i="6" s="1"/>
  <c r="AK342" i="6"/>
  <c r="AW342" i="6" s="1"/>
  <c r="AK341" i="6"/>
  <c r="AW341" i="6" s="1"/>
  <c r="AK340" i="6"/>
  <c r="AW340" i="6" s="1"/>
  <c r="AK339" i="6"/>
  <c r="AW339" i="6" s="1"/>
  <c r="AK338" i="6"/>
  <c r="AW338" i="6" s="1"/>
  <c r="AK337" i="6"/>
  <c r="AW337" i="6" s="1"/>
  <c r="AK336" i="6"/>
  <c r="AW336" i="6" s="1"/>
  <c r="AK335" i="6"/>
  <c r="AW335" i="6" s="1"/>
  <c r="AK334" i="6"/>
  <c r="AW334" i="6" s="1"/>
  <c r="AK333" i="6"/>
  <c r="AW333" i="6" s="1"/>
  <c r="AK330" i="6"/>
  <c r="AW330" i="6" s="1"/>
  <c r="AK329" i="6"/>
  <c r="AK328" i="6"/>
  <c r="AW328" i="6" s="1"/>
  <c r="AK327" i="6"/>
  <c r="AW327" i="6" s="1"/>
  <c r="AK326" i="6"/>
  <c r="AW326" i="6" s="1"/>
  <c r="AK325" i="6"/>
  <c r="AW325" i="6" s="1"/>
  <c r="AK324" i="6"/>
  <c r="AW324" i="6" s="1"/>
  <c r="AK323" i="6"/>
  <c r="AW323" i="6" s="1"/>
  <c r="AK322" i="6"/>
  <c r="AW322" i="6" s="1"/>
  <c r="AK321" i="6"/>
  <c r="AW321" i="6" s="1"/>
  <c r="AK318" i="6"/>
  <c r="AW318" i="6" s="1"/>
  <c r="AK317" i="6"/>
  <c r="AK316" i="6"/>
  <c r="AW316" i="6" s="1"/>
  <c r="AK315" i="6"/>
  <c r="AK314" i="6"/>
  <c r="AK313" i="6"/>
  <c r="AW313" i="6" s="1"/>
  <c r="AK312" i="6"/>
  <c r="AK311" i="6"/>
  <c r="AW311" i="6" s="1"/>
  <c r="AK310" i="6"/>
  <c r="AW310" i="6" s="1"/>
  <c r="AK309" i="6"/>
  <c r="AK308" i="6"/>
  <c r="AW308" i="6" s="1"/>
  <c r="AK307" i="6"/>
  <c r="AW307" i="6" s="1"/>
  <c r="AK306" i="6"/>
  <c r="AW306" i="6" s="1"/>
  <c r="AK305" i="6"/>
  <c r="AK304" i="6"/>
  <c r="AW304" i="6" s="1"/>
  <c r="AK303" i="6"/>
  <c r="AW303" i="6" s="1"/>
  <c r="AK302" i="6"/>
  <c r="AW302" i="6" s="1"/>
  <c r="AK301" i="6"/>
  <c r="AW301" i="6" s="1"/>
  <c r="AK300" i="6"/>
  <c r="AK299" i="6"/>
  <c r="AW299" i="6" s="1"/>
  <c r="AK298" i="6"/>
  <c r="AW298" i="6" s="1"/>
  <c r="AK297" i="6"/>
  <c r="AW297" i="6" s="1"/>
  <c r="AK296" i="6"/>
  <c r="AW296" i="6" s="1"/>
  <c r="AK295" i="6"/>
  <c r="AK294" i="6"/>
  <c r="AW294" i="6" s="1"/>
  <c r="AK293" i="6"/>
  <c r="AW293" i="6" s="1"/>
  <c r="AK292" i="6"/>
  <c r="AW292" i="6" s="1"/>
  <c r="AK291" i="6"/>
  <c r="AK288" i="6"/>
  <c r="AW288" i="6" s="1"/>
  <c r="AK287" i="6"/>
  <c r="AW287" i="6" s="1"/>
  <c r="AK286" i="6"/>
  <c r="AW286" i="6" s="1"/>
  <c r="AK285" i="6"/>
  <c r="AW285" i="6" s="1"/>
  <c r="AK284" i="6"/>
  <c r="AW284" i="6" s="1"/>
  <c r="AK283" i="6"/>
  <c r="AW283" i="6" s="1"/>
  <c r="AK282" i="6"/>
  <c r="AW282" i="6" s="1"/>
  <c r="AK281" i="6"/>
  <c r="AW281" i="6" s="1"/>
  <c r="AK280" i="6"/>
  <c r="AW280" i="6" s="1"/>
  <c r="AK279" i="6"/>
  <c r="AW279" i="6" s="1"/>
  <c r="AK270" i="6"/>
  <c r="AW270" i="6" s="1"/>
  <c r="AK269" i="6"/>
  <c r="AW269" i="6" s="1"/>
  <c r="AK268" i="6"/>
  <c r="AW268" i="6" s="1"/>
  <c r="AK267" i="6"/>
  <c r="AW267" i="6" s="1"/>
  <c r="AK266" i="6"/>
  <c r="AW266" i="6" s="1"/>
  <c r="AK265" i="6"/>
  <c r="AW265" i="6" s="1"/>
  <c r="AK264" i="6"/>
  <c r="AW264" i="6" s="1"/>
  <c r="AK262" i="6"/>
  <c r="AW262" i="6" s="1"/>
  <c r="AK261" i="6"/>
  <c r="AW261" i="6" s="1"/>
  <c r="AK258" i="6"/>
  <c r="AW258" i="6" s="1"/>
  <c r="AK257" i="6"/>
  <c r="AW257" i="6" s="1"/>
  <c r="AK254" i="6"/>
  <c r="AW254" i="6" s="1"/>
  <c r="AK253" i="6"/>
  <c r="AW253" i="6" s="1"/>
  <c r="AK250" i="6"/>
  <c r="AW250" i="6" s="1"/>
  <c r="AK249" i="6"/>
  <c r="AW249" i="6" s="1"/>
  <c r="AK245" i="6"/>
  <c r="AW245" i="6" s="1"/>
  <c r="AK244" i="6"/>
  <c r="AW244" i="6" s="1"/>
  <c r="AK243" i="6"/>
  <c r="AW243" i="6" s="1"/>
  <c r="AK241" i="6"/>
  <c r="AW241" i="6" s="1"/>
  <c r="AK240" i="6"/>
  <c r="AK237" i="6"/>
  <c r="AW237" i="6" s="1"/>
  <c r="AK236" i="6"/>
  <c r="AK235" i="6"/>
  <c r="AW235" i="6" s="1"/>
  <c r="AK234" i="6"/>
  <c r="AK233" i="6"/>
  <c r="AK232" i="6"/>
  <c r="AK231" i="6"/>
  <c r="AW231" i="6" s="1"/>
  <c r="AK230" i="6"/>
  <c r="AW230" i="6" s="1"/>
  <c r="AK229" i="6"/>
  <c r="AW229" i="6" s="1"/>
  <c r="AK228" i="6"/>
  <c r="AW228" i="6" s="1"/>
  <c r="AK226" i="6"/>
  <c r="AW226" i="6" s="1"/>
  <c r="AK225" i="6"/>
  <c r="AW225" i="6" s="1"/>
  <c r="AK224" i="6"/>
  <c r="AK223" i="6"/>
  <c r="AW223" i="6" s="1"/>
  <c r="AK220" i="6"/>
  <c r="AW220" i="6" s="1"/>
  <c r="AK219" i="6"/>
  <c r="AW219" i="6" s="1"/>
  <c r="AK216" i="6"/>
  <c r="AW216" i="6" s="1"/>
  <c r="AK214" i="6"/>
  <c r="AW214" i="6" s="1"/>
  <c r="AK213" i="6"/>
  <c r="AW213" i="6" s="1"/>
  <c r="AK212" i="6"/>
  <c r="AW212" i="6" s="1"/>
  <c r="AK209" i="6"/>
  <c r="AW209" i="6" s="1"/>
  <c r="AK208" i="6"/>
  <c r="AK207" i="6"/>
  <c r="AK206" i="6"/>
  <c r="AW206" i="6" s="1"/>
  <c r="AK205" i="6"/>
  <c r="AW205" i="6" s="1"/>
  <c r="AK204" i="6"/>
  <c r="AK203" i="6"/>
  <c r="AK202" i="6"/>
  <c r="AW202" i="6" s="1"/>
  <c r="AK201" i="6"/>
  <c r="AK200" i="6"/>
  <c r="AW200" i="6" s="1"/>
  <c r="AK198" i="6"/>
  <c r="AW198" i="6" s="1"/>
  <c r="AK196" i="6"/>
  <c r="AW196" i="6" s="1"/>
  <c r="AK195" i="6"/>
  <c r="AW195" i="6" s="1"/>
  <c r="AK194" i="6"/>
  <c r="AW194" i="6" s="1"/>
  <c r="AK193" i="6"/>
  <c r="AW193" i="6" s="1"/>
  <c r="AK190" i="6"/>
  <c r="AW190" i="6" s="1"/>
  <c r="AK187" i="6"/>
  <c r="AW187" i="6" s="1"/>
  <c r="AK186" i="6"/>
  <c r="AW186" i="6" s="1"/>
  <c r="AK185" i="6"/>
  <c r="AW185" i="6" s="1"/>
  <c r="AK184" i="6"/>
  <c r="AK183" i="6"/>
  <c r="AW183" i="6" s="1"/>
  <c r="AK182" i="6"/>
  <c r="AK181" i="6"/>
  <c r="AK179" i="6"/>
  <c r="AW179" i="6" s="1"/>
  <c r="AK177" i="6"/>
  <c r="AW177" i="6" s="1"/>
  <c r="AK176" i="6"/>
  <c r="AK175" i="6"/>
  <c r="AW175" i="6" s="1"/>
  <c r="AK171" i="6"/>
  <c r="AW171" i="6" s="1"/>
  <c r="AK170" i="6"/>
  <c r="AW170" i="6" s="1"/>
  <c r="AK169" i="6"/>
  <c r="AW169" i="6" s="1"/>
  <c r="AK168" i="6"/>
  <c r="AW168" i="6" s="1"/>
  <c r="AK167" i="6"/>
  <c r="AW167" i="6" s="1"/>
  <c r="AK164" i="6"/>
  <c r="AW164" i="6" s="1"/>
  <c r="AK158" i="6"/>
  <c r="AW158" i="6" s="1"/>
  <c r="AK157" i="6"/>
  <c r="AW157" i="6" s="1"/>
  <c r="AK155" i="6"/>
  <c r="AW155" i="6" s="1"/>
  <c r="AK154" i="6"/>
  <c r="AW154" i="6" s="1"/>
  <c r="AK152" i="6"/>
  <c r="AK151" i="6"/>
  <c r="AW151" i="6" s="1"/>
  <c r="AK149" i="6"/>
  <c r="AW149" i="6" s="1"/>
  <c r="AK148" i="6"/>
  <c r="AW148" i="6" s="1"/>
  <c r="AK147" i="6"/>
  <c r="AW147" i="6" s="1"/>
  <c r="AK142" i="6"/>
  <c r="AW142" i="6" s="1"/>
  <c r="AK141" i="6"/>
  <c r="AW141" i="6" s="1"/>
  <c r="AK140" i="6"/>
  <c r="AW140" i="6" s="1"/>
  <c r="AK139" i="6"/>
  <c r="AW139" i="6" s="1"/>
  <c r="AK138" i="6"/>
  <c r="AW138" i="6" s="1"/>
  <c r="AK137" i="6"/>
  <c r="AW137" i="6" s="1"/>
  <c r="AK136" i="6"/>
  <c r="AW136" i="6" s="1"/>
  <c r="AK133" i="6"/>
  <c r="AW133" i="6" s="1"/>
  <c r="AK132" i="6"/>
  <c r="AW132" i="6" s="1"/>
  <c r="AK131" i="6"/>
  <c r="AW131" i="6" s="1"/>
  <c r="AK130" i="6"/>
  <c r="AW130" i="6" s="1"/>
  <c r="AK129" i="6"/>
  <c r="AW129" i="6" s="1"/>
  <c r="AK122" i="6"/>
  <c r="AW122" i="6" s="1"/>
  <c r="AK121" i="6"/>
  <c r="AW121" i="6" s="1"/>
  <c r="AK120" i="6"/>
  <c r="AW120" i="6" s="1"/>
  <c r="AK119" i="6"/>
  <c r="AW119" i="6" s="1"/>
  <c r="AK118" i="6"/>
  <c r="AW118" i="6" s="1"/>
  <c r="AK117" i="6"/>
  <c r="AW117" i="6" s="1"/>
  <c r="AK116" i="6"/>
  <c r="AW116" i="6" s="1"/>
  <c r="AK115" i="6"/>
  <c r="AW115" i="6" s="1"/>
  <c r="AK114" i="6"/>
  <c r="AK113" i="6"/>
  <c r="AW113" i="6" s="1"/>
  <c r="AK112" i="6"/>
  <c r="AW112" i="6" s="1"/>
  <c r="AK111" i="6"/>
  <c r="AW111" i="6" s="1"/>
  <c r="AK110" i="6"/>
  <c r="AW110" i="6" s="1"/>
  <c r="AK109" i="6"/>
  <c r="AW109" i="6" s="1"/>
  <c r="AK104" i="6"/>
  <c r="AW104" i="6" s="1"/>
  <c r="AK103" i="6"/>
  <c r="AK102" i="6"/>
  <c r="AW102" i="6" s="1"/>
  <c r="AK101" i="6"/>
  <c r="AW101" i="6" s="1"/>
  <c r="AK100" i="6"/>
  <c r="AW100" i="6" s="1"/>
  <c r="AK99" i="6"/>
  <c r="AK98" i="6"/>
  <c r="AK97" i="6"/>
  <c r="AK96" i="6"/>
  <c r="AW96" i="6" s="1"/>
  <c r="AK93" i="6"/>
  <c r="AW93" i="6" s="1"/>
  <c r="AK90" i="6"/>
  <c r="AW90" i="6" s="1"/>
  <c r="AK88" i="6"/>
  <c r="AW88" i="6" s="1"/>
  <c r="AK86" i="6"/>
  <c r="AW86" i="6" s="1"/>
  <c r="AK85" i="6"/>
  <c r="AW85" i="6" s="1"/>
  <c r="AK84" i="6"/>
  <c r="AW84" i="6" s="1"/>
  <c r="AK82" i="6"/>
  <c r="AW82" i="6" s="1"/>
  <c r="AK81" i="6"/>
  <c r="AW81" i="6" s="1"/>
  <c r="AK80" i="6"/>
  <c r="AW80" i="6" s="1"/>
  <c r="AK79" i="6"/>
  <c r="AW79" i="6" s="1"/>
  <c r="AK78" i="6"/>
  <c r="AW78" i="6" s="1"/>
  <c r="AK76" i="6"/>
  <c r="AW76" i="6" s="1"/>
  <c r="AK75" i="6"/>
  <c r="AW75" i="6" s="1"/>
  <c r="AK73" i="6"/>
  <c r="AW73" i="6" s="1"/>
  <c r="AK72" i="6"/>
  <c r="AW72" i="6" s="1"/>
  <c r="AK71" i="6"/>
  <c r="AW71" i="6" s="1"/>
  <c r="AK65" i="6"/>
  <c r="AW65" i="6" s="1"/>
  <c r="AK64" i="6"/>
  <c r="AW64" i="6" s="1"/>
  <c r="AK63" i="6"/>
  <c r="AK58" i="6"/>
  <c r="AW58" i="6" s="1"/>
  <c r="AK57" i="6"/>
  <c r="AW57" i="6" s="1"/>
  <c r="AK56" i="6"/>
  <c r="AW56" i="6" s="1"/>
  <c r="AK55" i="6"/>
  <c r="AW55" i="6" s="1"/>
  <c r="AK54" i="6"/>
  <c r="AW54" i="6" s="1"/>
  <c r="AK53" i="6"/>
  <c r="AW53" i="6" s="1"/>
  <c r="AK51" i="6"/>
  <c r="AW51" i="6" s="1"/>
  <c r="AK50" i="6"/>
  <c r="AW50" i="6" s="1"/>
  <c r="AK49" i="6"/>
  <c r="AW49" i="6" s="1"/>
  <c r="AK47" i="6"/>
  <c r="AW47" i="6" s="1"/>
  <c r="AK46" i="6"/>
  <c r="AW46" i="6" s="1"/>
  <c r="AK45" i="6"/>
  <c r="AW45" i="6" s="1"/>
  <c r="AK44" i="6"/>
  <c r="AW44" i="6" s="1"/>
  <c r="AK43" i="6"/>
  <c r="AW43" i="6" s="1"/>
  <c r="AK38" i="6"/>
  <c r="AW38" i="6" s="1"/>
  <c r="AK37" i="6"/>
  <c r="AW37" i="6" s="1"/>
  <c r="AK36" i="6"/>
  <c r="AW36" i="6" s="1"/>
  <c r="AK34" i="6"/>
  <c r="AW34" i="6" s="1"/>
  <c r="AK33" i="6"/>
  <c r="AW33" i="6" s="1"/>
  <c r="AK29" i="6"/>
  <c r="AW29" i="6" s="1"/>
  <c r="AK28" i="6"/>
  <c r="AW28" i="6" s="1"/>
  <c r="AK27" i="6"/>
  <c r="AW27" i="6" s="1"/>
  <c r="AK26" i="6"/>
  <c r="AW26" i="6" s="1"/>
  <c r="AK25" i="6"/>
  <c r="AW25" i="6" s="1"/>
  <c r="AK24" i="6"/>
  <c r="AW24" i="6" s="1"/>
  <c r="AK22" i="6"/>
  <c r="AW22" i="6" s="1"/>
  <c r="AK21" i="6"/>
  <c r="AW21" i="6" s="1"/>
  <c r="AK20" i="6"/>
  <c r="AW20" i="6" s="1"/>
  <c r="AK18" i="6"/>
  <c r="AW18" i="6" s="1"/>
  <c r="AK17" i="6"/>
  <c r="AW17" i="6" s="1"/>
  <c r="AK16" i="6"/>
  <c r="AW16" i="6" s="1"/>
  <c r="AK14" i="6"/>
  <c r="AW14" i="6" s="1"/>
  <c r="AK13" i="6"/>
  <c r="AW13" i="6" s="1"/>
  <c r="AK12" i="6"/>
  <c r="AW12" i="6" s="1"/>
  <c r="AK11" i="6"/>
  <c r="AW11" i="6" s="1"/>
  <c r="AK10" i="6"/>
  <c r="AW10" i="6" s="1"/>
  <c r="AK9" i="6"/>
  <c r="AW9" i="6" s="1"/>
  <c r="AK8" i="6"/>
  <c r="T407" i="6"/>
  <c r="S407" i="6"/>
  <c r="R407" i="6"/>
  <c r="AV407" i="6" s="1"/>
  <c r="Q407" i="6"/>
  <c r="AU407" i="6" s="1"/>
  <c r="P407" i="6"/>
  <c r="AT407" i="6" s="1"/>
  <c r="O407" i="6"/>
  <c r="AS407" i="6" s="1"/>
  <c r="N407" i="6"/>
  <c r="AR407" i="6" s="1"/>
  <c r="M407" i="6"/>
  <c r="AQ407" i="6" s="1"/>
  <c r="L407" i="6"/>
  <c r="AP407" i="6" s="1"/>
  <c r="K407" i="6"/>
  <c r="AO407" i="6" s="1"/>
  <c r="J407" i="6"/>
  <c r="AN407" i="6" s="1"/>
  <c r="I407" i="6"/>
  <c r="AM407" i="6" s="1"/>
  <c r="H407" i="6"/>
  <c r="F407" i="6"/>
  <c r="E407" i="6"/>
  <c r="D407" i="6"/>
  <c r="V412" i="6"/>
  <c r="V411" i="6"/>
  <c r="V410" i="6"/>
  <c r="V409" i="6"/>
  <c r="V408" i="6"/>
  <c r="V406" i="6"/>
  <c r="R273" i="6"/>
  <c r="AV273" i="6" s="1"/>
  <c r="M253" i="6"/>
  <c r="AQ253" i="6" s="1"/>
  <c r="S208" i="6"/>
  <c r="K183" i="6"/>
  <c r="AO183" i="6" s="1"/>
  <c r="T152" i="6"/>
  <c r="U174" i="6" l="1"/>
  <c r="U248" i="6"/>
  <c r="U123" i="6"/>
  <c r="U320" i="6"/>
  <c r="U210" i="6"/>
  <c r="U160" i="6"/>
  <c r="U183" i="6"/>
  <c r="U407" i="6"/>
  <c r="U253" i="6"/>
  <c r="U256" i="6"/>
  <c r="U273" i="6"/>
  <c r="U211" i="6"/>
  <c r="U124" i="6"/>
  <c r="AJ419" i="6"/>
  <c r="AJ418" i="6"/>
  <c r="AH419" i="6"/>
  <c r="AI419" i="6"/>
  <c r="AS256" i="6"/>
  <c r="AM256" i="6"/>
  <c r="AN248" i="6"/>
  <c r="AP248" i="6"/>
  <c r="AQ174" i="6"/>
  <c r="AP256" i="6"/>
  <c r="AU160" i="6"/>
  <c r="AO256" i="6"/>
  <c r="AN256" i="6"/>
  <c r="AS248" i="6"/>
  <c r="AT174" i="6"/>
  <c r="AM160" i="6"/>
  <c r="AP332" i="6"/>
  <c r="AT248" i="6"/>
  <c r="AM174" i="6"/>
  <c r="AN160" i="6"/>
  <c r="AI319" i="6"/>
  <c r="AI431" i="6" s="1"/>
  <c r="AU320" i="6"/>
  <c r="AW208" i="6"/>
  <c r="AK403" i="6"/>
  <c r="AW403" i="6" s="1"/>
  <c r="AT403" i="6"/>
  <c r="AM332" i="6"/>
  <c r="AI331" i="6"/>
  <c r="AI432" i="6" s="1"/>
  <c r="AU332" i="6"/>
  <c r="AR320" i="6"/>
  <c r="AK259" i="6"/>
  <c r="AW259" i="6" s="1"/>
  <c r="AT259" i="6"/>
  <c r="AQ248" i="6"/>
  <c r="AE210" i="6"/>
  <c r="AQ210" i="6" s="1"/>
  <c r="AQ211" i="6"/>
  <c r="AR174" i="6"/>
  <c r="AW407" i="6"/>
  <c r="AJ331" i="6"/>
  <c r="AJ432" i="6" s="1"/>
  <c r="AV332" i="6"/>
  <c r="AG319" i="6"/>
  <c r="AS320" i="6"/>
  <c r="AK260" i="6"/>
  <c r="AW260" i="6" s="1"/>
  <c r="AT260" i="6"/>
  <c r="AR248" i="6"/>
  <c r="AI255" i="6"/>
  <c r="AU255" i="6" s="1"/>
  <c r="AU256" i="6"/>
  <c r="AF210" i="6"/>
  <c r="AR210" i="6" s="1"/>
  <c r="AR211" i="6"/>
  <c r="AS174" i="6"/>
  <c r="AJ159" i="6"/>
  <c r="AV160" i="6"/>
  <c r="AA123" i="6"/>
  <c r="AM123" i="6" s="1"/>
  <c r="AM124" i="6"/>
  <c r="AQ332" i="6"/>
  <c r="AN320" i="6"/>
  <c r="AJ319" i="6"/>
  <c r="AJ431" i="6" s="1"/>
  <c r="AV320" i="6"/>
  <c r="AM248" i="6"/>
  <c r="AU248" i="6"/>
  <c r="AA210" i="6"/>
  <c r="AM210" i="6" s="1"/>
  <c r="AM211" i="6"/>
  <c r="AI210" i="6"/>
  <c r="AU210" i="6" s="1"/>
  <c r="AU211" i="6"/>
  <c r="AN174" i="6"/>
  <c r="AJ173" i="6"/>
  <c r="AV174" i="6"/>
  <c r="AO160" i="6"/>
  <c r="AQ123" i="6"/>
  <c r="AQ124" i="6"/>
  <c r="AH319" i="6"/>
  <c r="AH431" i="6" s="1"/>
  <c r="AT320" i="6"/>
  <c r="AH160" i="6"/>
  <c r="AT160" i="6" s="1"/>
  <c r="AT161" i="6"/>
  <c r="AA319" i="6"/>
  <c r="AM320" i="6"/>
  <c r="AH210" i="6"/>
  <c r="AT210" i="6" s="1"/>
  <c r="AT211" i="6"/>
  <c r="AC123" i="6"/>
  <c r="AO123" i="6" s="1"/>
  <c r="AO124" i="6"/>
  <c r="AR332" i="6"/>
  <c r="AO320" i="6"/>
  <c r="AV248" i="6"/>
  <c r="AB210" i="6"/>
  <c r="AN210" i="6" s="1"/>
  <c r="AN211" i="6"/>
  <c r="AJ210" i="6"/>
  <c r="AV210" i="6" s="1"/>
  <c r="AV211" i="6"/>
  <c r="AO174" i="6"/>
  <c r="AQ160" i="6"/>
  <c r="AF123" i="6"/>
  <c r="AR123" i="6" s="1"/>
  <c r="AR124" i="6"/>
  <c r="AS332" i="6"/>
  <c r="AD319" i="6"/>
  <c r="AP320" i="6"/>
  <c r="AR256" i="6"/>
  <c r="R255" i="6"/>
  <c r="AV255" i="6" s="1"/>
  <c r="AV256" i="6"/>
  <c r="AO248" i="6"/>
  <c r="AC210" i="6"/>
  <c r="AO210" i="6" s="1"/>
  <c r="AO211" i="6"/>
  <c r="AP174" i="6"/>
  <c r="AR160" i="6"/>
  <c r="AH124" i="6"/>
  <c r="AT125" i="6"/>
  <c r="AI123" i="6"/>
  <c r="AU123" i="6" s="1"/>
  <c r="AU124" i="6"/>
  <c r="AG210" i="6"/>
  <c r="AS210" i="6" s="1"/>
  <c r="AS211" i="6"/>
  <c r="AB123" i="6"/>
  <c r="AN123" i="6" s="1"/>
  <c r="AN124" i="6"/>
  <c r="AI173" i="6"/>
  <c r="AU174" i="6"/>
  <c r="AT332" i="6"/>
  <c r="AE319" i="6"/>
  <c r="AQ320" i="6"/>
  <c r="AQ256" i="6"/>
  <c r="AD210" i="6"/>
  <c r="AP210" i="6" s="1"/>
  <c r="AP211" i="6"/>
  <c r="AS160" i="6"/>
  <c r="AJ123" i="6"/>
  <c r="AV123" i="6" s="1"/>
  <c r="AV124" i="6"/>
  <c r="AA255" i="6"/>
  <c r="AM255" i="6" s="1"/>
  <c r="AB319" i="6"/>
  <c r="AC319" i="6"/>
  <c r="AF255" i="6"/>
  <c r="AE255" i="6"/>
  <c r="AQ255" i="6" s="1"/>
  <c r="AF319" i="6"/>
  <c r="Z247" i="6"/>
  <c r="Z246" i="6" s="1"/>
  <c r="Z2" i="6" s="1"/>
  <c r="AK211" i="6"/>
  <c r="AW211" i="6" s="1"/>
  <c r="AK174" i="6"/>
  <c r="AW174" i="6" s="1"/>
  <c r="AJ247" i="6"/>
  <c r="AJ428" i="6" s="1"/>
  <c r="AK248" i="6"/>
  <c r="AW248" i="6" s="1"/>
  <c r="AB255" i="6"/>
  <c r="N255" i="6"/>
  <c r="AD255" i="6"/>
  <c r="AP255" i="6" s="1"/>
  <c r="AC255" i="6"/>
  <c r="AO255" i="6" s="1"/>
  <c r="AG255" i="6"/>
  <c r="AS255" i="6" s="1"/>
  <c r="V256" i="6"/>
  <c r="J255" i="6"/>
  <c r="AK320" i="6"/>
  <c r="AW320" i="6" s="1"/>
  <c r="AH331" i="6"/>
  <c r="AH432" i="6" s="1"/>
  <c r="AK332" i="6"/>
  <c r="AW332" i="6" s="1"/>
  <c r="V407" i="6"/>
  <c r="S152" i="6"/>
  <c r="AW152" i="6" s="1"/>
  <c r="R147" i="6"/>
  <c r="T112" i="6"/>
  <c r="Q76" i="6"/>
  <c r="U76" i="6" s="1"/>
  <c r="T42" i="6"/>
  <c r="G416" i="17"/>
  <c r="G415" i="17"/>
  <c r="G414" i="17"/>
  <c r="G413" i="17"/>
  <c r="G412" i="17"/>
  <c r="G412" i="6"/>
  <c r="W412" i="6" s="1"/>
  <c r="G411" i="6"/>
  <c r="W411" i="6" s="1"/>
  <c r="G410" i="6"/>
  <c r="W410" i="6" s="1"/>
  <c r="G409" i="6"/>
  <c r="W409" i="6" s="1"/>
  <c r="G408" i="6"/>
  <c r="C407" i="6"/>
  <c r="G406" i="6"/>
  <c r="W406" i="6" s="1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 s="1"/>
  <c r="F381" i="6"/>
  <c r="E381" i="6"/>
  <c r="D381" i="6"/>
  <c r="C381" i="6"/>
  <c r="G380" i="6"/>
  <c r="G379" i="6"/>
  <c r="G378" i="6"/>
  <c r="G377" i="6"/>
  <c r="G376" i="6"/>
  <c r="G375" i="6"/>
  <c r="G374" i="6"/>
  <c r="F373" i="6"/>
  <c r="E373" i="6"/>
  <c r="D373" i="6"/>
  <c r="C373" i="6"/>
  <c r="G372" i="6"/>
  <c r="G371" i="6"/>
  <c r="G370" i="6"/>
  <c r="G369" i="6"/>
  <c r="G368" i="6"/>
  <c r="G367" i="6"/>
  <c r="G366" i="6"/>
  <c r="G365" i="6"/>
  <c r="G364" i="6"/>
  <c r="G363" i="6"/>
  <c r="G362" i="6"/>
  <c r="F361" i="6"/>
  <c r="E361" i="6"/>
  <c r="D361" i="6"/>
  <c r="C361" i="6"/>
  <c r="G360" i="6"/>
  <c r="G359" i="6"/>
  <c r="G358" i="6"/>
  <c r="G357" i="6"/>
  <c r="G356" i="6"/>
  <c r="G355" i="6"/>
  <c r="G354" i="6"/>
  <c r="G353" i="6"/>
  <c r="G352" i="6"/>
  <c r="G351" i="6"/>
  <c r="G350" i="6"/>
  <c r="F349" i="6"/>
  <c r="E349" i="6"/>
  <c r="D349" i="6"/>
  <c r="C349" i="6"/>
  <c r="G348" i="6"/>
  <c r="G347" i="6"/>
  <c r="G346" i="6"/>
  <c r="G345" i="6"/>
  <c r="F344" i="6"/>
  <c r="E344" i="6"/>
  <c r="D344" i="6"/>
  <c r="C344" i="6"/>
  <c r="G343" i="6"/>
  <c r="G342" i="6"/>
  <c r="G341" i="6"/>
  <c r="G340" i="6"/>
  <c r="G339" i="6"/>
  <c r="G338" i="6"/>
  <c r="G337" i="6"/>
  <c r="G336" i="6"/>
  <c r="G335" i="6"/>
  <c r="G334" i="6"/>
  <c r="G333" i="6"/>
  <c r="C332" i="6"/>
  <c r="G329" i="6"/>
  <c r="F329" i="6"/>
  <c r="F319" i="6" s="1"/>
  <c r="E329" i="6"/>
  <c r="E319" i="6" s="1"/>
  <c r="D329" i="6"/>
  <c r="D319" i="6" s="1"/>
  <c r="C329" i="6"/>
  <c r="G328" i="6"/>
  <c r="G327" i="6"/>
  <c r="G326" i="6"/>
  <c r="G325" i="6"/>
  <c r="G324" i="6"/>
  <c r="G323" i="6"/>
  <c r="G322" i="6"/>
  <c r="G321" i="6"/>
  <c r="C320" i="6"/>
  <c r="G318" i="6"/>
  <c r="G317" i="6" s="1"/>
  <c r="F317" i="6"/>
  <c r="E317" i="6"/>
  <c r="D317" i="6"/>
  <c r="C317" i="6"/>
  <c r="G315" i="6"/>
  <c r="F315" i="6"/>
  <c r="E315" i="6"/>
  <c r="D315" i="6"/>
  <c r="C315" i="6"/>
  <c r="G313" i="6"/>
  <c r="G312" i="6" s="1"/>
  <c r="F312" i="6"/>
  <c r="E312" i="6"/>
  <c r="D312" i="6"/>
  <c r="C312" i="6"/>
  <c r="G311" i="6"/>
  <c r="G310" i="6"/>
  <c r="F309" i="6"/>
  <c r="E309" i="6"/>
  <c r="D309" i="6"/>
  <c r="C309" i="6"/>
  <c r="G308" i="6"/>
  <c r="G307" i="6"/>
  <c r="D306" i="6"/>
  <c r="D305" i="6" s="1"/>
  <c r="F305" i="6"/>
  <c r="E305" i="6"/>
  <c r="C305" i="6"/>
  <c r="G304" i="6"/>
  <c r="G303" i="6"/>
  <c r="G302" i="6"/>
  <c r="G301" i="6"/>
  <c r="F300" i="6"/>
  <c r="E300" i="6"/>
  <c r="D300" i="6"/>
  <c r="C300" i="6"/>
  <c r="G299" i="6"/>
  <c r="G298" i="6"/>
  <c r="G297" i="6"/>
  <c r="G296" i="6"/>
  <c r="F295" i="6"/>
  <c r="E295" i="6"/>
  <c r="D295" i="6"/>
  <c r="C295" i="6"/>
  <c r="G294" i="6"/>
  <c r="G293" i="6"/>
  <c r="G292" i="6"/>
  <c r="F291" i="6"/>
  <c r="E291" i="6"/>
  <c r="D291" i="6"/>
  <c r="C291" i="6"/>
  <c r="G290" i="6"/>
  <c r="G289" i="6"/>
  <c r="G288" i="6"/>
  <c r="G287" i="6"/>
  <c r="G286" i="6"/>
  <c r="G285" i="6"/>
  <c r="G284" i="6"/>
  <c r="G283" i="6"/>
  <c r="G282" i="6"/>
  <c r="E281" i="6"/>
  <c r="E278" i="6" s="1"/>
  <c r="D280" i="6"/>
  <c r="G280" i="6" s="1"/>
  <c r="G279" i="6"/>
  <c r="F278" i="6"/>
  <c r="C278" i="6"/>
  <c r="G275" i="6"/>
  <c r="G274" i="6" s="1"/>
  <c r="F274" i="6"/>
  <c r="E274" i="6"/>
  <c r="D274" i="6"/>
  <c r="C274" i="6"/>
  <c r="D273" i="6"/>
  <c r="G273" i="6" s="1"/>
  <c r="G272" i="6" s="1"/>
  <c r="G271" i="6" s="1"/>
  <c r="F272" i="6"/>
  <c r="F271" i="6" s="1"/>
  <c r="E272" i="6"/>
  <c r="E271" i="6" s="1"/>
  <c r="C272" i="6"/>
  <c r="C271" i="6" s="1"/>
  <c r="G270" i="6"/>
  <c r="G269" i="6"/>
  <c r="G268" i="6"/>
  <c r="G267" i="6"/>
  <c r="G266" i="6"/>
  <c r="G265" i="6"/>
  <c r="G264" i="6"/>
  <c r="G263" i="6"/>
  <c r="G262" i="6"/>
  <c r="G261" i="6"/>
  <c r="F260" i="6"/>
  <c r="F259" i="6"/>
  <c r="G258" i="6"/>
  <c r="G257" i="6"/>
  <c r="C255" i="6"/>
  <c r="G254" i="6"/>
  <c r="E253" i="6"/>
  <c r="E252" i="6" s="1"/>
  <c r="E251" i="6" s="1"/>
  <c r="F252" i="6"/>
  <c r="F251" i="6" s="1"/>
  <c r="D252" i="6"/>
  <c r="D251" i="6" s="1"/>
  <c r="C252" i="6"/>
  <c r="C251" i="6" s="1"/>
  <c r="G250" i="6"/>
  <c r="G249" i="6"/>
  <c r="C248" i="6"/>
  <c r="G245" i="6"/>
  <c r="G244" i="6"/>
  <c r="G243" i="6"/>
  <c r="F242" i="6"/>
  <c r="E242" i="6"/>
  <c r="D242" i="6"/>
  <c r="C242" i="6"/>
  <c r="E241" i="6"/>
  <c r="E240" i="6" s="1"/>
  <c r="F240" i="6"/>
  <c r="D240" i="6"/>
  <c r="C240" i="6"/>
  <c r="G237" i="6"/>
  <c r="G236" i="6" s="1"/>
  <c r="F236" i="6"/>
  <c r="E236" i="6"/>
  <c r="D236" i="6"/>
  <c r="C236" i="6"/>
  <c r="F235" i="6"/>
  <c r="F234" i="6" s="1"/>
  <c r="F233" i="6" s="1"/>
  <c r="F232" i="6" s="1"/>
  <c r="E234" i="6"/>
  <c r="E233" i="6" s="1"/>
  <c r="E232" i="6" s="1"/>
  <c r="D234" i="6"/>
  <c r="D233" i="6" s="1"/>
  <c r="D232" i="6" s="1"/>
  <c r="C234" i="6"/>
  <c r="C233" i="6" s="1"/>
  <c r="C232" i="6" s="1"/>
  <c r="G231" i="6"/>
  <c r="G230" i="6"/>
  <c r="G229" i="6"/>
  <c r="G228" i="6"/>
  <c r="F227" i="6"/>
  <c r="E227" i="6"/>
  <c r="D227" i="6"/>
  <c r="C227" i="6"/>
  <c r="G226" i="6"/>
  <c r="G225" i="6"/>
  <c r="F224" i="6"/>
  <c r="E224" i="6"/>
  <c r="D224" i="6"/>
  <c r="C224" i="6"/>
  <c r="G223" i="6"/>
  <c r="G222" i="6"/>
  <c r="F221" i="6"/>
  <c r="E221" i="6"/>
  <c r="D221" i="6"/>
  <c r="C221" i="6"/>
  <c r="G220" i="6"/>
  <c r="G219" i="6"/>
  <c r="F218" i="6"/>
  <c r="E218" i="6"/>
  <c r="D218" i="6"/>
  <c r="C218" i="6"/>
  <c r="G216" i="6"/>
  <c r="G215" i="6" s="1"/>
  <c r="F215" i="6"/>
  <c r="E215" i="6"/>
  <c r="D215" i="6"/>
  <c r="C215" i="6"/>
  <c r="G214" i="6"/>
  <c r="G213" i="6"/>
  <c r="G212" i="6"/>
  <c r="G211" i="6" s="1"/>
  <c r="C211" i="6"/>
  <c r="C210" i="6" s="1"/>
  <c r="G209" i="6"/>
  <c r="D208" i="6"/>
  <c r="D207" i="6" s="1"/>
  <c r="F207" i="6"/>
  <c r="E207" i="6"/>
  <c r="C207" i="6"/>
  <c r="G206" i="6"/>
  <c r="G205" i="6"/>
  <c r="F204" i="6"/>
  <c r="E204" i="6"/>
  <c r="D204" i="6"/>
  <c r="C204" i="6"/>
  <c r="G202" i="6"/>
  <c r="G201" i="6" s="1"/>
  <c r="F201" i="6"/>
  <c r="E201" i="6"/>
  <c r="D201" i="6"/>
  <c r="C201" i="6"/>
  <c r="G200" i="6"/>
  <c r="G199" i="6"/>
  <c r="G198" i="6"/>
  <c r="F197" i="6"/>
  <c r="E197" i="6"/>
  <c r="D197" i="6"/>
  <c r="C197" i="6"/>
  <c r="G196" i="6"/>
  <c r="G195" i="6"/>
  <c r="G194" i="6"/>
  <c r="G193" i="6"/>
  <c r="G192" i="6" s="1"/>
  <c r="F192" i="6"/>
  <c r="F191" i="6" s="1"/>
  <c r="E192" i="6"/>
  <c r="E191" i="6" s="1"/>
  <c r="D192" i="6"/>
  <c r="D191" i="6" s="1"/>
  <c r="C192" i="6"/>
  <c r="C191" i="6" s="1"/>
  <c r="G190" i="6"/>
  <c r="G189" i="6" s="1"/>
  <c r="F189" i="6"/>
  <c r="E189" i="6"/>
  <c r="D189" i="6"/>
  <c r="C189" i="6"/>
  <c r="G187" i="6"/>
  <c r="G186" i="6"/>
  <c r="G185" i="6"/>
  <c r="F184" i="6"/>
  <c r="E184" i="6"/>
  <c r="D184" i="6"/>
  <c r="C184" i="6"/>
  <c r="G183" i="6"/>
  <c r="G182" i="6" s="1"/>
  <c r="F182" i="6"/>
  <c r="E182" i="6"/>
  <c r="D182" i="6"/>
  <c r="C182" i="6"/>
  <c r="G180" i="6"/>
  <c r="G179" i="6"/>
  <c r="G178" i="6" s="1"/>
  <c r="F178" i="6"/>
  <c r="E178" i="6"/>
  <c r="D178" i="6"/>
  <c r="C178" i="6"/>
  <c r="G177" i="6"/>
  <c r="G176" i="6" s="1"/>
  <c r="F176" i="6"/>
  <c r="E176" i="6"/>
  <c r="D176" i="6"/>
  <c r="C176" i="6"/>
  <c r="G175" i="6"/>
  <c r="G174" i="6" s="1"/>
  <c r="C174" i="6"/>
  <c r="G171" i="6"/>
  <c r="E170" i="6"/>
  <c r="G170" i="6" s="1"/>
  <c r="G169" i="6"/>
  <c r="G168" i="6"/>
  <c r="G167" i="6"/>
  <c r="F166" i="6"/>
  <c r="F165" i="6" s="1"/>
  <c r="E166" i="6"/>
  <c r="D166" i="6"/>
  <c r="D165" i="6" s="1"/>
  <c r="C166" i="6"/>
  <c r="C165" i="6" s="1"/>
  <c r="G164" i="6"/>
  <c r="C163" i="6"/>
  <c r="C162" i="6" s="1"/>
  <c r="F162" i="6"/>
  <c r="E162" i="6"/>
  <c r="D162" i="6"/>
  <c r="G161" i="6"/>
  <c r="G160" i="6" s="1"/>
  <c r="C160" i="6"/>
  <c r="G158" i="6"/>
  <c r="G157" i="6"/>
  <c r="F156" i="6"/>
  <c r="E156" i="6"/>
  <c r="D156" i="6"/>
  <c r="C156" i="6"/>
  <c r="G155" i="6"/>
  <c r="G154" i="6"/>
  <c r="F153" i="6"/>
  <c r="E153" i="6"/>
  <c r="D153" i="6"/>
  <c r="C153" i="6"/>
  <c r="G152" i="6"/>
  <c r="G151" i="6"/>
  <c r="D149" i="6"/>
  <c r="G149" i="6" s="1"/>
  <c r="G148" i="6"/>
  <c r="G147" i="6"/>
  <c r="G146" i="6"/>
  <c r="D144" i="6"/>
  <c r="D143" i="6" s="1"/>
  <c r="F143" i="6"/>
  <c r="E143" i="6"/>
  <c r="C143" i="6"/>
  <c r="G142" i="6"/>
  <c r="G141" i="6"/>
  <c r="G140" i="6"/>
  <c r="G139" i="6"/>
  <c r="G138" i="6"/>
  <c r="G137" i="6"/>
  <c r="G136" i="6"/>
  <c r="F135" i="6"/>
  <c r="E135" i="6"/>
  <c r="D135" i="6"/>
  <c r="C135" i="6"/>
  <c r="G133" i="6"/>
  <c r="G132" i="6" s="1"/>
  <c r="F132" i="6"/>
  <c r="E132" i="6"/>
  <c r="D132" i="6"/>
  <c r="C132" i="6"/>
  <c r="G131" i="6"/>
  <c r="G130" i="6"/>
  <c r="G129" i="6"/>
  <c r="F128" i="6"/>
  <c r="E128" i="6"/>
  <c r="D128" i="6"/>
  <c r="C128" i="6"/>
  <c r="G126" i="6"/>
  <c r="G125" i="6"/>
  <c r="C124" i="6"/>
  <c r="C123" i="6" s="1"/>
  <c r="G122" i="6"/>
  <c r="G121" i="6"/>
  <c r="G120" i="6"/>
  <c r="G119" i="6"/>
  <c r="G118" i="6"/>
  <c r="G117" i="6"/>
  <c r="G116" i="6"/>
  <c r="E115" i="6"/>
  <c r="G115" i="6" s="1"/>
  <c r="F114" i="6"/>
  <c r="F108" i="6" s="1"/>
  <c r="F107" i="6" s="1"/>
  <c r="D114" i="6"/>
  <c r="D108" i="6" s="1"/>
  <c r="D107" i="6" s="1"/>
  <c r="C114" i="6"/>
  <c r="C108" i="6" s="1"/>
  <c r="C107" i="6" s="1"/>
  <c r="G113" i="6"/>
  <c r="G112" i="6"/>
  <c r="G111" i="6"/>
  <c r="G110" i="6"/>
  <c r="E109" i="6"/>
  <c r="G104" i="6"/>
  <c r="G103" i="6" s="1"/>
  <c r="F103" i="6"/>
  <c r="E103" i="6"/>
  <c r="D103" i="6"/>
  <c r="C103" i="6"/>
  <c r="G102" i="6"/>
  <c r="G101" i="6"/>
  <c r="G100" i="6"/>
  <c r="F99" i="6"/>
  <c r="F98" i="6" s="1"/>
  <c r="F97" i="6" s="1"/>
  <c r="E99" i="6"/>
  <c r="E98" i="6" s="1"/>
  <c r="E97" i="6" s="1"/>
  <c r="D99" i="6"/>
  <c r="D98" i="6" s="1"/>
  <c r="D97" i="6" s="1"/>
  <c r="C99" i="6"/>
  <c r="C98" i="6" s="1"/>
  <c r="C97" i="6" s="1"/>
  <c r="G96" i="6"/>
  <c r="G95" i="6" s="1"/>
  <c r="G94" i="6" s="1"/>
  <c r="G92" i="6" s="1"/>
  <c r="F95" i="6"/>
  <c r="F94" i="6" s="1"/>
  <c r="F92" i="6" s="1"/>
  <c r="E95" i="6"/>
  <c r="E94" i="6" s="1"/>
  <c r="E92" i="6" s="1"/>
  <c r="D95" i="6"/>
  <c r="D94" i="6" s="1"/>
  <c r="D92" i="6" s="1"/>
  <c r="C95" i="6"/>
  <c r="C94" i="6" s="1"/>
  <c r="C92" i="6" s="1"/>
  <c r="G90" i="6"/>
  <c r="G89" i="6" s="1"/>
  <c r="F89" i="6"/>
  <c r="E89" i="6"/>
  <c r="D89" i="6"/>
  <c r="C89" i="6"/>
  <c r="G88" i="6"/>
  <c r="G87" i="6" s="1"/>
  <c r="F87" i="6"/>
  <c r="E87" i="6"/>
  <c r="D87" i="6"/>
  <c r="C87" i="6"/>
  <c r="G86" i="6"/>
  <c r="G85" i="6"/>
  <c r="G84" i="6"/>
  <c r="F83" i="6"/>
  <c r="E83" i="6"/>
  <c r="D83" i="6"/>
  <c r="C83" i="6"/>
  <c r="G82" i="6"/>
  <c r="G81" i="6"/>
  <c r="G80" i="6"/>
  <c r="G79" i="6"/>
  <c r="G78" i="6"/>
  <c r="F77" i="6"/>
  <c r="E77" i="6"/>
  <c r="D77" i="6"/>
  <c r="C77" i="6"/>
  <c r="G76" i="6"/>
  <c r="G75" i="6"/>
  <c r="F74" i="6"/>
  <c r="E74" i="6"/>
  <c r="D74" i="6"/>
  <c r="C74" i="6"/>
  <c r="G73" i="6"/>
  <c r="G72" i="6"/>
  <c r="G71" i="6"/>
  <c r="F70" i="6"/>
  <c r="E70" i="6"/>
  <c r="D70" i="6"/>
  <c r="C70" i="6"/>
  <c r="G69" i="6"/>
  <c r="G68" i="6" s="1"/>
  <c r="F68" i="6"/>
  <c r="E68" i="6"/>
  <c r="D68" i="6"/>
  <c r="C68" i="6"/>
  <c r="G65" i="6"/>
  <c r="G64" i="6"/>
  <c r="F63" i="6"/>
  <c r="F62" i="6" s="1"/>
  <c r="E63" i="6"/>
  <c r="E62" i="6" s="1"/>
  <c r="D63" i="6"/>
  <c r="D62" i="6" s="1"/>
  <c r="C63" i="6"/>
  <c r="C62" i="6" s="1"/>
  <c r="G58" i="6"/>
  <c r="G57" i="6"/>
  <c r="G56" i="6"/>
  <c r="G55" i="6"/>
  <c r="G54" i="6"/>
  <c r="G53" i="6"/>
  <c r="F52" i="6"/>
  <c r="E52" i="6"/>
  <c r="D52" i="6"/>
  <c r="C52" i="6"/>
  <c r="G51" i="6"/>
  <c r="G50" i="6"/>
  <c r="G49" i="6"/>
  <c r="F48" i="6"/>
  <c r="F41" i="6" s="1"/>
  <c r="F40" i="6" s="1"/>
  <c r="E48" i="6"/>
  <c r="E41" i="6" s="1"/>
  <c r="E40" i="6" s="1"/>
  <c r="D48" i="6"/>
  <c r="D41" i="6" s="1"/>
  <c r="D40" i="6" s="1"/>
  <c r="C48" i="6"/>
  <c r="C41" i="6" s="1"/>
  <c r="C40" i="6" s="1"/>
  <c r="G47" i="6"/>
  <c r="G46" i="6"/>
  <c r="G45" i="6"/>
  <c r="G44" i="6"/>
  <c r="G43" i="6"/>
  <c r="G42" i="6"/>
  <c r="G38" i="6"/>
  <c r="G37" i="6"/>
  <c r="G36" i="6"/>
  <c r="F35" i="6"/>
  <c r="E35" i="6"/>
  <c r="D35" i="6"/>
  <c r="C35" i="6"/>
  <c r="G34" i="6"/>
  <c r="G33" i="6"/>
  <c r="F32" i="6"/>
  <c r="E32" i="6"/>
  <c r="D32" i="6"/>
  <c r="C32" i="6"/>
  <c r="G29" i="6"/>
  <c r="G28" i="6"/>
  <c r="G27" i="6"/>
  <c r="G26" i="6"/>
  <c r="G25" i="6"/>
  <c r="G24" i="6"/>
  <c r="F23" i="6"/>
  <c r="E23" i="6"/>
  <c r="D23" i="6"/>
  <c r="C23" i="6"/>
  <c r="G22" i="6"/>
  <c r="G21" i="6"/>
  <c r="G20" i="6"/>
  <c r="F19" i="6"/>
  <c r="E19" i="6"/>
  <c r="D19" i="6"/>
  <c r="C19" i="6"/>
  <c r="G18" i="6"/>
  <c r="G17" i="6"/>
  <c r="G16" i="6"/>
  <c r="F15" i="6"/>
  <c r="E15" i="6"/>
  <c r="E7" i="6" s="1"/>
  <c r="D15" i="6"/>
  <c r="D7" i="6" s="1"/>
  <c r="C15" i="6"/>
  <c r="C7" i="6" s="1"/>
  <c r="G14" i="6"/>
  <c r="G13" i="6"/>
  <c r="G12" i="6"/>
  <c r="G11" i="6"/>
  <c r="G10" i="6"/>
  <c r="G9" i="6"/>
  <c r="F8" i="6"/>
  <c r="Q411" i="17"/>
  <c r="P411" i="17"/>
  <c r="O411" i="17"/>
  <c r="N411" i="17"/>
  <c r="M411" i="17"/>
  <c r="L411" i="17"/>
  <c r="K411" i="17"/>
  <c r="J411" i="17"/>
  <c r="I411" i="17"/>
  <c r="H411" i="17"/>
  <c r="F411" i="17"/>
  <c r="E411" i="17"/>
  <c r="D411" i="17"/>
  <c r="C411" i="17"/>
  <c r="G410" i="17"/>
  <c r="O409" i="17"/>
  <c r="M409" i="17"/>
  <c r="G409" i="17"/>
  <c r="P409" i="17" s="1"/>
  <c r="O408" i="17"/>
  <c r="M408" i="17"/>
  <c r="G408" i="17"/>
  <c r="P408" i="17" s="1"/>
  <c r="O407" i="17"/>
  <c r="M407" i="17"/>
  <c r="G407" i="17"/>
  <c r="J407" i="17" s="1"/>
  <c r="O406" i="17"/>
  <c r="M406" i="17"/>
  <c r="G406" i="17"/>
  <c r="O405" i="17"/>
  <c r="M405" i="17"/>
  <c r="G405" i="17"/>
  <c r="O404" i="17"/>
  <c r="M404" i="17"/>
  <c r="G404" i="17"/>
  <c r="P404" i="17" s="1"/>
  <c r="O403" i="17"/>
  <c r="M403" i="17"/>
  <c r="G403" i="17"/>
  <c r="P403" i="17" s="1"/>
  <c r="O402" i="17"/>
  <c r="M402" i="17"/>
  <c r="G402" i="17"/>
  <c r="J402" i="17" s="1"/>
  <c r="Q401" i="17"/>
  <c r="O401" i="17"/>
  <c r="M401" i="17"/>
  <c r="G401" i="17"/>
  <c r="P401" i="17" s="1"/>
  <c r="Q400" i="17"/>
  <c r="O400" i="17"/>
  <c r="M400" i="17"/>
  <c r="G400" i="17"/>
  <c r="Q399" i="17"/>
  <c r="O399" i="17"/>
  <c r="M399" i="17"/>
  <c r="G399" i="17"/>
  <c r="P399" i="17" s="1"/>
  <c r="Q398" i="17"/>
  <c r="O398" i="17"/>
  <c r="M398" i="17"/>
  <c r="G398" i="17"/>
  <c r="J398" i="17" s="1"/>
  <c r="Q397" i="17"/>
  <c r="O397" i="17"/>
  <c r="M397" i="17"/>
  <c r="G397" i="17"/>
  <c r="P397" i="17" s="1"/>
  <c r="Q396" i="17"/>
  <c r="O396" i="17"/>
  <c r="M396" i="17"/>
  <c r="G396" i="17"/>
  <c r="Q395" i="17"/>
  <c r="O395" i="17"/>
  <c r="M395" i="17"/>
  <c r="G395" i="17"/>
  <c r="P395" i="17" s="1"/>
  <c r="O394" i="17"/>
  <c r="M394" i="17"/>
  <c r="G394" i="17"/>
  <c r="J394" i="17" s="1"/>
  <c r="Q393" i="17"/>
  <c r="O393" i="17"/>
  <c r="M393" i="17"/>
  <c r="G393" i="17"/>
  <c r="P393" i="17" s="1"/>
  <c r="Q392" i="17"/>
  <c r="O392" i="17"/>
  <c r="M392" i="17"/>
  <c r="G392" i="17"/>
  <c r="P392" i="17" s="1"/>
  <c r="Q391" i="17"/>
  <c r="O391" i="17"/>
  <c r="M391" i="17"/>
  <c r="G391" i="17"/>
  <c r="Q390" i="17"/>
  <c r="O390" i="17"/>
  <c r="M390" i="17"/>
  <c r="G390" i="17"/>
  <c r="J390" i="17" s="1"/>
  <c r="Q389" i="17"/>
  <c r="O389" i="17"/>
  <c r="M389" i="17"/>
  <c r="G389" i="17"/>
  <c r="P389" i="17" s="1"/>
  <c r="Q388" i="17"/>
  <c r="O388" i="17"/>
  <c r="M388" i="17"/>
  <c r="G388" i="17"/>
  <c r="P388" i="17" s="1"/>
  <c r="Q387" i="17"/>
  <c r="O387" i="17"/>
  <c r="M387" i="17"/>
  <c r="G387" i="17"/>
  <c r="J387" i="17" s="1"/>
  <c r="Q386" i="17"/>
  <c r="Q385" i="17" s="1"/>
  <c r="O386" i="17"/>
  <c r="O385" i="17" s="1"/>
  <c r="M386" i="17"/>
  <c r="M385" i="17" s="1"/>
  <c r="G386" i="17"/>
  <c r="J386" i="17" s="1"/>
  <c r="J385" i="17" s="1"/>
  <c r="F385" i="17"/>
  <c r="E385" i="17"/>
  <c r="D385" i="17"/>
  <c r="C385" i="17"/>
  <c r="Q384" i="17"/>
  <c r="O384" i="17"/>
  <c r="M384" i="17"/>
  <c r="G384" i="17"/>
  <c r="J384" i="17" s="1"/>
  <c r="Q383" i="17"/>
  <c r="O383" i="17"/>
  <c r="M383" i="17"/>
  <c r="G383" i="17"/>
  <c r="P383" i="17" s="1"/>
  <c r="Q382" i="17"/>
  <c r="O382" i="17"/>
  <c r="M382" i="17"/>
  <c r="G382" i="17"/>
  <c r="P382" i="17" s="1"/>
  <c r="Q381" i="17"/>
  <c r="O381" i="17"/>
  <c r="M381" i="17"/>
  <c r="G381" i="17"/>
  <c r="J381" i="17" s="1"/>
  <c r="Q380" i="17"/>
  <c r="O380" i="17"/>
  <c r="M380" i="17"/>
  <c r="G380" i="17"/>
  <c r="J380" i="17" s="1"/>
  <c r="Q379" i="17"/>
  <c r="O379" i="17"/>
  <c r="M379" i="17"/>
  <c r="G379" i="17"/>
  <c r="Q378" i="17"/>
  <c r="O378" i="17"/>
  <c r="M378" i="17"/>
  <c r="G378" i="17"/>
  <c r="P378" i="17" s="1"/>
  <c r="F377" i="17"/>
  <c r="E377" i="17"/>
  <c r="D377" i="17"/>
  <c r="C377" i="17"/>
  <c r="Q376" i="17"/>
  <c r="O376" i="17"/>
  <c r="M376" i="17"/>
  <c r="G376" i="17"/>
  <c r="P376" i="17" s="1"/>
  <c r="Q375" i="17"/>
  <c r="O375" i="17"/>
  <c r="M375" i="17"/>
  <c r="G375" i="17"/>
  <c r="J375" i="17" s="1"/>
  <c r="Q374" i="17"/>
  <c r="O374" i="17"/>
  <c r="M374" i="17"/>
  <c r="G374" i="17"/>
  <c r="J374" i="17" s="1"/>
  <c r="Q373" i="17"/>
  <c r="O373" i="17"/>
  <c r="M373" i="17"/>
  <c r="G373" i="17"/>
  <c r="P373" i="17" s="1"/>
  <c r="Q372" i="17"/>
  <c r="O372" i="17"/>
  <c r="M372" i="17"/>
  <c r="G372" i="17"/>
  <c r="P372" i="17" s="1"/>
  <c r="Q371" i="17"/>
  <c r="O371" i="17"/>
  <c r="M371" i="17"/>
  <c r="G371" i="17"/>
  <c r="Q370" i="17"/>
  <c r="O370" i="17"/>
  <c r="M370" i="17"/>
  <c r="G370" i="17"/>
  <c r="J370" i="17" s="1"/>
  <c r="Q369" i="17"/>
  <c r="O369" i="17"/>
  <c r="M369" i="17"/>
  <c r="G369" i="17"/>
  <c r="P369" i="17" s="1"/>
  <c r="Q368" i="17"/>
  <c r="O368" i="17"/>
  <c r="M368" i="17"/>
  <c r="G368" i="17"/>
  <c r="P368" i="17" s="1"/>
  <c r="Q367" i="17"/>
  <c r="O367" i="17"/>
  <c r="M367" i="17"/>
  <c r="G367" i="17"/>
  <c r="J367" i="17" s="1"/>
  <c r="Q366" i="17"/>
  <c r="O366" i="17"/>
  <c r="M366" i="17"/>
  <c r="G366" i="17"/>
  <c r="J366" i="17" s="1"/>
  <c r="F365" i="17"/>
  <c r="E365" i="17"/>
  <c r="D365" i="17"/>
  <c r="C365" i="17"/>
  <c r="Q364" i="17"/>
  <c r="O364" i="17"/>
  <c r="M364" i="17"/>
  <c r="G364" i="17"/>
  <c r="J364" i="17" s="1"/>
  <c r="Q363" i="17"/>
  <c r="O363" i="17"/>
  <c r="M363" i="17"/>
  <c r="G363" i="17"/>
  <c r="J363" i="17" s="1"/>
  <c r="Q362" i="17"/>
  <c r="O362" i="17"/>
  <c r="M362" i="17"/>
  <c r="G362" i="17"/>
  <c r="P362" i="17" s="1"/>
  <c r="Q361" i="17"/>
  <c r="O361" i="17"/>
  <c r="M361" i="17"/>
  <c r="G361" i="17"/>
  <c r="J361" i="17" s="1"/>
  <c r="Q360" i="17"/>
  <c r="O360" i="17"/>
  <c r="M360" i="17"/>
  <c r="G360" i="17"/>
  <c r="J360" i="17" s="1"/>
  <c r="Q359" i="17"/>
  <c r="O359" i="17"/>
  <c r="M359" i="17"/>
  <c r="G359" i="17"/>
  <c r="P359" i="17" s="1"/>
  <c r="Q358" i="17"/>
  <c r="O358" i="17"/>
  <c r="M358" i="17"/>
  <c r="G358" i="17"/>
  <c r="P358" i="17" s="1"/>
  <c r="Q357" i="17"/>
  <c r="O357" i="17"/>
  <c r="M357" i="17"/>
  <c r="G357" i="17"/>
  <c r="Q356" i="17"/>
  <c r="O356" i="17"/>
  <c r="M356" i="17"/>
  <c r="G356" i="17"/>
  <c r="J356" i="17" s="1"/>
  <c r="Q355" i="17"/>
  <c r="O355" i="17"/>
  <c r="M355" i="17"/>
  <c r="G355" i="17"/>
  <c r="P355" i="17" s="1"/>
  <c r="Q354" i="17"/>
  <c r="O354" i="17"/>
  <c r="M354" i="17"/>
  <c r="G354" i="17"/>
  <c r="P354" i="17" s="1"/>
  <c r="F353" i="17"/>
  <c r="E353" i="17"/>
  <c r="D353" i="17"/>
  <c r="C353" i="17"/>
  <c r="Q352" i="17"/>
  <c r="O352" i="17"/>
  <c r="M352" i="17"/>
  <c r="G352" i="17"/>
  <c r="P352" i="17" s="1"/>
  <c r="Q351" i="17"/>
  <c r="O351" i="17"/>
  <c r="M351" i="17"/>
  <c r="G351" i="17"/>
  <c r="J351" i="17" s="1"/>
  <c r="Q350" i="17"/>
  <c r="O350" i="17"/>
  <c r="M350" i="17"/>
  <c r="G350" i="17"/>
  <c r="J350" i="17" s="1"/>
  <c r="Q349" i="17"/>
  <c r="O349" i="17"/>
  <c r="M349" i="17"/>
  <c r="G349" i="17"/>
  <c r="F348" i="17"/>
  <c r="E348" i="17"/>
  <c r="D348" i="17"/>
  <c r="C348" i="17"/>
  <c r="O347" i="17"/>
  <c r="M347" i="17"/>
  <c r="G347" i="17"/>
  <c r="O346" i="17"/>
  <c r="M346" i="17"/>
  <c r="G346" i="17"/>
  <c r="Q345" i="17"/>
  <c r="O345" i="17"/>
  <c r="M345" i="17"/>
  <c r="G345" i="17"/>
  <c r="P345" i="17" s="1"/>
  <c r="Q344" i="17"/>
  <c r="O344" i="17"/>
  <c r="M344" i="17"/>
  <c r="G344" i="17"/>
  <c r="Q343" i="17"/>
  <c r="O343" i="17"/>
  <c r="M343" i="17"/>
  <c r="G343" i="17"/>
  <c r="J343" i="17" s="1"/>
  <c r="Q342" i="17"/>
  <c r="O342" i="17"/>
  <c r="M342" i="17"/>
  <c r="G342" i="17"/>
  <c r="Q341" i="17"/>
  <c r="O341" i="17"/>
  <c r="M341" i="17"/>
  <c r="G341" i="17"/>
  <c r="P341" i="17" s="1"/>
  <c r="Q340" i="17"/>
  <c r="O340" i="17"/>
  <c r="M340" i="17"/>
  <c r="G340" i="17"/>
  <c r="Q339" i="17"/>
  <c r="O339" i="17"/>
  <c r="M339" i="17"/>
  <c r="G339" i="17"/>
  <c r="J339" i="17" s="1"/>
  <c r="Q338" i="17"/>
  <c r="O338" i="17"/>
  <c r="M338" i="17"/>
  <c r="G338" i="17"/>
  <c r="P338" i="17" s="1"/>
  <c r="Q337" i="17"/>
  <c r="O337" i="17"/>
  <c r="M337" i="17"/>
  <c r="G337" i="17"/>
  <c r="P337" i="17" s="1"/>
  <c r="F336" i="17"/>
  <c r="E336" i="17"/>
  <c r="D336" i="17"/>
  <c r="C336" i="17"/>
  <c r="N335" i="17"/>
  <c r="L335" i="17"/>
  <c r="K335" i="17"/>
  <c r="I335" i="17"/>
  <c r="H335" i="17"/>
  <c r="P334" i="17"/>
  <c r="P333" i="17" s="1"/>
  <c r="O334" i="17"/>
  <c r="O333" i="17" s="1"/>
  <c r="M334" i="17"/>
  <c r="M333" i="17" s="1"/>
  <c r="J334" i="17"/>
  <c r="J333" i="17" s="1"/>
  <c r="Q333" i="17"/>
  <c r="G333" i="17"/>
  <c r="F333" i="17"/>
  <c r="E333" i="17"/>
  <c r="D333" i="17"/>
  <c r="C333" i="17"/>
  <c r="O332" i="17"/>
  <c r="M332" i="17"/>
  <c r="G332" i="17"/>
  <c r="O331" i="17"/>
  <c r="M331" i="17"/>
  <c r="G331" i="17"/>
  <c r="O330" i="17"/>
  <c r="M330" i="17"/>
  <c r="G330" i="17"/>
  <c r="O329" i="17"/>
  <c r="M329" i="17"/>
  <c r="G329" i="17"/>
  <c r="J329" i="17" s="1"/>
  <c r="Q328" i="17"/>
  <c r="O328" i="17"/>
  <c r="M328" i="17"/>
  <c r="G328" i="17"/>
  <c r="P328" i="17" s="1"/>
  <c r="Q327" i="17"/>
  <c r="O327" i="17"/>
  <c r="M327" i="17"/>
  <c r="G327" i="17"/>
  <c r="Q326" i="17"/>
  <c r="O326" i="17"/>
  <c r="M326" i="17"/>
  <c r="G326" i="17"/>
  <c r="P326" i="17" s="1"/>
  <c r="Q325" i="17"/>
  <c r="O325" i="17"/>
  <c r="M325" i="17"/>
  <c r="G325" i="17"/>
  <c r="P325" i="17" s="1"/>
  <c r="F324" i="17"/>
  <c r="E324" i="17"/>
  <c r="D324" i="17"/>
  <c r="C324" i="17"/>
  <c r="Q322" i="17"/>
  <c r="Q321" i="17" s="1"/>
  <c r="O322" i="17"/>
  <c r="O321" i="17" s="1"/>
  <c r="M322" i="17"/>
  <c r="M321" i="17" s="1"/>
  <c r="G322" i="17"/>
  <c r="P322" i="17" s="1"/>
  <c r="P321" i="17" s="1"/>
  <c r="F321" i="17"/>
  <c r="E321" i="17"/>
  <c r="D321" i="17"/>
  <c r="C321" i="17"/>
  <c r="P320" i="17"/>
  <c r="P319" i="17" s="1"/>
  <c r="O320" i="17"/>
  <c r="O319" i="17" s="1"/>
  <c r="M320" i="17"/>
  <c r="M319" i="17" s="1"/>
  <c r="J320" i="17"/>
  <c r="J319" i="17" s="1"/>
  <c r="Q319" i="17"/>
  <c r="G319" i="17"/>
  <c r="F319" i="17"/>
  <c r="E319" i="17"/>
  <c r="D319" i="17"/>
  <c r="C319" i="17"/>
  <c r="Q317" i="17"/>
  <c r="Q316" i="17" s="1"/>
  <c r="O317" i="17"/>
  <c r="O316" i="17" s="1"/>
  <c r="M317" i="17"/>
  <c r="M316" i="17" s="1"/>
  <c r="G317" i="17"/>
  <c r="P317" i="17" s="1"/>
  <c r="P316" i="17" s="1"/>
  <c r="F316" i="17"/>
  <c r="E316" i="17"/>
  <c r="D316" i="17"/>
  <c r="C316" i="17"/>
  <c r="Q315" i="17"/>
  <c r="O315" i="17"/>
  <c r="M315" i="17"/>
  <c r="G315" i="17"/>
  <c r="P315" i="17" s="1"/>
  <c r="Q314" i="17"/>
  <c r="O314" i="17"/>
  <c r="M314" i="17"/>
  <c r="G314" i="17"/>
  <c r="P314" i="17" s="1"/>
  <c r="F313" i="17"/>
  <c r="E313" i="17"/>
  <c r="D313" i="17"/>
  <c r="C313" i="17"/>
  <c r="O312" i="17"/>
  <c r="M312" i="17"/>
  <c r="G312" i="17"/>
  <c r="J312" i="17" s="1"/>
  <c r="O311" i="17"/>
  <c r="M311" i="17"/>
  <c r="G311" i="17"/>
  <c r="J311" i="17" s="1"/>
  <c r="O310" i="17"/>
  <c r="M310" i="17"/>
  <c r="D310" i="17"/>
  <c r="D309" i="17" s="1"/>
  <c r="Q309" i="17"/>
  <c r="F309" i="17"/>
  <c r="E309" i="17"/>
  <c r="C309" i="17"/>
  <c r="Q308" i="17"/>
  <c r="O308" i="17"/>
  <c r="M308" i="17"/>
  <c r="G308" i="17"/>
  <c r="P308" i="17" s="1"/>
  <c r="Q307" i="17"/>
  <c r="O307" i="17"/>
  <c r="M307" i="17"/>
  <c r="G307" i="17"/>
  <c r="J307" i="17" s="1"/>
  <c r="Q306" i="17"/>
  <c r="O306" i="17"/>
  <c r="M306" i="17"/>
  <c r="G306" i="17"/>
  <c r="J306" i="17" s="1"/>
  <c r="Q305" i="17"/>
  <c r="O305" i="17"/>
  <c r="M305" i="17"/>
  <c r="G305" i="17"/>
  <c r="P305" i="17" s="1"/>
  <c r="F304" i="17"/>
  <c r="E304" i="17"/>
  <c r="D304" i="17"/>
  <c r="C304" i="17"/>
  <c r="Q303" i="17"/>
  <c r="O303" i="17"/>
  <c r="M303" i="17"/>
  <c r="G303" i="17"/>
  <c r="J303" i="17" s="1"/>
  <c r="Q302" i="17"/>
  <c r="O302" i="17"/>
  <c r="M302" i="17"/>
  <c r="G302" i="17"/>
  <c r="P302" i="17" s="1"/>
  <c r="Q301" i="17"/>
  <c r="O301" i="17"/>
  <c r="M301" i="17"/>
  <c r="G301" i="17"/>
  <c r="J301" i="17" s="1"/>
  <c r="Q300" i="17"/>
  <c r="O300" i="17"/>
  <c r="M300" i="17"/>
  <c r="G300" i="17"/>
  <c r="J300" i="17" s="1"/>
  <c r="F299" i="17"/>
  <c r="E299" i="17"/>
  <c r="D299" i="17"/>
  <c r="C299" i="17"/>
  <c r="Q298" i="17"/>
  <c r="O298" i="17"/>
  <c r="M298" i="17"/>
  <c r="G298" i="17"/>
  <c r="P298" i="17" s="1"/>
  <c r="Q297" i="17"/>
  <c r="O297" i="17"/>
  <c r="M297" i="17"/>
  <c r="G297" i="17"/>
  <c r="J297" i="17" s="1"/>
  <c r="Q296" i="17"/>
  <c r="O296" i="17"/>
  <c r="M296" i="17"/>
  <c r="G296" i="17"/>
  <c r="P296" i="17" s="1"/>
  <c r="F295" i="17"/>
  <c r="E295" i="17"/>
  <c r="D295" i="17"/>
  <c r="C295" i="17"/>
  <c r="Q294" i="17"/>
  <c r="O294" i="17"/>
  <c r="M294" i="17"/>
  <c r="G294" i="17"/>
  <c r="P294" i="17" s="1"/>
  <c r="Q293" i="17"/>
  <c r="O293" i="17"/>
  <c r="M293" i="17"/>
  <c r="G293" i="17"/>
  <c r="J293" i="17" s="1"/>
  <c r="Q292" i="17"/>
  <c r="O292" i="17"/>
  <c r="M292" i="17"/>
  <c r="G292" i="17"/>
  <c r="P292" i="17" s="1"/>
  <c r="Q291" i="17"/>
  <c r="O291" i="17"/>
  <c r="M291" i="17"/>
  <c r="G291" i="17"/>
  <c r="Q290" i="17"/>
  <c r="O290" i="17"/>
  <c r="M290" i="17"/>
  <c r="G290" i="17"/>
  <c r="P290" i="17" s="1"/>
  <c r="Q289" i="17"/>
  <c r="O289" i="17"/>
  <c r="M289" i="17"/>
  <c r="G289" i="17"/>
  <c r="Q288" i="17"/>
  <c r="O288" i="17"/>
  <c r="M288" i="17"/>
  <c r="G288" i="17"/>
  <c r="J288" i="17" s="1"/>
  <c r="Q287" i="17"/>
  <c r="O287" i="17"/>
  <c r="M287" i="17"/>
  <c r="G287" i="17"/>
  <c r="J287" i="17" s="1"/>
  <c r="Q286" i="17"/>
  <c r="O286" i="17"/>
  <c r="M286" i="17"/>
  <c r="G286" i="17"/>
  <c r="P286" i="17" s="1"/>
  <c r="Q285" i="17"/>
  <c r="O285" i="17"/>
  <c r="M285" i="17"/>
  <c r="E285" i="17"/>
  <c r="Q284" i="17"/>
  <c r="O284" i="17"/>
  <c r="M284" i="17"/>
  <c r="D284" i="17"/>
  <c r="Q283" i="17"/>
  <c r="O283" i="17"/>
  <c r="M283" i="17"/>
  <c r="G283" i="17"/>
  <c r="P283" i="17" s="1"/>
  <c r="F282" i="17"/>
  <c r="C282" i="17"/>
  <c r="Q279" i="17"/>
  <c r="Q278" i="17" s="1"/>
  <c r="O279" i="17"/>
  <c r="O278" i="17" s="1"/>
  <c r="M279" i="17"/>
  <c r="M278" i="17" s="1"/>
  <c r="G279" i="17"/>
  <c r="P279" i="17" s="1"/>
  <c r="P278" i="17" s="1"/>
  <c r="F278" i="17"/>
  <c r="E278" i="17"/>
  <c r="D278" i="17"/>
  <c r="C278" i="17"/>
  <c r="Q277" i="17"/>
  <c r="Q276" i="17" s="1"/>
  <c r="Q275" i="17" s="1"/>
  <c r="O277" i="17"/>
  <c r="O276" i="17" s="1"/>
  <c r="O275" i="17" s="1"/>
  <c r="M277" i="17"/>
  <c r="M276" i="17" s="1"/>
  <c r="M275" i="17" s="1"/>
  <c r="D277" i="17"/>
  <c r="G277" i="17" s="1"/>
  <c r="F276" i="17"/>
  <c r="F275" i="17" s="1"/>
  <c r="E276" i="17"/>
  <c r="E275" i="17" s="1"/>
  <c r="C276" i="17"/>
  <c r="C275" i="17" s="1"/>
  <c r="Q274" i="17"/>
  <c r="O274" i="17"/>
  <c r="M274" i="17"/>
  <c r="G274" i="17"/>
  <c r="P274" i="17" s="1"/>
  <c r="Q273" i="17"/>
  <c r="O273" i="17"/>
  <c r="M273" i="17"/>
  <c r="G273" i="17"/>
  <c r="J273" i="17" s="1"/>
  <c r="Q272" i="17"/>
  <c r="O272" i="17"/>
  <c r="M272" i="17"/>
  <c r="G272" i="17"/>
  <c r="Q271" i="17"/>
  <c r="O271" i="17"/>
  <c r="M271" i="17"/>
  <c r="G271" i="17"/>
  <c r="Q270" i="17"/>
  <c r="O270" i="17"/>
  <c r="M270" i="17"/>
  <c r="G270" i="17"/>
  <c r="J270" i="17" s="1"/>
  <c r="Q269" i="17"/>
  <c r="O269" i="17"/>
  <c r="M269" i="17"/>
  <c r="G269" i="17"/>
  <c r="J269" i="17" s="1"/>
  <c r="Q268" i="17"/>
  <c r="O268" i="17"/>
  <c r="M268" i="17"/>
  <c r="G268" i="17"/>
  <c r="P268" i="17" s="1"/>
  <c r="Q267" i="17"/>
  <c r="O267" i="17"/>
  <c r="M267" i="17"/>
  <c r="G267" i="17"/>
  <c r="Q266" i="17"/>
  <c r="O266" i="17"/>
  <c r="M266" i="17"/>
  <c r="G266" i="17"/>
  <c r="P266" i="17" s="1"/>
  <c r="Q265" i="17"/>
  <c r="O265" i="17"/>
  <c r="M265" i="17"/>
  <c r="G265" i="17"/>
  <c r="J265" i="17" s="1"/>
  <c r="Q264" i="17"/>
  <c r="O264" i="17"/>
  <c r="M264" i="17"/>
  <c r="F264" i="17"/>
  <c r="G264" i="17" s="1"/>
  <c r="Q263" i="17"/>
  <c r="O263" i="17"/>
  <c r="M263" i="17"/>
  <c r="F263" i="17"/>
  <c r="G263" i="17" s="1"/>
  <c r="P263" i="17" s="1"/>
  <c r="Q262" i="17"/>
  <c r="O262" i="17"/>
  <c r="M262" i="17"/>
  <c r="G262" i="17"/>
  <c r="Q261" i="17"/>
  <c r="O261" i="17"/>
  <c r="M261" i="17"/>
  <c r="G261" i="17"/>
  <c r="J261" i="17" s="1"/>
  <c r="Q260" i="17"/>
  <c r="Q259" i="17" s="1"/>
  <c r="O260" i="17"/>
  <c r="O259" i="17" s="1"/>
  <c r="M260" i="17"/>
  <c r="M259" i="17" s="1"/>
  <c r="E259" i="17"/>
  <c r="D259" i="17"/>
  <c r="C259" i="17"/>
  <c r="Q258" i="17"/>
  <c r="O258" i="17"/>
  <c r="M258" i="17"/>
  <c r="G258" i="17"/>
  <c r="J258" i="17" s="1"/>
  <c r="Q257" i="17"/>
  <c r="Q256" i="17" s="1"/>
  <c r="O257" i="17"/>
  <c r="O256" i="17" s="1"/>
  <c r="M257" i="17"/>
  <c r="M256" i="17" s="1"/>
  <c r="E257" i="17"/>
  <c r="G257" i="17" s="1"/>
  <c r="J257" i="17" s="1"/>
  <c r="J256" i="17" s="1"/>
  <c r="F256" i="17"/>
  <c r="F255" i="17" s="1"/>
  <c r="D256" i="17"/>
  <c r="D255" i="17" s="1"/>
  <c r="C256" i="17"/>
  <c r="C255" i="17" s="1"/>
  <c r="Q254" i="17"/>
  <c r="O254" i="17"/>
  <c r="M254" i="17"/>
  <c r="G254" i="17"/>
  <c r="P254" i="17" s="1"/>
  <c r="Q253" i="17"/>
  <c r="O253" i="17"/>
  <c r="M253" i="17"/>
  <c r="G253" i="17"/>
  <c r="J253" i="17" s="1"/>
  <c r="F252" i="17"/>
  <c r="E252" i="17"/>
  <c r="D252" i="17"/>
  <c r="C252" i="17"/>
  <c r="O249" i="17"/>
  <c r="M249" i="17"/>
  <c r="G249" i="17"/>
  <c r="J249" i="17" s="1"/>
  <c r="Q248" i="17"/>
  <c r="Q246" i="17" s="1"/>
  <c r="O248" i="17"/>
  <c r="M248" i="17"/>
  <c r="G248" i="17"/>
  <c r="J248" i="17" s="1"/>
  <c r="O247" i="17"/>
  <c r="M247" i="17"/>
  <c r="G247" i="17"/>
  <c r="P247" i="17" s="1"/>
  <c r="F246" i="17"/>
  <c r="E246" i="17"/>
  <c r="D246" i="17"/>
  <c r="C246" i="17"/>
  <c r="Q245" i="17"/>
  <c r="Q244" i="17" s="1"/>
  <c r="O245" i="17"/>
  <c r="O244" i="17" s="1"/>
  <c r="M245" i="17"/>
  <c r="M244" i="17" s="1"/>
  <c r="E245" i="17"/>
  <c r="G245" i="17" s="1"/>
  <c r="P245" i="17" s="1"/>
  <c r="P244" i="17" s="1"/>
  <c r="F244" i="17"/>
  <c r="D244" i="17"/>
  <c r="C244" i="17"/>
  <c r="Q241" i="17"/>
  <c r="Q240" i="17" s="1"/>
  <c r="O241" i="17"/>
  <c r="O240" i="17" s="1"/>
  <c r="M241" i="17"/>
  <c r="M240" i="17" s="1"/>
  <c r="G241" i="17"/>
  <c r="J241" i="17" s="1"/>
  <c r="J240" i="17" s="1"/>
  <c r="F240" i="17"/>
  <c r="E240" i="17"/>
  <c r="D240" i="17"/>
  <c r="C240" i="17"/>
  <c r="O239" i="17"/>
  <c r="O238" i="17" s="1"/>
  <c r="O237" i="17" s="1"/>
  <c r="O236" i="17" s="1"/>
  <c r="M239" i="17"/>
  <c r="M238" i="17" s="1"/>
  <c r="M237" i="17" s="1"/>
  <c r="M236" i="17" s="1"/>
  <c r="F239" i="17"/>
  <c r="Q238" i="17"/>
  <c r="Q237" i="17" s="1"/>
  <c r="Q236" i="17" s="1"/>
  <c r="E238" i="17"/>
  <c r="E237" i="17" s="1"/>
  <c r="E236" i="17" s="1"/>
  <c r="D238" i="17"/>
  <c r="D237" i="17" s="1"/>
  <c r="D236" i="17" s="1"/>
  <c r="C238" i="17"/>
  <c r="C237" i="17" s="1"/>
  <c r="C236" i="17" s="1"/>
  <c r="Q235" i="17"/>
  <c r="O235" i="17"/>
  <c r="M235" i="17"/>
  <c r="G235" i="17"/>
  <c r="Q234" i="17"/>
  <c r="O234" i="17"/>
  <c r="M234" i="17"/>
  <c r="G234" i="17"/>
  <c r="P234" i="17" s="1"/>
  <c r="Q233" i="17"/>
  <c r="O233" i="17"/>
  <c r="M233" i="17"/>
  <c r="G233" i="17"/>
  <c r="J233" i="17" s="1"/>
  <c r="Q232" i="17"/>
  <c r="O232" i="17"/>
  <c r="M232" i="17"/>
  <c r="G232" i="17"/>
  <c r="F231" i="17"/>
  <c r="E231" i="17"/>
  <c r="D231" i="17"/>
  <c r="C231" i="17"/>
  <c r="Q230" i="17"/>
  <c r="O230" i="17"/>
  <c r="M230" i="17"/>
  <c r="G230" i="17"/>
  <c r="Q229" i="17"/>
  <c r="O229" i="17"/>
  <c r="M229" i="17"/>
  <c r="G229" i="17"/>
  <c r="J229" i="17" s="1"/>
  <c r="F228" i="17"/>
  <c r="E228" i="17"/>
  <c r="D228" i="17"/>
  <c r="C228" i="17"/>
  <c r="Q227" i="17"/>
  <c r="O227" i="17"/>
  <c r="M227" i="17"/>
  <c r="G227" i="17"/>
  <c r="J227" i="17" s="1"/>
  <c r="Q226" i="17"/>
  <c r="O226" i="17"/>
  <c r="M226" i="17"/>
  <c r="G226" i="17"/>
  <c r="F225" i="17"/>
  <c r="E225" i="17"/>
  <c r="D225" i="17"/>
  <c r="C225" i="17"/>
  <c r="Q224" i="17"/>
  <c r="O224" i="17"/>
  <c r="M224" i="17"/>
  <c r="G224" i="17"/>
  <c r="P224" i="17" s="1"/>
  <c r="Q223" i="17"/>
  <c r="O223" i="17"/>
  <c r="M223" i="17"/>
  <c r="G223" i="17"/>
  <c r="J223" i="17" s="1"/>
  <c r="F222" i="17"/>
  <c r="E222" i="17"/>
  <c r="D222" i="17"/>
  <c r="C222" i="17"/>
  <c r="Q220" i="17"/>
  <c r="Q219" i="17" s="1"/>
  <c r="O220" i="17"/>
  <c r="O219" i="17" s="1"/>
  <c r="M220" i="17"/>
  <c r="M219" i="17" s="1"/>
  <c r="G220" i="17"/>
  <c r="J220" i="17" s="1"/>
  <c r="J219" i="17" s="1"/>
  <c r="F219" i="17"/>
  <c r="E219" i="17"/>
  <c r="D219" i="17"/>
  <c r="C219" i="17"/>
  <c r="Q218" i="17"/>
  <c r="O218" i="17"/>
  <c r="M218" i="17"/>
  <c r="G218" i="17"/>
  <c r="Q217" i="17"/>
  <c r="O217" i="17"/>
  <c r="M217" i="17"/>
  <c r="G217" i="17"/>
  <c r="J217" i="17" s="1"/>
  <c r="Q216" i="17"/>
  <c r="Q215" i="17" s="1"/>
  <c r="O216" i="17"/>
  <c r="O215" i="17" s="1"/>
  <c r="M216" i="17"/>
  <c r="M215" i="17" s="1"/>
  <c r="G216" i="17"/>
  <c r="G215" i="17" s="1"/>
  <c r="F215" i="17"/>
  <c r="F214" i="17" s="1"/>
  <c r="E215" i="17"/>
  <c r="E214" i="17" s="1"/>
  <c r="D215" i="17"/>
  <c r="D214" i="17" s="1"/>
  <c r="C215" i="17"/>
  <c r="C214" i="17" s="1"/>
  <c r="Q213" i="17"/>
  <c r="O213" i="17"/>
  <c r="M213" i="17"/>
  <c r="G213" i="17"/>
  <c r="J213" i="17" s="1"/>
  <c r="O212" i="17"/>
  <c r="O211" i="17" s="1"/>
  <c r="M212" i="17"/>
  <c r="M211" i="17" s="1"/>
  <c r="D212" i="17"/>
  <c r="G212" i="17" s="1"/>
  <c r="Q211" i="17"/>
  <c r="F211" i="17"/>
  <c r="E211" i="17"/>
  <c r="C211" i="17"/>
  <c r="O210" i="17"/>
  <c r="M210" i="17"/>
  <c r="G210" i="17"/>
  <c r="O209" i="17"/>
  <c r="M209" i="17"/>
  <c r="G209" i="17"/>
  <c r="P209" i="17" s="1"/>
  <c r="Q208" i="17"/>
  <c r="F208" i="17"/>
  <c r="E208" i="17"/>
  <c r="D208" i="17"/>
  <c r="C208" i="17"/>
  <c r="Q206" i="17"/>
  <c r="Q205" i="17" s="1"/>
  <c r="O206" i="17"/>
  <c r="O205" i="17" s="1"/>
  <c r="M206" i="17"/>
  <c r="M205" i="17" s="1"/>
  <c r="G206" i="17"/>
  <c r="P206" i="17" s="1"/>
  <c r="P205" i="17" s="1"/>
  <c r="F205" i="17"/>
  <c r="E205" i="17"/>
  <c r="D205" i="17"/>
  <c r="C205" i="17"/>
  <c r="Q204" i="17"/>
  <c r="O204" i="17"/>
  <c r="M204" i="17"/>
  <c r="G204" i="17"/>
  <c r="P204" i="17" s="1"/>
  <c r="Q203" i="17"/>
  <c r="O203" i="17"/>
  <c r="M203" i="17"/>
  <c r="G203" i="17"/>
  <c r="J203" i="17" s="1"/>
  <c r="Q202" i="17"/>
  <c r="O202" i="17"/>
  <c r="M202" i="17"/>
  <c r="G202" i="17"/>
  <c r="P202" i="17" s="1"/>
  <c r="F201" i="17"/>
  <c r="E201" i="17"/>
  <c r="D201" i="17"/>
  <c r="C201" i="17"/>
  <c r="Q200" i="17"/>
  <c r="O200" i="17"/>
  <c r="M200" i="17"/>
  <c r="G200" i="17"/>
  <c r="P200" i="17" s="1"/>
  <c r="Q199" i="17"/>
  <c r="O199" i="17"/>
  <c r="M199" i="17"/>
  <c r="G199" i="17"/>
  <c r="P199" i="17" s="1"/>
  <c r="Q198" i="17"/>
  <c r="O198" i="17"/>
  <c r="M198" i="17"/>
  <c r="G198" i="17"/>
  <c r="P198" i="17" s="1"/>
  <c r="Q197" i="17"/>
  <c r="Q196" i="17" s="1"/>
  <c r="O197" i="17"/>
  <c r="O196" i="17" s="1"/>
  <c r="M197" i="17"/>
  <c r="M196" i="17" s="1"/>
  <c r="G197" i="17"/>
  <c r="F196" i="17"/>
  <c r="F195" i="17" s="1"/>
  <c r="E196" i="17"/>
  <c r="E195" i="17" s="1"/>
  <c r="D196" i="17"/>
  <c r="D195" i="17" s="1"/>
  <c r="C196" i="17"/>
  <c r="C195" i="17" s="1"/>
  <c r="Q194" i="17"/>
  <c r="Q193" i="17" s="1"/>
  <c r="O194" i="17"/>
  <c r="O193" i="17" s="1"/>
  <c r="M194" i="17"/>
  <c r="M193" i="17" s="1"/>
  <c r="G194" i="17"/>
  <c r="P194" i="17" s="1"/>
  <c r="P193" i="17" s="1"/>
  <c r="F193" i="17"/>
  <c r="E193" i="17"/>
  <c r="D193" i="17"/>
  <c r="C193" i="17"/>
  <c r="O191" i="17"/>
  <c r="M191" i="17"/>
  <c r="G191" i="17"/>
  <c r="Q190" i="17"/>
  <c r="O190" i="17"/>
  <c r="M190" i="17"/>
  <c r="G190" i="17"/>
  <c r="P190" i="17" s="1"/>
  <c r="Q189" i="17"/>
  <c r="O189" i="17"/>
  <c r="M189" i="17"/>
  <c r="G189" i="17"/>
  <c r="J189" i="17" s="1"/>
  <c r="F188" i="17"/>
  <c r="E188" i="17"/>
  <c r="D188" i="17"/>
  <c r="C188" i="17"/>
  <c r="Q187" i="17"/>
  <c r="Q186" i="17" s="1"/>
  <c r="O187" i="17"/>
  <c r="O186" i="17" s="1"/>
  <c r="M187" i="17"/>
  <c r="M186" i="17" s="1"/>
  <c r="G187" i="17"/>
  <c r="J187" i="17" s="1"/>
  <c r="J186" i="17" s="1"/>
  <c r="F186" i="17"/>
  <c r="E186" i="17"/>
  <c r="D186" i="17"/>
  <c r="C186" i="17"/>
  <c r="Q184" i="17"/>
  <c r="O184" i="17"/>
  <c r="M184" i="17"/>
  <c r="G184" i="17"/>
  <c r="P184" i="17" s="1"/>
  <c r="Q183" i="17"/>
  <c r="Q182" i="17" s="1"/>
  <c r="O183" i="17"/>
  <c r="O182" i="17" s="1"/>
  <c r="M183" i="17"/>
  <c r="M182" i="17" s="1"/>
  <c r="G183" i="17"/>
  <c r="J183" i="17" s="1"/>
  <c r="J182" i="17" s="1"/>
  <c r="F182" i="17"/>
  <c r="E182" i="17"/>
  <c r="D182" i="17"/>
  <c r="C182" i="17"/>
  <c r="Q181" i="17"/>
  <c r="Q180" i="17" s="1"/>
  <c r="O181" i="17"/>
  <c r="O180" i="17" s="1"/>
  <c r="M181" i="17"/>
  <c r="M180" i="17" s="1"/>
  <c r="G181" i="17"/>
  <c r="J181" i="17" s="1"/>
  <c r="J180" i="17" s="1"/>
  <c r="F180" i="17"/>
  <c r="E180" i="17"/>
  <c r="D180" i="17"/>
  <c r="C180" i="17"/>
  <c r="Q179" i="17"/>
  <c r="Q178" i="17" s="1"/>
  <c r="O179" i="17"/>
  <c r="O178" i="17" s="1"/>
  <c r="M179" i="17"/>
  <c r="M178" i="17" s="1"/>
  <c r="G179" i="17"/>
  <c r="J179" i="17" s="1"/>
  <c r="J178" i="17" s="1"/>
  <c r="F178" i="17"/>
  <c r="E178" i="17"/>
  <c r="D178" i="17"/>
  <c r="C178" i="17"/>
  <c r="Q175" i="17"/>
  <c r="O175" i="17"/>
  <c r="M175" i="17"/>
  <c r="G175" i="17"/>
  <c r="Q174" i="17"/>
  <c r="O174" i="17"/>
  <c r="M174" i="17"/>
  <c r="E174" i="17"/>
  <c r="G174" i="17" s="1"/>
  <c r="P174" i="17" s="1"/>
  <c r="Q173" i="17"/>
  <c r="O173" i="17"/>
  <c r="M173" i="17"/>
  <c r="G173" i="17"/>
  <c r="J173" i="17" s="1"/>
  <c r="Q172" i="17"/>
  <c r="O172" i="17"/>
  <c r="M172" i="17"/>
  <c r="G172" i="17"/>
  <c r="P172" i="17" s="1"/>
  <c r="Q171" i="17"/>
  <c r="O171" i="17"/>
  <c r="M171" i="17"/>
  <c r="G171" i="17"/>
  <c r="F170" i="17"/>
  <c r="F169" i="17" s="1"/>
  <c r="E170" i="17"/>
  <c r="D170" i="17"/>
  <c r="D169" i="17" s="1"/>
  <c r="C170" i="17"/>
  <c r="C169" i="17" s="1"/>
  <c r="O168" i="17"/>
  <c r="M168" i="17"/>
  <c r="G168" i="17"/>
  <c r="P168" i="17" s="1"/>
  <c r="O167" i="17"/>
  <c r="O166" i="17" s="1"/>
  <c r="M167" i="17"/>
  <c r="M166" i="17" s="1"/>
  <c r="C167" i="17"/>
  <c r="G167" i="17" s="1"/>
  <c r="P167" i="17" s="1"/>
  <c r="P166" i="17" s="1"/>
  <c r="Q166" i="17"/>
  <c r="F166" i="17"/>
  <c r="E166" i="17"/>
  <c r="D166" i="17"/>
  <c r="Q165" i="17"/>
  <c r="Q164" i="17" s="1"/>
  <c r="O165" i="17"/>
  <c r="O164" i="17" s="1"/>
  <c r="M165" i="17"/>
  <c r="M164" i="17" s="1"/>
  <c r="G165" i="17"/>
  <c r="J165" i="17" s="1"/>
  <c r="J164" i="17" s="1"/>
  <c r="F164" i="17"/>
  <c r="E164" i="17"/>
  <c r="D164" i="17"/>
  <c r="C164" i="17"/>
  <c r="O162" i="17"/>
  <c r="M162" i="17"/>
  <c r="G162" i="17"/>
  <c r="J162" i="17" s="1"/>
  <c r="O161" i="17"/>
  <c r="M161" i="17"/>
  <c r="G161" i="17"/>
  <c r="P161" i="17" s="1"/>
  <c r="Q160" i="17"/>
  <c r="F160" i="17"/>
  <c r="E160" i="17"/>
  <c r="D160" i="17"/>
  <c r="C160" i="17"/>
  <c r="Q159" i="17"/>
  <c r="O159" i="17"/>
  <c r="M159" i="17"/>
  <c r="G159" i="17"/>
  <c r="J159" i="17" s="1"/>
  <c r="Q158" i="17"/>
  <c r="O158" i="17"/>
  <c r="M158" i="17"/>
  <c r="G158" i="17"/>
  <c r="J158" i="17" s="1"/>
  <c r="F157" i="17"/>
  <c r="E157" i="17"/>
  <c r="D157" i="17"/>
  <c r="C157" i="17"/>
  <c r="Q156" i="17"/>
  <c r="O156" i="17"/>
  <c r="M156" i="17"/>
  <c r="G156" i="17"/>
  <c r="J156" i="17" s="1"/>
  <c r="Q155" i="17"/>
  <c r="O155" i="17"/>
  <c r="M155" i="17"/>
  <c r="G155" i="17"/>
  <c r="P155" i="17" s="1"/>
  <c r="O153" i="17"/>
  <c r="M153" i="17"/>
  <c r="D153" i="17"/>
  <c r="G153" i="17" s="1"/>
  <c r="Q152" i="17"/>
  <c r="O152" i="17"/>
  <c r="M152" i="17"/>
  <c r="G152" i="17"/>
  <c r="J152" i="17" s="1"/>
  <c r="Q151" i="17"/>
  <c r="O151" i="17"/>
  <c r="M151" i="17"/>
  <c r="G151" i="17"/>
  <c r="P151" i="17" s="1"/>
  <c r="Q150" i="17"/>
  <c r="O150" i="17"/>
  <c r="M150" i="17"/>
  <c r="G150" i="17"/>
  <c r="J150" i="17" s="1"/>
  <c r="Q148" i="17"/>
  <c r="Q147" i="17" s="1"/>
  <c r="O148" i="17"/>
  <c r="O147" i="17" s="1"/>
  <c r="M148" i="17"/>
  <c r="M147" i="17" s="1"/>
  <c r="D148" i="17"/>
  <c r="F147" i="17"/>
  <c r="E147" i="17"/>
  <c r="C147" i="17"/>
  <c r="Q146" i="17"/>
  <c r="O146" i="17"/>
  <c r="M146" i="17"/>
  <c r="G146" i="17"/>
  <c r="P146" i="17" s="1"/>
  <c r="Q145" i="17"/>
  <c r="O145" i="17"/>
  <c r="M145" i="17"/>
  <c r="G145" i="17"/>
  <c r="P145" i="17" s="1"/>
  <c r="Q144" i="17"/>
  <c r="O144" i="17"/>
  <c r="M144" i="17"/>
  <c r="G144" i="17"/>
  <c r="P144" i="17" s="1"/>
  <c r="Q143" i="17"/>
  <c r="O143" i="17"/>
  <c r="M143" i="17"/>
  <c r="G143" i="17"/>
  <c r="P143" i="17" s="1"/>
  <c r="Q142" i="17"/>
  <c r="O142" i="17"/>
  <c r="M142" i="17"/>
  <c r="G142" i="17"/>
  <c r="J142" i="17" s="1"/>
  <c r="Q141" i="17"/>
  <c r="O141" i="17"/>
  <c r="M141" i="17"/>
  <c r="G141" i="17"/>
  <c r="P141" i="17" s="1"/>
  <c r="Q140" i="17"/>
  <c r="O140" i="17"/>
  <c r="M140" i="17"/>
  <c r="G140" i="17"/>
  <c r="P140" i="17" s="1"/>
  <c r="F139" i="17"/>
  <c r="E139" i="17"/>
  <c r="D139" i="17"/>
  <c r="C139" i="17"/>
  <c r="Q137" i="17"/>
  <c r="Q136" i="17" s="1"/>
  <c r="O137" i="17"/>
  <c r="M137" i="17"/>
  <c r="G137" i="17"/>
  <c r="P137" i="17" s="1"/>
  <c r="O136" i="17"/>
  <c r="M136" i="17"/>
  <c r="F136" i="17"/>
  <c r="E136" i="17"/>
  <c r="D136" i="17"/>
  <c r="C136" i="17"/>
  <c r="Q135" i="17"/>
  <c r="O135" i="17"/>
  <c r="M135" i="17"/>
  <c r="G135" i="17"/>
  <c r="P135" i="17" s="1"/>
  <c r="Q134" i="17"/>
  <c r="O134" i="17"/>
  <c r="M134" i="17"/>
  <c r="G134" i="17"/>
  <c r="P134" i="17" s="1"/>
  <c r="Q133" i="17"/>
  <c r="O133" i="17"/>
  <c r="M133" i="17"/>
  <c r="G133" i="17"/>
  <c r="P133" i="17" s="1"/>
  <c r="F132" i="17"/>
  <c r="E132" i="17"/>
  <c r="D132" i="17"/>
  <c r="C132" i="17"/>
  <c r="Q130" i="17"/>
  <c r="O130" i="17"/>
  <c r="M130" i="17"/>
  <c r="G130" i="17"/>
  <c r="P130" i="17" s="1"/>
  <c r="Q129" i="17"/>
  <c r="O129" i="17"/>
  <c r="M129" i="17"/>
  <c r="G129" i="17"/>
  <c r="P129" i="17" s="1"/>
  <c r="F128" i="17"/>
  <c r="F127" i="17" s="1"/>
  <c r="E128" i="17"/>
  <c r="E127" i="17" s="1"/>
  <c r="D128" i="17"/>
  <c r="D127" i="17" s="1"/>
  <c r="C128" i="17"/>
  <c r="C127" i="17" s="1"/>
  <c r="Q126" i="17"/>
  <c r="O126" i="17"/>
  <c r="M126" i="17"/>
  <c r="G126" i="17"/>
  <c r="J126" i="17" s="1"/>
  <c r="Q125" i="17"/>
  <c r="O125" i="17"/>
  <c r="M125" i="17"/>
  <c r="G125" i="17"/>
  <c r="P125" i="17" s="1"/>
  <c r="Q124" i="17"/>
  <c r="O124" i="17"/>
  <c r="M124" i="17"/>
  <c r="G124" i="17"/>
  <c r="Q123" i="17"/>
  <c r="O123" i="17"/>
  <c r="M123" i="17"/>
  <c r="G123" i="17"/>
  <c r="P123" i="17" s="1"/>
  <c r="Q122" i="17"/>
  <c r="O122" i="17"/>
  <c r="M122" i="17"/>
  <c r="G122" i="17"/>
  <c r="J122" i="17" s="1"/>
  <c r="Q121" i="17"/>
  <c r="O121" i="17"/>
  <c r="M121" i="17"/>
  <c r="G121" i="17"/>
  <c r="P121" i="17" s="1"/>
  <c r="Q120" i="17"/>
  <c r="O120" i="17"/>
  <c r="M120" i="17"/>
  <c r="G120" i="17"/>
  <c r="P120" i="17" s="1"/>
  <c r="Q119" i="17"/>
  <c r="O119" i="17"/>
  <c r="M119" i="17"/>
  <c r="E119" i="17"/>
  <c r="G119" i="17" s="1"/>
  <c r="P119" i="17" s="1"/>
  <c r="F118" i="17"/>
  <c r="F112" i="17" s="1"/>
  <c r="F111" i="17" s="1"/>
  <c r="D118" i="17"/>
  <c r="D112" i="17" s="1"/>
  <c r="D111" i="17" s="1"/>
  <c r="C118" i="17"/>
  <c r="C112" i="17" s="1"/>
  <c r="C111" i="17" s="1"/>
  <c r="Q117" i="17"/>
  <c r="O117" i="17"/>
  <c r="M117" i="17"/>
  <c r="G117" i="17"/>
  <c r="Q116" i="17"/>
  <c r="O116" i="17"/>
  <c r="M116" i="17"/>
  <c r="G116" i="17"/>
  <c r="P116" i="17" s="1"/>
  <c r="Q115" i="17"/>
  <c r="O115" i="17"/>
  <c r="M115" i="17"/>
  <c r="G115" i="17"/>
  <c r="J115" i="17" s="1"/>
  <c r="Q114" i="17"/>
  <c r="O114" i="17"/>
  <c r="M114" i="17"/>
  <c r="G114" i="17"/>
  <c r="P114" i="17" s="1"/>
  <c r="Q113" i="17"/>
  <c r="O113" i="17"/>
  <c r="M113" i="17"/>
  <c r="E113" i="17"/>
  <c r="Q108" i="17"/>
  <c r="Q107" i="17" s="1"/>
  <c r="O108" i="17"/>
  <c r="O107" i="17" s="1"/>
  <c r="M108" i="17"/>
  <c r="M107" i="17" s="1"/>
  <c r="G108" i="17"/>
  <c r="P108" i="17" s="1"/>
  <c r="P107" i="17" s="1"/>
  <c r="F107" i="17"/>
  <c r="E107" i="17"/>
  <c r="D107" i="17"/>
  <c r="C107" i="17"/>
  <c r="Q106" i="17"/>
  <c r="O106" i="17"/>
  <c r="M106" i="17"/>
  <c r="G106" i="17"/>
  <c r="P106" i="17" s="1"/>
  <c r="Q105" i="17"/>
  <c r="O105" i="17"/>
  <c r="M105" i="17"/>
  <c r="G105" i="17"/>
  <c r="P105" i="17" s="1"/>
  <c r="Q104" i="17"/>
  <c r="O104" i="17"/>
  <c r="M104" i="17"/>
  <c r="G104" i="17"/>
  <c r="P104" i="17" s="1"/>
  <c r="F103" i="17"/>
  <c r="F102" i="17" s="1"/>
  <c r="F101" i="17" s="1"/>
  <c r="E103" i="17"/>
  <c r="E102" i="17" s="1"/>
  <c r="E101" i="17" s="1"/>
  <c r="D103" i="17"/>
  <c r="D102" i="17" s="1"/>
  <c r="D101" i="17" s="1"/>
  <c r="C103" i="17"/>
  <c r="C102" i="17" s="1"/>
  <c r="C101" i="17" s="1"/>
  <c r="Q100" i="17"/>
  <c r="Q99" i="17" s="1"/>
  <c r="Q98" i="17" s="1"/>
  <c r="Q96" i="17" s="1"/>
  <c r="O100" i="17"/>
  <c r="O99" i="17" s="1"/>
  <c r="O98" i="17" s="1"/>
  <c r="O96" i="17" s="1"/>
  <c r="M100" i="17"/>
  <c r="M99" i="17" s="1"/>
  <c r="M98" i="17" s="1"/>
  <c r="M96" i="17" s="1"/>
  <c r="G100" i="17"/>
  <c r="P100" i="17" s="1"/>
  <c r="P99" i="17" s="1"/>
  <c r="P98" i="17" s="1"/>
  <c r="P96" i="17" s="1"/>
  <c r="F99" i="17"/>
  <c r="F98" i="17" s="1"/>
  <c r="F96" i="17" s="1"/>
  <c r="E99" i="17"/>
  <c r="E98" i="17" s="1"/>
  <c r="E96" i="17" s="1"/>
  <c r="D99" i="17"/>
  <c r="D98" i="17" s="1"/>
  <c r="D96" i="17" s="1"/>
  <c r="C99" i="17"/>
  <c r="C98" i="17" s="1"/>
  <c r="C96" i="17" s="1"/>
  <c r="Q94" i="17"/>
  <c r="Q93" i="17" s="1"/>
  <c r="O94" i="17"/>
  <c r="O93" i="17" s="1"/>
  <c r="M94" i="17"/>
  <c r="M93" i="17" s="1"/>
  <c r="G94" i="17"/>
  <c r="G93" i="17" s="1"/>
  <c r="F93" i="17"/>
  <c r="E93" i="17"/>
  <c r="D93" i="17"/>
  <c r="C93" i="17"/>
  <c r="Q92" i="17"/>
  <c r="Q91" i="17" s="1"/>
  <c r="O92" i="17"/>
  <c r="O91" i="17" s="1"/>
  <c r="M92" i="17"/>
  <c r="M91" i="17" s="1"/>
  <c r="G92" i="17"/>
  <c r="P92" i="17" s="1"/>
  <c r="P91" i="17" s="1"/>
  <c r="F91" i="17"/>
  <c r="E91" i="17"/>
  <c r="D91" i="17"/>
  <c r="C91" i="17"/>
  <c r="Q90" i="17"/>
  <c r="O90" i="17"/>
  <c r="M90" i="17"/>
  <c r="G90" i="17"/>
  <c r="P90" i="17" s="1"/>
  <c r="Q89" i="17"/>
  <c r="O89" i="17"/>
  <c r="M89" i="17"/>
  <c r="G89" i="17"/>
  <c r="J89" i="17" s="1"/>
  <c r="Q88" i="17"/>
  <c r="O88" i="17"/>
  <c r="M88" i="17"/>
  <c r="G88" i="17"/>
  <c r="P88" i="17" s="1"/>
  <c r="F87" i="17"/>
  <c r="E87" i="17"/>
  <c r="D87" i="17"/>
  <c r="C87" i="17"/>
  <c r="Q86" i="17"/>
  <c r="O86" i="17"/>
  <c r="M86" i="17"/>
  <c r="G86" i="17"/>
  <c r="P86" i="17" s="1"/>
  <c r="Q85" i="17"/>
  <c r="O85" i="17"/>
  <c r="M85" i="17"/>
  <c r="G85" i="17"/>
  <c r="Q84" i="17"/>
  <c r="O84" i="17"/>
  <c r="M84" i="17"/>
  <c r="G84" i="17"/>
  <c r="P84" i="17" s="1"/>
  <c r="Q83" i="17"/>
  <c r="O83" i="17"/>
  <c r="M83" i="17"/>
  <c r="G83" i="17"/>
  <c r="J83" i="17" s="1"/>
  <c r="Q82" i="17"/>
  <c r="O82" i="17"/>
  <c r="M82" i="17"/>
  <c r="G82" i="17"/>
  <c r="P82" i="17" s="1"/>
  <c r="F81" i="17"/>
  <c r="E81" i="17"/>
  <c r="D81" i="17"/>
  <c r="C81" i="17"/>
  <c r="Q80" i="17"/>
  <c r="O80" i="17"/>
  <c r="M80" i="17"/>
  <c r="G80" i="17"/>
  <c r="P80" i="17" s="1"/>
  <c r="Q79" i="17"/>
  <c r="O79" i="17"/>
  <c r="M79" i="17"/>
  <c r="G79" i="17"/>
  <c r="F78" i="17"/>
  <c r="E78" i="17"/>
  <c r="D78" i="17"/>
  <c r="C78" i="17"/>
  <c r="Q77" i="17"/>
  <c r="O77" i="17"/>
  <c r="M77" i="17"/>
  <c r="G77" i="17"/>
  <c r="Q76" i="17"/>
  <c r="O76" i="17"/>
  <c r="M76" i="17"/>
  <c r="G76" i="17"/>
  <c r="P76" i="17" s="1"/>
  <c r="O75" i="17"/>
  <c r="M75" i="17"/>
  <c r="G75" i="17"/>
  <c r="P75" i="17" s="1"/>
  <c r="F74" i="17"/>
  <c r="E74" i="17"/>
  <c r="D74" i="17"/>
  <c r="C74" i="17"/>
  <c r="Q73" i="17"/>
  <c r="Q72" i="17" s="1"/>
  <c r="O73" i="17"/>
  <c r="O72" i="17" s="1"/>
  <c r="M73" i="17"/>
  <c r="M72" i="17" s="1"/>
  <c r="G73" i="17"/>
  <c r="P73" i="17" s="1"/>
  <c r="P72" i="17" s="1"/>
  <c r="F72" i="17"/>
  <c r="E72" i="17"/>
  <c r="D72" i="17"/>
  <c r="C72" i="17"/>
  <c r="Q69" i="17"/>
  <c r="O69" i="17"/>
  <c r="M69" i="17"/>
  <c r="G69" i="17"/>
  <c r="J69" i="17" s="1"/>
  <c r="Q68" i="17"/>
  <c r="O68" i="17"/>
  <c r="M68" i="17"/>
  <c r="G68" i="17"/>
  <c r="P68" i="17" s="1"/>
  <c r="F67" i="17"/>
  <c r="F66" i="17" s="1"/>
  <c r="E67" i="17"/>
  <c r="E66" i="17" s="1"/>
  <c r="D67" i="17"/>
  <c r="D66" i="17" s="1"/>
  <c r="C67" i="17"/>
  <c r="C66" i="17" s="1"/>
  <c r="S62" i="17"/>
  <c r="Q62" i="17"/>
  <c r="O62" i="17"/>
  <c r="M62" i="17"/>
  <c r="G62" i="17"/>
  <c r="J62" i="17" s="1"/>
  <c r="S61" i="17"/>
  <c r="Q61" i="17"/>
  <c r="O61" i="17"/>
  <c r="M61" i="17"/>
  <c r="G61" i="17"/>
  <c r="J61" i="17" s="1"/>
  <c r="S60" i="17"/>
  <c r="Q60" i="17"/>
  <c r="O60" i="17"/>
  <c r="M60" i="17"/>
  <c r="G60" i="17"/>
  <c r="J60" i="17" s="1"/>
  <c r="S59" i="17"/>
  <c r="Q59" i="17"/>
  <c r="O59" i="17"/>
  <c r="M59" i="17"/>
  <c r="G59" i="17"/>
  <c r="J59" i="17" s="1"/>
  <c r="S58" i="17"/>
  <c r="Q58" i="17"/>
  <c r="O58" i="17"/>
  <c r="M58" i="17"/>
  <c r="G58" i="17"/>
  <c r="J58" i="17" s="1"/>
  <c r="S57" i="17"/>
  <c r="Q57" i="17"/>
  <c r="O57" i="17"/>
  <c r="M57" i="17"/>
  <c r="G57" i="17"/>
  <c r="J57" i="17" s="1"/>
  <c r="F56" i="17"/>
  <c r="E56" i="17"/>
  <c r="D56" i="17"/>
  <c r="C56" i="17"/>
  <c r="S55" i="17"/>
  <c r="Q55" i="17"/>
  <c r="O55" i="17"/>
  <c r="M55" i="17"/>
  <c r="G55" i="17"/>
  <c r="J55" i="17" s="1"/>
  <c r="S54" i="17"/>
  <c r="Q54" i="17"/>
  <c r="O54" i="17"/>
  <c r="M54" i="17"/>
  <c r="G54" i="17"/>
  <c r="J54" i="17" s="1"/>
  <c r="S53" i="17"/>
  <c r="Q53" i="17"/>
  <c r="O53" i="17"/>
  <c r="M53" i="17"/>
  <c r="G53" i="17"/>
  <c r="P53" i="17" s="1"/>
  <c r="F52" i="17"/>
  <c r="F45" i="17" s="1"/>
  <c r="F44" i="17" s="1"/>
  <c r="E52" i="17"/>
  <c r="E45" i="17" s="1"/>
  <c r="E44" i="17" s="1"/>
  <c r="D52" i="17"/>
  <c r="D45" i="17" s="1"/>
  <c r="D44" i="17" s="1"/>
  <c r="C52" i="17"/>
  <c r="C45" i="17" s="1"/>
  <c r="C44" i="17" s="1"/>
  <c r="S51" i="17"/>
  <c r="Q51" i="17"/>
  <c r="O51" i="17"/>
  <c r="M51" i="17"/>
  <c r="G51" i="17"/>
  <c r="P51" i="17" s="1"/>
  <c r="S50" i="17"/>
  <c r="Q50" i="17"/>
  <c r="O50" i="17"/>
  <c r="M50" i="17"/>
  <c r="G50" i="17"/>
  <c r="P50" i="17" s="1"/>
  <c r="S49" i="17"/>
  <c r="Q49" i="17"/>
  <c r="O49" i="17"/>
  <c r="M49" i="17"/>
  <c r="G49" i="17"/>
  <c r="P49" i="17" s="1"/>
  <c r="S48" i="17"/>
  <c r="Q48" i="17"/>
  <c r="O48" i="17"/>
  <c r="M48" i="17"/>
  <c r="G48" i="17"/>
  <c r="P48" i="17" s="1"/>
  <c r="S47" i="17"/>
  <c r="Q47" i="17"/>
  <c r="O47" i="17"/>
  <c r="M47" i="17"/>
  <c r="G47" i="17"/>
  <c r="P47" i="17" s="1"/>
  <c r="S46" i="17"/>
  <c r="Q46" i="17"/>
  <c r="O46" i="17"/>
  <c r="M46" i="17"/>
  <c r="G46" i="17"/>
  <c r="P46" i="17" s="1"/>
  <c r="S42" i="17"/>
  <c r="Q42" i="17"/>
  <c r="O42" i="17"/>
  <c r="M42" i="17"/>
  <c r="G42" i="17"/>
  <c r="J42" i="17" s="1"/>
  <c r="S41" i="17"/>
  <c r="Q41" i="17"/>
  <c r="O41" i="17"/>
  <c r="M41" i="17"/>
  <c r="G41" i="17"/>
  <c r="J41" i="17" s="1"/>
  <c r="S40" i="17"/>
  <c r="Q40" i="17"/>
  <c r="O40" i="17"/>
  <c r="M40" i="17"/>
  <c r="G40" i="17"/>
  <c r="J40" i="17" s="1"/>
  <c r="F39" i="17"/>
  <c r="E39" i="17"/>
  <c r="D39" i="17"/>
  <c r="C39" i="17"/>
  <c r="S38" i="17"/>
  <c r="Q38" i="17"/>
  <c r="O38" i="17"/>
  <c r="M38" i="17"/>
  <c r="G38" i="17"/>
  <c r="P38" i="17" s="1"/>
  <c r="S37" i="17"/>
  <c r="Q37" i="17"/>
  <c r="O37" i="17"/>
  <c r="M37" i="17"/>
  <c r="G37" i="17"/>
  <c r="J37" i="17" s="1"/>
  <c r="F36" i="17"/>
  <c r="E36" i="17"/>
  <c r="D36" i="17"/>
  <c r="C36" i="17"/>
  <c r="S33" i="17"/>
  <c r="Q33" i="17"/>
  <c r="O33" i="17"/>
  <c r="M33" i="17"/>
  <c r="G33" i="17"/>
  <c r="P33" i="17" s="1"/>
  <c r="S32" i="17"/>
  <c r="Q32" i="17"/>
  <c r="O32" i="17"/>
  <c r="M32" i="17"/>
  <c r="G32" i="17"/>
  <c r="P32" i="17" s="1"/>
  <c r="S31" i="17"/>
  <c r="Q31" i="17"/>
  <c r="O31" i="17"/>
  <c r="M31" i="17"/>
  <c r="G31" i="17"/>
  <c r="P31" i="17" s="1"/>
  <c r="S30" i="17"/>
  <c r="Q30" i="17"/>
  <c r="O30" i="17"/>
  <c r="M30" i="17"/>
  <c r="G30" i="17"/>
  <c r="J30" i="17" s="1"/>
  <c r="S29" i="17"/>
  <c r="Q29" i="17"/>
  <c r="O29" i="17"/>
  <c r="M29" i="17"/>
  <c r="G29" i="17"/>
  <c r="J29" i="17" s="1"/>
  <c r="S28" i="17"/>
  <c r="Q28" i="17"/>
  <c r="O28" i="17"/>
  <c r="M28" i="17"/>
  <c r="G28" i="17"/>
  <c r="P28" i="17" s="1"/>
  <c r="F27" i="17"/>
  <c r="E27" i="17"/>
  <c r="D27" i="17"/>
  <c r="C27" i="17"/>
  <c r="S26" i="17"/>
  <c r="Q26" i="17"/>
  <c r="O26" i="17"/>
  <c r="M26" i="17"/>
  <c r="G26" i="17"/>
  <c r="P26" i="17" s="1"/>
  <c r="S25" i="17"/>
  <c r="Q25" i="17"/>
  <c r="O25" i="17"/>
  <c r="M25" i="17"/>
  <c r="G25" i="17"/>
  <c r="P25" i="17" s="1"/>
  <c r="S24" i="17"/>
  <c r="Q24" i="17"/>
  <c r="O24" i="17"/>
  <c r="M24" i="17"/>
  <c r="G24" i="17"/>
  <c r="P24" i="17" s="1"/>
  <c r="F23" i="17"/>
  <c r="E23" i="17"/>
  <c r="D23" i="17"/>
  <c r="C23" i="17"/>
  <c r="S22" i="17"/>
  <c r="Q22" i="17"/>
  <c r="O22" i="17"/>
  <c r="M22" i="17"/>
  <c r="G22" i="17"/>
  <c r="J22" i="17" s="1"/>
  <c r="S21" i="17"/>
  <c r="Q21" i="17"/>
  <c r="O21" i="17"/>
  <c r="M21" i="17"/>
  <c r="G21" i="17"/>
  <c r="J21" i="17" s="1"/>
  <c r="S20" i="17"/>
  <c r="Q20" i="17"/>
  <c r="O20" i="17"/>
  <c r="M20" i="17"/>
  <c r="G20" i="17"/>
  <c r="P20" i="17" s="1"/>
  <c r="F19" i="17"/>
  <c r="E19" i="17"/>
  <c r="E11" i="17" s="1"/>
  <c r="D19" i="17"/>
  <c r="D11" i="17" s="1"/>
  <c r="C19" i="17"/>
  <c r="C11" i="17" s="1"/>
  <c r="S18" i="17"/>
  <c r="Q18" i="17"/>
  <c r="O18" i="17"/>
  <c r="M18" i="17"/>
  <c r="G18" i="17"/>
  <c r="P18" i="17" s="1"/>
  <c r="S17" i="17"/>
  <c r="Q17" i="17"/>
  <c r="O17" i="17"/>
  <c r="M17" i="17"/>
  <c r="G17" i="17"/>
  <c r="J17" i="17" s="1"/>
  <c r="S16" i="17"/>
  <c r="Q16" i="17"/>
  <c r="O16" i="17"/>
  <c r="M16" i="17"/>
  <c r="G16" i="17"/>
  <c r="J16" i="17" s="1"/>
  <c r="S15" i="17"/>
  <c r="Q15" i="17"/>
  <c r="O15" i="17"/>
  <c r="M15" i="17"/>
  <c r="G15" i="17"/>
  <c r="J15" i="17" s="1"/>
  <c r="S14" i="17"/>
  <c r="Q14" i="17"/>
  <c r="O14" i="17"/>
  <c r="M14" i="17"/>
  <c r="G14" i="17"/>
  <c r="P14" i="17" s="1"/>
  <c r="S13" i="17"/>
  <c r="Q13" i="17"/>
  <c r="O13" i="17"/>
  <c r="M13" i="17"/>
  <c r="G13" i="17"/>
  <c r="J13" i="17" s="1"/>
  <c r="S12" i="17"/>
  <c r="Q12" i="17"/>
  <c r="O12" i="17"/>
  <c r="M12" i="17"/>
  <c r="F12" i="17"/>
  <c r="D323" i="17" l="1"/>
  <c r="C323" i="17"/>
  <c r="U255" i="6"/>
  <c r="AV147" i="6"/>
  <c r="U147" i="6"/>
  <c r="AU76" i="6"/>
  <c r="AR255" i="6"/>
  <c r="AH123" i="6"/>
  <c r="AT123" i="6" s="1"/>
  <c r="AT124" i="6"/>
  <c r="AJ246" i="6"/>
  <c r="AJ427" i="6" s="1"/>
  <c r="AN255" i="6"/>
  <c r="AK319" i="6"/>
  <c r="D6" i="6"/>
  <c r="G8" i="6"/>
  <c r="W8" i="6" s="1"/>
  <c r="F7" i="6"/>
  <c r="F6" i="6" s="1"/>
  <c r="E6" i="6"/>
  <c r="G124" i="6"/>
  <c r="G123" i="6" s="1"/>
  <c r="F173" i="6"/>
  <c r="G173" i="6"/>
  <c r="AK210" i="6"/>
  <c r="AW210" i="6" s="1"/>
  <c r="D173" i="6"/>
  <c r="E173" i="6"/>
  <c r="G248" i="6"/>
  <c r="G210" i="6"/>
  <c r="E247" i="6"/>
  <c r="F256" i="6"/>
  <c r="F331" i="6"/>
  <c r="G320" i="6"/>
  <c r="G319" i="6" s="1"/>
  <c r="E331" i="6"/>
  <c r="G332" i="6"/>
  <c r="D331" i="6"/>
  <c r="W408" i="6"/>
  <c r="Y408" i="6" s="1"/>
  <c r="G407" i="6"/>
  <c r="W407" i="6" s="1"/>
  <c r="X407" i="6" s="1"/>
  <c r="X409" i="6"/>
  <c r="Y409" i="6"/>
  <c r="X410" i="6"/>
  <c r="Y410" i="6"/>
  <c r="X411" i="6"/>
  <c r="Y411" i="6"/>
  <c r="X412" i="6"/>
  <c r="Y412" i="6"/>
  <c r="X406" i="6"/>
  <c r="Y406" i="6"/>
  <c r="G259" i="6"/>
  <c r="E131" i="17"/>
  <c r="F185" i="17"/>
  <c r="C39" i="6"/>
  <c r="G218" i="6"/>
  <c r="D150" i="6"/>
  <c r="D145" i="6" s="1"/>
  <c r="D134" i="6" s="1"/>
  <c r="F127" i="6"/>
  <c r="D39" i="6"/>
  <c r="H250" i="17"/>
  <c r="F239" i="6"/>
  <c r="F238" i="6" s="1"/>
  <c r="G411" i="17"/>
  <c r="C95" i="17"/>
  <c r="G166" i="6"/>
  <c r="G165" i="6" s="1"/>
  <c r="D278" i="6"/>
  <c r="D277" i="6" s="1"/>
  <c r="D276" i="6" s="1"/>
  <c r="F39" i="6"/>
  <c r="G144" i="6"/>
  <c r="G143" i="6" s="1"/>
  <c r="W143" i="6" s="1"/>
  <c r="F31" i="6"/>
  <c r="F30" i="6" s="1"/>
  <c r="C203" i="6"/>
  <c r="C188" i="6" s="1"/>
  <c r="G74" i="6"/>
  <c r="D314" i="6"/>
  <c r="G204" i="6"/>
  <c r="C31" i="6"/>
  <c r="C30" i="6" s="1"/>
  <c r="G48" i="6"/>
  <c r="G41" i="6" s="1"/>
  <c r="G40" i="6" s="1"/>
  <c r="C127" i="6"/>
  <c r="C150" i="6"/>
  <c r="C145" i="6" s="1"/>
  <c r="C134" i="6" s="1"/>
  <c r="E165" i="6"/>
  <c r="C173" i="6"/>
  <c r="E181" i="6"/>
  <c r="G221" i="6"/>
  <c r="C6" i="6"/>
  <c r="E39" i="6"/>
  <c r="G300" i="6"/>
  <c r="G291" i="6"/>
  <c r="E203" i="6"/>
  <c r="E188" i="6" s="1"/>
  <c r="D91" i="6"/>
  <c r="E150" i="6"/>
  <c r="E145" i="6" s="1"/>
  <c r="E134" i="6" s="1"/>
  <c r="G253" i="6"/>
  <c r="G252" i="6" s="1"/>
  <c r="G251" i="6" s="1"/>
  <c r="D203" i="6"/>
  <c r="D188" i="6" s="1"/>
  <c r="F181" i="6"/>
  <c r="F203" i="6"/>
  <c r="F188" i="6" s="1"/>
  <c r="G208" i="6"/>
  <c r="G207" i="6" s="1"/>
  <c r="F277" i="6"/>
  <c r="F276" i="6" s="1"/>
  <c r="G306" i="6"/>
  <c r="G305" i="6" s="1"/>
  <c r="C319" i="6"/>
  <c r="F91" i="6"/>
  <c r="G242" i="6"/>
  <c r="F314" i="6"/>
  <c r="D67" i="6"/>
  <c r="D66" i="6" s="1"/>
  <c r="D31" i="6"/>
  <c r="D30" i="6" s="1"/>
  <c r="E31" i="6"/>
  <c r="E30" i="6" s="1"/>
  <c r="E114" i="6"/>
  <c r="E108" i="6" s="1"/>
  <c r="E107" i="6" s="1"/>
  <c r="G153" i="6"/>
  <c r="G184" i="6"/>
  <c r="G181" i="6" s="1"/>
  <c r="G224" i="6"/>
  <c r="C247" i="6"/>
  <c r="G295" i="6"/>
  <c r="G314" i="6"/>
  <c r="E91" i="6"/>
  <c r="G135" i="6"/>
  <c r="E314" i="6"/>
  <c r="G77" i="6"/>
  <c r="C91" i="6"/>
  <c r="E127" i="6"/>
  <c r="E217" i="6"/>
  <c r="G241" i="6"/>
  <c r="G240" i="6" s="1"/>
  <c r="C331" i="6"/>
  <c r="G83" i="6"/>
  <c r="F217" i="6"/>
  <c r="D217" i="6"/>
  <c r="G373" i="6"/>
  <c r="G19" i="6"/>
  <c r="C67" i="6"/>
  <c r="C66" i="6" s="1"/>
  <c r="D239" i="6"/>
  <c r="D238" i="6" s="1"/>
  <c r="G15" i="6"/>
  <c r="G70" i="6"/>
  <c r="G23" i="6"/>
  <c r="G32" i="6"/>
  <c r="G114" i="6"/>
  <c r="G128" i="6"/>
  <c r="G127" i="6" s="1"/>
  <c r="C181" i="6"/>
  <c r="C217" i="6"/>
  <c r="G361" i="6"/>
  <c r="E67" i="6"/>
  <c r="E66" i="6" s="1"/>
  <c r="D181" i="6"/>
  <c r="D272" i="6"/>
  <c r="D271" i="6" s="1"/>
  <c r="D247" i="6" s="1"/>
  <c r="G309" i="6"/>
  <c r="C314" i="6"/>
  <c r="G349" i="6"/>
  <c r="F67" i="6"/>
  <c r="F66" i="6" s="1"/>
  <c r="G227" i="6"/>
  <c r="E277" i="6"/>
  <c r="E276" i="6" s="1"/>
  <c r="G52" i="6"/>
  <c r="G63" i="6"/>
  <c r="G62" i="6" s="1"/>
  <c r="G191" i="6"/>
  <c r="G197" i="6"/>
  <c r="E239" i="6"/>
  <c r="E238" i="6" s="1"/>
  <c r="G99" i="6"/>
  <c r="G98" i="6" s="1"/>
  <c r="G97" i="6" s="1"/>
  <c r="G91" i="6" s="1"/>
  <c r="F150" i="6"/>
  <c r="F145" i="6" s="1"/>
  <c r="F134" i="6" s="1"/>
  <c r="C277" i="6"/>
  <c r="C276" i="6" s="1"/>
  <c r="G344" i="6"/>
  <c r="G35" i="6"/>
  <c r="D127" i="6"/>
  <c r="G156" i="6"/>
  <c r="G235" i="6"/>
  <c r="G234" i="6" s="1"/>
  <c r="G233" i="6" s="1"/>
  <c r="G232" i="6" s="1"/>
  <c r="C239" i="6"/>
  <c r="C238" i="6" s="1"/>
  <c r="G260" i="6"/>
  <c r="W260" i="6" s="1"/>
  <c r="G281" i="6"/>
  <c r="G278" i="6" s="1"/>
  <c r="G109" i="6"/>
  <c r="W109" i="6" s="1"/>
  <c r="Y109" i="6" s="1"/>
  <c r="G163" i="6"/>
  <c r="G162" i="6" s="1"/>
  <c r="E169" i="17"/>
  <c r="C207" i="17"/>
  <c r="C192" i="17" s="1"/>
  <c r="M214" i="17"/>
  <c r="O377" i="17"/>
  <c r="J296" i="17"/>
  <c r="O67" i="17"/>
  <c r="O66" i="17" s="1"/>
  <c r="Q157" i="17"/>
  <c r="Q154" i="17" s="1"/>
  <c r="Q149" i="17" s="1"/>
  <c r="P313" i="17"/>
  <c r="C131" i="17"/>
  <c r="T48" i="17"/>
  <c r="Q67" i="17"/>
  <c r="Q66" i="17" s="1"/>
  <c r="O201" i="17"/>
  <c r="M52" i="17"/>
  <c r="M45" i="17" s="1"/>
  <c r="M44" i="17" s="1"/>
  <c r="P152" i="17"/>
  <c r="O160" i="17"/>
  <c r="O295" i="17"/>
  <c r="F207" i="17"/>
  <c r="F192" i="17" s="1"/>
  <c r="J279" i="17"/>
  <c r="J278" i="17" s="1"/>
  <c r="M255" i="17"/>
  <c r="J76" i="17"/>
  <c r="Q313" i="17"/>
  <c r="M67" i="17"/>
  <c r="M66" i="17" s="1"/>
  <c r="O188" i="17"/>
  <c r="O185" i="17" s="1"/>
  <c r="P288" i="17"/>
  <c r="M295" i="17"/>
  <c r="M36" i="17"/>
  <c r="M78" i="17"/>
  <c r="P366" i="17"/>
  <c r="L250" i="17"/>
  <c r="F318" i="17"/>
  <c r="O52" i="17"/>
  <c r="O45" i="17" s="1"/>
  <c r="O44" i="17" s="1"/>
  <c r="G72" i="17"/>
  <c r="C43" i="17"/>
  <c r="M228" i="17"/>
  <c r="D243" i="17"/>
  <c r="D242" i="17" s="1"/>
  <c r="C251" i="17"/>
  <c r="P270" i="17"/>
  <c r="Q128" i="17"/>
  <c r="Q127" i="17" s="1"/>
  <c r="Q195" i="17"/>
  <c r="M252" i="17"/>
  <c r="D318" i="17"/>
  <c r="J46" i="17"/>
  <c r="G219" i="17"/>
  <c r="F221" i="17"/>
  <c r="G385" i="17"/>
  <c r="P29" i="17"/>
  <c r="T29" i="17" s="1"/>
  <c r="O252" i="17"/>
  <c r="C318" i="17"/>
  <c r="J292" i="17"/>
  <c r="O313" i="17"/>
  <c r="O74" i="17"/>
  <c r="F95" i="17"/>
  <c r="T25" i="17"/>
  <c r="O78" i="17"/>
  <c r="M188" i="17"/>
  <c r="M185" i="17" s="1"/>
  <c r="G182" i="17"/>
  <c r="J283" i="17"/>
  <c r="G91" i="17"/>
  <c r="E35" i="17"/>
  <c r="E34" i="17" s="1"/>
  <c r="Q103" i="17"/>
  <c r="Q102" i="17" s="1"/>
  <c r="Q101" i="17" s="1"/>
  <c r="Q95" i="17" s="1"/>
  <c r="J114" i="17"/>
  <c r="M157" i="17"/>
  <c r="C177" i="17"/>
  <c r="P179" i="17"/>
  <c r="P178" i="17" s="1"/>
  <c r="Q188" i="17"/>
  <c r="Q185" i="17" s="1"/>
  <c r="G222" i="17"/>
  <c r="Q225" i="17"/>
  <c r="J255" i="17"/>
  <c r="P306" i="17"/>
  <c r="G316" i="17"/>
  <c r="I250" i="17"/>
  <c r="P398" i="17"/>
  <c r="J14" i="17"/>
  <c r="J92" i="17"/>
  <c r="J91" i="17" s="1"/>
  <c r="O157" i="17"/>
  <c r="M170" i="17"/>
  <c r="M169" i="17" s="1"/>
  <c r="P213" i="17"/>
  <c r="O214" i="17"/>
  <c r="Q304" i="17"/>
  <c r="M313" i="17"/>
  <c r="Q324" i="17"/>
  <c r="Q323" i="17" s="1"/>
  <c r="P329" i="17"/>
  <c r="K250" i="17"/>
  <c r="J393" i="17"/>
  <c r="J395" i="17"/>
  <c r="O177" i="17"/>
  <c r="T49" i="17"/>
  <c r="E118" i="17"/>
  <c r="E112" i="17" s="1"/>
  <c r="E111" i="17" s="1"/>
  <c r="M208" i="17"/>
  <c r="M207" i="17" s="1"/>
  <c r="Q214" i="17"/>
  <c r="M222" i="17"/>
  <c r="P265" i="17"/>
  <c r="F335" i="17"/>
  <c r="J18" i="17"/>
  <c r="P17" i="17"/>
  <c r="T17" i="17" s="1"/>
  <c r="Q19" i="17"/>
  <c r="Q11" i="17" s="1"/>
  <c r="T32" i="17"/>
  <c r="E43" i="17"/>
  <c r="O128" i="17"/>
  <c r="O127" i="17" s="1"/>
  <c r="C154" i="17"/>
  <c r="C149" i="17" s="1"/>
  <c r="C138" i="17" s="1"/>
  <c r="F177" i="17"/>
  <c r="J194" i="17"/>
  <c r="J193" i="17" s="1"/>
  <c r="C10" i="17"/>
  <c r="Q56" i="17"/>
  <c r="G178" i="17"/>
  <c r="G186" i="17"/>
  <c r="G193" i="17"/>
  <c r="G321" i="17"/>
  <c r="G318" i="17" s="1"/>
  <c r="E323" i="17"/>
  <c r="P13" i="17"/>
  <c r="T13" i="17" s="1"/>
  <c r="C35" i="17"/>
  <c r="C34" i="17" s="1"/>
  <c r="Q36" i="17"/>
  <c r="P42" i="17"/>
  <c r="Q78" i="17"/>
  <c r="J104" i="17"/>
  <c r="M318" i="17"/>
  <c r="F323" i="17"/>
  <c r="D10" i="17"/>
  <c r="O23" i="17"/>
  <c r="F35" i="17"/>
  <c r="F34" i="17" s="1"/>
  <c r="J94" i="17"/>
  <c r="J93" i="17" s="1"/>
  <c r="M139" i="17"/>
  <c r="J200" i="17"/>
  <c r="Q228" i="17"/>
  <c r="J245" i="17"/>
  <c r="J244" i="17" s="1"/>
  <c r="G246" i="17"/>
  <c r="J254" i="17"/>
  <c r="J252" i="17" s="1"/>
  <c r="M324" i="17"/>
  <c r="M323" i="17" s="1"/>
  <c r="J401" i="17"/>
  <c r="J33" i="17"/>
  <c r="E10" i="17"/>
  <c r="O27" i="17"/>
  <c r="Q39" i="17"/>
  <c r="J48" i="17"/>
  <c r="J80" i="17"/>
  <c r="G81" i="17"/>
  <c r="P89" i="17"/>
  <c r="P87" i="17" s="1"/>
  <c r="G107" i="17"/>
  <c r="G118" i="17"/>
  <c r="Q118" i="17"/>
  <c r="Q112" i="17" s="1"/>
  <c r="Q111" i="17" s="1"/>
  <c r="G128" i="17"/>
  <c r="G127" i="17" s="1"/>
  <c r="J133" i="17"/>
  <c r="Q177" i="17"/>
  <c r="E185" i="17"/>
  <c r="G201" i="17"/>
  <c r="J266" i="17"/>
  <c r="J302" i="17"/>
  <c r="J299" i="17" s="1"/>
  <c r="J315" i="17"/>
  <c r="P339" i="17"/>
  <c r="P361" i="17"/>
  <c r="P380" i="17"/>
  <c r="J298" i="17"/>
  <c r="M39" i="17"/>
  <c r="P59" i="17"/>
  <c r="T59" i="17" s="1"/>
  <c r="P62" i="17"/>
  <c r="T62" i="17" s="1"/>
  <c r="M103" i="17"/>
  <c r="M102" i="17" s="1"/>
  <c r="M101" i="17" s="1"/>
  <c r="M95" i="17" s="1"/>
  <c r="M132" i="17"/>
  <c r="M131" i="17" s="1"/>
  <c r="J157" i="17"/>
  <c r="D211" i="17"/>
  <c r="D207" i="17" s="1"/>
  <c r="D192" i="17" s="1"/>
  <c r="O222" i="17"/>
  <c r="E221" i="17"/>
  <c r="M246" i="17"/>
  <c r="M243" i="17" s="1"/>
  <c r="M242" i="17" s="1"/>
  <c r="G252" i="17"/>
  <c r="D276" i="17"/>
  <c r="D275" i="17" s="1"/>
  <c r="D251" i="17" s="1"/>
  <c r="P300" i="17"/>
  <c r="C335" i="17"/>
  <c r="P343" i="17"/>
  <c r="P363" i="17"/>
  <c r="J369" i="17"/>
  <c r="M304" i="17"/>
  <c r="T47" i="17"/>
  <c r="M74" i="17"/>
  <c r="M87" i="17"/>
  <c r="P94" i="17"/>
  <c r="P93" i="17" s="1"/>
  <c r="E95" i="17"/>
  <c r="O103" i="17"/>
  <c r="O102" i="17" s="1"/>
  <c r="O101" i="17" s="1"/>
  <c r="O95" i="17" s="1"/>
  <c r="M118" i="17"/>
  <c r="M112" i="17" s="1"/>
  <c r="M111" i="17" s="1"/>
  <c r="P128" i="17"/>
  <c r="P127" i="17" s="1"/>
  <c r="O132" i="17"/>
  <c r="O131" i="17" s="1"/>
  <c r="D154" i="17"/>
  <c r="D149" i="17" s="1"/>
  <c r="G188" i="17"/>
  <c r="G205" i="17"/>
  <c r="J209" i="17"/>
  <c r="P227" i="17"/>
  <c r="O228" i="17"/>
  <c r="O231" i="17"/>
  <c r="O246" i="17"/>
  <c r="O243" i="17" s="1"/>
  <c r="O242" i="17" s="1"/>
  <c r="Q252" i="17"/>
  <c r="O255" i="17"/>
  <c r="J274" i="17"/>
  <c r="P293" i="17"/>
  <c r="P311" i="17"/>
  <c r="P386" i="17"/>
  <c r="P385" i="17" s="1"/>
  <c r="F11" i="17"/>
  <c r="F10" i="17" s="1"/>
  <c r="O36" i="17"/>
  <c r="Q132" i="17"/>
  <c r="Q131" i="17" s="1"/>
  <c r="E154" i="17"/>
  <c r="E149" i="17" s="1"/>
  <c r="D221" i="17"/>
  <c r="P261" i="17"/>
  <c r="J404" i="17"/>
  <c r="G12" i="17"/>
  <c r="P12" i="17" s="1"/>
  <c r="T12" i="17" s="1"/>
  <c r="J20" i="17"/>
  <c r="J19" i="17" s="1"/>
  <c r="P21" i="17"/>
  <c r="T21" i="17" s="1"/>
  <c r="M27" i="17"/>
  <c r="P37" i="17"/>
  <c r="P36" i="17" s="1"/>
  <c r="E71" i="17"/>
  <c r="E70" i="17" s="1"/>
  <c r="O87" i="17"/>
  <c r="D131" i="17"/>
  <c r="M160" i="17"/>
  <c r="J184" i="17"/>
  <c r="J177" i="17" s="1"/>
  <c r="O208" i="17"/>
  <c r="O207" i="17" s="1"/>
  <c r="G240" i="17"/>
  <c r="F260" i="17"/>
  <c r="G260" i="17" s="1"/>
  <c r="J308" i="17"/>
  <c r="Q353" i="17"/>
  <c r="P153" i="17"/>
  <c r="J153" i="17"/>
  <c r="J264" i="17"/>
  <c r="P264" i="17"/>
  <c r="P16" i="17"/>
  <c r="T16" i="17" s="1"/>
  <c r="M19" i="17"/>
  <c r="M11" i="17" s="1"/>
  <c r="J24" i="17"/>
  <c r="P41" i="17"/>
  <c r="J50" i="17"/>
  <c r="G56" i="17"/>
  <c r="P61" i="17"/>
  <c r="T61" i="17" s="1"/>
  <c r="J75" i="17"/>
  <c r="Q74" i="17"/>
  <c r="P83" i="17"/>
  <c r="J88" i="17"/>
  <c r="J100" i="17"/>
  <c r="J99" i="17" s="1"/>
  <c r="J98" i="17" s="1"/>
  <c r="J96" i="17" s="1"/>
  <c r="J106" i="17"/>
  <c r="J137" i="17"/>
  <c r="J141" i="17"/>
  <c r="P142" i="17"/>
  <c r="P139" i="17" s="1"/>
  <c r="J144" i="17"/>
  <c r="J151" i="17"/>
  <c r="P156" i="17"/>
  <c r="J168" i="17"/>
  <c r="J172" i="17"/>
  <c r="P173" i="17"/>
  <c r="M177" i="17"/>
  <c r="E207" i="17"/>
  <c r="E192" i="17" s="1"/>
  <c r="J216" i="17"/>
  <c r="J215" i="17" s="1"/>
  <c r="P217" i="17"/>
  <c r="P220" i="17"/>
  <c r="P219" i="17" s="1"/>
  <c r="J224" i="17"/>
  <c r="J222" i="17" s="1"/>
  <c r="P248" i="17"/>
  <c r="P246" i="17" s="1"/>
  <c r="J263" i="17"/>
  <c r="J290" i="17"/>
  <c r="Q299" i="17"/>
  <c r="J326" i="17"/>
  <c r="J338" i="17"/>
  <c r="J355" i="17"/>
  <c r="P356" i="17"/>
  <c r="J397" i="17"/>
  <c r="J408" i="17"/>
  <c r="P15" i="17"/>
  <c r="T15" i="17" s="1"/>
  <c r="J31" i="17"/>
  <c r="P55" i="17"/>
  <c r="T55" i="17" s="1"/>
  <c r="J82" i="17"/>
  <c r="J121" i="17"/>
  <c r="P122" i="17"/>
  <c r="J129" i="17"/>
  <c r="G132" i="17"/>
  <c r="J155" i="17"/>
  <c r="J190" i="17"/>
  <c r="J188" i="17" s="1"/>
  <c r="E256" i="17"/>
  <c r="E255" i="17" s="1"/>
  <c r="E251" i="17" s="1"/>
  <c r="E335" i="17"/>
  <c r="Q27" i="17"/>
  <c r="J49" i="17"/>
  <c r="J53" i="17"/>
  <c r="J52" i="17" s="1"/>
  <c r="P60" i="17"/>
  <c r="T60" i="17" s="1"/>
  <c r="P69" i="17"/>
  <c r="P67" i="17" s="1"/>
  <c r="P66" i="17" s="1"/>
  <c r="O81" i="17"/>
  <c r="J90" i="17"/>
  <c r="D95" i="17"/>
  <c r="M128" i="17"/>
  <c r="M127" i="17" s="1"/>
  <c r="F154" i="17"/>
  <c r="F149" i="17" s="1"/>
  <c r="F138" i="17" s="1"/>
  <c r="G170" i="17"/>
  <c r="G169" i="17" s="1"/>
  <c r="J199" i="17"/>
  <c r="J206" i="17"/>
  <c r="J205" i="17" s="1"/>
  <c r="P229" i="17"/>
  <c r="J247" i="17"/>
  <c r="J246" i="17" s="1"/>
  <c r="J268" i="17"/>
  <c r="P269" i="17"/>
  <c r="Q295" i="17"/>
  <c r="G299" i="17"/>
  <c r="G310" i="17"/>
  <c r="J328" i="17"/>
  <c r="P360" i="17"/>
  <c r="P375" i="17"/>
  <c r="J26" i="17"/>
  <c r="T46" i="17"/>
  <c r="P54" i="17"/>
  <c r="T54" i="17" s="1"/>
  <c r="J84" i="17"/>
  <c r="J120" i="17"/>
  <c r="F131" i="17"/>
  <c r="J143" i="17"/>
  <c r="J146" i="17"/>
  <c r="E177" i="17"/>
  <c r="P187" i="17"/>
  <c r="P186" i="17" s="1"/>
  <c r="J202" i="17"/>
  <c r="P203" i="17"/>
  <c r="P201" i="17" s="1"/>
  <c r="P216" i="17"/>
  <c r="P215" i="17" s="1"/>
  <c r="Q222" i="17"/>
  <c r="P233" i="17"/>
  <c r="P258" i="17"/>
  <c r="P287" i="17"/>
  <c r="O348" i="17"/>
  <c r="M348" i="17"/>
  <c r="J359" i="17"/>
  <c r="P370" i="17"/>
  <c r="J383" i="17"/>
  <c r="P384" i="17"/>
  <c r="J389" i="17"/>
  <c r="P390" i="17"/>
  <c r="J399" i="17"/>
  <c r="J108" i="17"/>
  <c r="J107" i="17" s="1"/>
  <c r="J123" i="17"/>
  <c r="P126" i="17"/>
  <c r="J135" i="17"/>
  <c r="G136" i="17"/>
  <c r="J136" i="17" s="1"/>
  <c r="O139" i="17"/>
  <c r="J167" i="17"/>
  <c r="J166" i="17" s="1"/>
  <c r="O170" i="17"/>
  <c r="O169" i="17" s="1"/>
  <c r="P183" i="17"/>
  <c r="P182" i="17" s="1"/>
  <c r="M201" i="17"/>
  <c r="C221" i="17"/>
  <c r="P241" i="17"/>
  <c r="P240" i="17" s="1"/>
  <c r="P253" i="17"/>
  <c r="P252" i="17" s="1"/>
  <c r="P273" i="17"/>
  <c r="G278" i="17"/>
  <c r="J286" i="17"/>
  <c r="J294" i="17"/>
  <c r="G295" i="17"/>
  <c r="P301" i="17"/>
  <c r="P307" i="17"/>
  <c r="M309" i="17"/>
  <c r="J317" i="17"/>
  <c r="J316" i="17" s="1"/>
  <c r="E318" i="17"/>
  <c r="O318" i="17"/>
  <c r="P350" i="17"/>
  <c r="P367" i="17"/>
  <c r="P381" i="17"/>
  <c r="P387" i="17"/>
  <c r="P402" i="17"/>
  <c r="J409" i="17"/>
  <c r="P30" i="17"/>
  <c r="J39" i="17"/>
  <c r="F43" i="17"/>
  <c r="J47" i="17"/>
  <c r="O56" i="17"/>
  <c r="P58" i="17"/>
  <c r="T58" i="17" s="1"/>
  <c r="J86" i="17"/>
  <c r="G87" i="17"/>
  <c r="G99" i="17"/>
  <c r="G98" i="17" s="1"/>
  <c r="G96" i="17" s="1"/>
  <c r="G103" i="17"/>
  <c r="G102" i="17" s="1"/>
  <c r="G101" i="17" s="1"/>
  <c r="J125" i="17"/>
  <c r="P150" i="17"/>
  <c r="P159" i="17"/>
  <c r="P171" i="17"/>
  <c r="C185" i="17"/>
  <c r="J198" i="17"/>
  <c r="Q207" i="17"/>
  <c r="P223" i="17"/>
  <c r="P222" i="17" s="1"/>
  <c r="M225" i="17"/>
  <c r="G228" i="17"/>
  <c r="P249" i="17"/>
  <c r="P312" i="17"/>
  <c r="G348" i="17"/>
  <c r="P374" i="17"/>
  <c r="Q377" i="17"/>
  <c r="P394" i="17"/>
  <c r="S11" i="17"/>
  <c r="S10" i="17" s="1"/>
  <c r="S9" i="17" s="1"/>
  <c r="T50" i="17"/>
  <c r="G23" i="17"/>
  <c r="P22" i="17"/>
  <c r="T22" i="17" s="1"/>
  <c r="G27" i="17"/>
  <c r="J51" i="17"/>
  <c r="Q52" i="17"/>
  <c r="Q45" i="17" s="1"/>
  <c r="Q44" i="17" s="1"/>
  <c r="P57" i="17"/>
  <c r="D71" i="17"/>
  <c r="D70" i="17" s="1"/>
  <c r="J73" i="17"/>
  <c r="J72" i="17" s="1"/>
  <c r="G74" i="17"/>
  <c r="P103" i="17"/>
  <c r="P102" i="17" s="1"/>
  <c r="P101" i="17" s="1"/>
  <c r="P95" i="17" s="1"/>
  <c r="P115" i="17"/>
  <c r="J119" i="17"/>
  <c r="J130" i="17"/>
  <c r="J145" i="17"/>
  <c r="J161" i="17"/>
  <c r="J160" i="17" s="1"/>
  <c r="P189" i="17"/>
  <c r="P188" i="17" s="1"/>
  <c r="O195" i="17"/>
  <c r="J204" i="17"/>
  <c r="O225" i="17"/>
  <c r="J234" i="17"/>
  <c r="F243" i="17"/>
  <c r="F242" i="17" s="1"/>
  <c r="P297" i="17"/>
  <c r="P295" i="17" s="1"/>
  <c r="P303" i="17"/>
  <c r="J322" i="17"/>
  <c r="J321" i="17" s="1"/>
  <c r="J318" i="17" s="1"/>
  <c r="Q336" i="17"/>
  <c r="P364" i="17"/>
  <c r="O365" i="17"/>
  <c r="J373" i="17"/>
  <c r="P407" i="17"/>
  <c r="T20" i="17"/>
  <c r="G196" i="17"/>
  <c r="G195" i="17" s="1"/>
  <c r="J197" i="17"/>
  <c r="J196" i="17" s="1"/>
  <c r="P212" i="17"/>
  <c r="P211" i="17" s="1"/>
  <c r="J212" i="17"/>
  <c r="J211" i="17" s="1"/>
  <c r="G211" i="17"/>
  <c r="O118" i="17"/>
  <c r="O112" i="17" s="1"/>
  <c r="O111" i="17" s="1"/>
  <c r="P124" i="17"/>
  <c r="J124" i="17"/>
  <c r="P379" i="17"/>
  <c r="J379" i="17"/>
  <c r="G377" i="17"/>
  <c r="P406" i="17"/>
  <c r="J406" i="17"/>
  <c r="G19" i="17"/>
  <c r="P23" i="17"/>
  <c r="J25" i="17"/>
  <c r="J32" i="17"/>
  <c r="P40" i="17"/>
  <c r="T51" i="17"/>
  <c r="T53" i="17"/>
  <c r="J56" i="17"/>
  <c r="P85" i="17"/>
  <c r="J85" i="17"/>
  <c r="G113" i="17"/>
  <c r="G139" i="17"/>
  <c r="J140" i="17"/>
  <c r="Q170" i="17"/>
  <c r="Q169" i="17" s="1"/>
  <c r="J235" i="17"/>
  <c r="P235" i="17"/>
  <c r="J357" i="17"/>
  <c r="P357" i="17"/>
  <c r="G353" i="17"/>
  <c r="O19" i="17"/>
  <c r="O11" i="17" s="1"/>
  <c r="J38" i="17"/>
  <c r="J36" i="17" s="1"/>
  <c r="O39" i="17"/>
  <c r="D43" i="17"/>
  <c r="G67" i="17"/>
  <c r="G66" i="17" s="1"/>
  <c r="J68" i="17"/>
  <c r="J67" i="17" s="1"/>
  <c r="J66" i="17" s="1"/>
  <c r="P77" i="17"/>
  <c r="P74" i="17" s="1"/>
  <c r="J77" i="17"/>
  <c r="T18" i="17"/>
  <c r="T24" i="17"/>
  <c r="T28" i="17"/>
  <c r="T31" i="17"/>
  <c r="D35" i="17"/>
  <c r="D34" i="17" s="1"/>
  <c r="G39" i="17"/>
  <c r="M56" i="17"/>
  <c r="C71" i="17"/>
  <c r="C70" i="17" s="1"/>
  <c r="P79" i="17"/>
  <c r="P78" i="17" s="1"/>
  <c r="G78" i="17"/>
  <c r="J79" i="17"/>
  <c r="P165" i="17"/>
  <c r="P164" i="17" s="1"/>
  <c r="J175" i="17"/>
  <c r="P175" i="17"/>
  <c r="P191" i="17"/>
  <c r="J191" i="17"/>
  <c r="P197" i="17"/>
  <c r="P196" i="17" s="1"/>
  <c r="P195" i="17" s="1"/>
  <c r="J232" i="17"/>
  <c r="G231" i="17"/>
  <c r="J349" i="17"/>
  <c r="S45" i="17"/>
  <c r="S44" i="17" s="1"/>
  <c r="S43" i="17" s="1"/>
  <c r="Q318" i="17"/>
  <c r="J117" i="17"/>
  <c r="P117" i="17"/>
  <c r="P396" i="17"/>
  <c r="J396" i="17"/>
  <c r="Q87" i="17"/>
  <c r="G36" i="17"/>
  <c r="G52" i="17"/>
  <c r="G45" i="17" s="1"/>
  <c r="G44" i="17" s="1"/>
  <c r="Q81" i="17"/>
  <c r="Q139" i="17"/>
  <c r="G164" i="17"/>
  <c r="J171" i="17"/>
  <c r="P218" i="17"/>
  <c r="J218" i="17"/>
  <c r="G214" i="17"/>
  <c r="P226" i="17"/>
  <c r="G225" i="17"/>
  <c r="J226" i="17"/>
  <c r="J225" i="17" s="1"/>
  <c r="P232" i="17"/>
  <c r="J291" i="17"/>
  <c r="P291" i="17"/>
  <c r="P349" i="17"/>
  <c r="M81" i="17"/>
  <c r="P277" i="17"/>
  <c r="P276" i="17" s="1"/>
  <c r="P275" i="17" s="1"/>
  <c r="G276" i="17"/>
  <c r="G275" i="17" s="1"/>
  <c r="J277" i="17"/>
  <c r="J276" i="17" s="1"/>
  <c r="J275" i="17" s="1"/>
  <c r="M23" i="17"/>
  <c r="J28" i="17"/>
  <c r="T14" i="17"/>
  <c r="Q23" i="17"/>
  <c r="T33" i="17"/>
  <c r="F71" i="17"/>
  <c r="F70" i="17" s="1"/>
  <c r="P132" i="17"/>
  <c r="G148" i="17"/>
  <c r="D147" i="17"/>
  <c r="P162" i="17"/>
  <c r="P160" i="17" s="1"/>
  <c r="O282" i="17"/>
  <c r="M299" i="17"/>
  <c r="J340" i="17"/>
  <c r="G336" i="17"/>
  <c r="P340" i="17"/>
  <c r="P342" i="17"/>
  <c r="J342" i="17"/>
  <c r="G160" i="17"/>
  <c r="G166" i="17"/>
  <c r="Q201" i="17"/>
  <c r="M282" i="17"/>
  <c r="E282" i="17"/>
  <c r="E281" i="17" s="1"/>
  <c r="E280" i="17" s="1"/>
  <c r="G285" i="17"/>
  <c r="J105" i="17"/>
  <c r="J116" i="17"/>
  <c r="J134" i="17"/>
  <c r="J174" i="17"/>
  <c r="D185" i="17"/>
  <c r="P230" i="17"/>
  <c r="J230" i="17"/>
  <c r="J228" i="17" s="1"/>
  <c r="P257" i="17"/>
  <c r="P256" i="17" s="1"/>
  <c r="G256" i="17"/>
  <c r="G255" i="17" s="1"/>
  <c r="J262" i="17"/>
  <c r="P262" i="17"/>
  <c r="G324" i="17"/>
  <c r="G323" i="17" s="1"/>
  <c r="M353" i="17"/>
  <c r="D177" i="17"/>
  <c r="G208" i="17"/>
  <c r="P210" i="17"/>
  <c r="P208" i="17" s="1"/>
  <c r="J210" i="17"/>
  <c r="O309" i="17"/>
  <c r="P318" i="17"/>
  <c r="M365" i="17"/>
  <c r="Q365" i="17"/>
  <c r="J371" i="17"/>
  <c r="G365" i="17"/>
  <c r="P371" i="17"/>
  <c r="E138" i="17"/>
  <c r="G157" i="17"/>
  <c r="P158" i="17"/>
  <c r="C166" i="17"/>
  <c r="G180" i="17"/>
  <c r="P181" i="17"/>
  <c r="P180" i="17" s="1"/>
  <c r="M195" i="17"/>
  <c r="M231" i="17"/>
  <c r="Q243" i="17"/>
  <c r="Q242" i="17" s="1"/>
  <c r="J267" i="17"/>
  <c r="P267" i="17"/>
  <c r="G284" i="17"/>
  <c r="D282" i="17"/>
  <c r="D281" i="17" s="1"/>
  <c r="D280" i="17" s="1"/>
  <c r="M336" i="17"/>
  <c r="J344" i="17"/>
  <c r="P344" i="17"/>
  <c r="J391" i="17"/>
  <c r="P391" i="17"/>
  <c r="J405" i="17"/>
  <c r="P405" i="17"/>
  <c r="Q255" i="17"/>
  <c r="P272" i="17"/>
  <c r="J272" i="17"/>
  <c r="J289" i="17"/>
  <c r="P289" i="17"/>
  <c r="O299" i="17"/>
  <c r="N250" i="17"/>
  <c r="C243" i="17"/>
  <c r="C242" i="17" s="1"/>
  <c r="G304" i="17"/>
  <c r="J305" i="17"/>
  <c r="D335" i="17"/>
  <c r="O336" i="17"/>
  <c r="Q231" i="17"/>
  <c r="G239" i="17"/>
  <c r="F238" i="17"/>
  <c r="F237" i="17" s="1"/>
  <c r="F236" i="17" s="1"/>
  <c r="E244" i="17"/>
  <c r="E243" i="17" s="1"/>
  <c r="E242" i="17" s="1"/>
  <c r="C281" i="17"/>
  <c r="C280" i="17" s="1"/>
  <c r="O304" i="17"/>
  <c r="G313" i="17"/>
  <c r="J314" i="17"/>
  <c r="Q348" i="17"/>
  <c r="O353" i="17"/>
  <c r="J271" i="17"/>
  <c r="P271" i="17"/>
  <c r="F281" i="17"/>
  <c r="F280" i="17" s="1"/>
  <c r="O324" i="17"/>
  <c r="O323" i="17" s="1"/>
  <c r="P351" i="17"/>
  <c r="P400" i="17"/>
  <c r="J400" i="17"/>
  <c r="G244" i="17"/>
  <c r="Q282" i="17"/>
  <c r="P327" i="17"/>
  <c r="J327" i="17"/>
  <c r="M377" i="17"/>
  <c r="J337" i="17"/>
  <c r="J341" i="17"/>
  <c r="J345" i="17"/>
  <c r="J352" i="17"/>
  <c r="J354" i="17"/>
  <c r="J358" i="17"/>
  <c r="J362" i="17"/>
  <c r="J368" i="17"/>
  <c r="J372" i="17"/>
  <c r="J376" i="17"/>
  <c r="J378" i="17"/>
  <c r="J382" i="17"/>
  <c r="J388" i="17"/>
  <c r="J392" i="17"/>
  <c r="J403" i="17"/>
  <c r="J325" i="17"/>
  <c r="T278" i="6"/>
  <c r="S278" i="6"/>
  <c r="R278" i="6"/>
  <c r="AV278" i="6" s="1"/>
  <c r="Q278" i="6"/>
  <c r="AU278" i="6" s="1"/>
  <c r="O278" i="6"/>
  <c r="N278" i="6"/>
  <c r="M278" i="6"/>
  <c r="L278" i="6"/>
  <c r="K278" i="6"/>
  <c r="J278" i="6"/>
  <c r="I278" i="6"/>
  <c r="H278" i="6"/>
  <c r="T242" i="6"/>
  <c r="S242" i="6"/>
  <c r="R242" i="6"/>
  <c r="AV242" i="6" s="1"/>
  <c r="Q242" i="6"/>
  <c r="AU242" i="6" s="1"/>
  <c r="P242" i="6"/>
  <c r="AT242" i="6" s="1"/>
  <c r="O242" i="6"/>
  <c r="N242" i="6"/>
  <c r="M242" i="6"/>
  <c r="L242" i="6"/>
  <c r="K242" i="6"/>
  <c r="J242" i="6"/>
  <c r="H242" i="6"/>
  <c r="T240" i="6"/>
  <c r="S240" i="6"/>
  <c r="AW240" i="6" s="1"/>
  <c r="R240" i="6"/>
  <c r="AV240" i="6" s="1"/>
  <c r="Q240" i="6"/>
  <c r="AU240" i="6" s="1"/>
  <c r="P240" i="6"/>
  <c r="AT240" i="6" s="1"/>
  <c r="O240" i="6"/>
  <c r="AS240" i="6" s="1"/>
  <c r="N240" i="6"/>
  <c r="AR240" i="6" s="1"/>
  <c r="M240" i="6"/>
  <c r="AQ240" i="6" s="1"/>
  <c r="L240" i="6"/>
  <c r="AP240" i="6" s="1"/>
  <c r="J240" i="6"/>
  <c r="AN240" i="6" s="1"/>
  <c r="I240" i="6"/>
  <c r="H240" i="6"/>
  <c r="T182" i="6"/>
  <c r="S182" i="6"/>
  <c r="AW182" i="6" s="1"/>
  <c r="R182" i="6"/>
  <c r="AV182" i="6" s="1"/>
  <c r="Q182" i="6"/>
  <c r="AU182" i="6" s="1"/>
  <c r="P182" i="6"/>
  <c r="AT182" i="6" s="1"/>
  <c r="O182" i="6"/>
  <c r="AS182" i="6" s="1"/>
  <c r="N182" i="6"/>
  <c r="AR182" i="6" s="1"/>
  <c r="M182" i="6"/>
  <c r="AQ182" i="6" s="1"/>
  <c r="L182" i="6"/>
  <c r="AP182" i="6" s="1"/>
  <c r="K182" i="6"/>
  <c r="AO182" i="6" s="1"/>
  <c r="J182" i="6"/>
  <c r="AN182" i="6" s="1"/>
  <c r="I182" i="6"/>
  <c r="H182" i="6"/>
  <c r="T135" i="6"/>
  <c r="S135" i="6"/>
  <c r="R135" i="6"/>
  <c r="AV135" i="6" s="1"/>
  <c r="Q135" i="6"/>
  <c r="P135" i="6"/>
  <c r="O135" i="6"/>
  <c r="N135" i="6"/>
  <c r="M135" i="6"/>
  <c r="L135" i="6"/>
  <c r="K135" i="6"/>
  <c r="J135" i="6"/>
  <c r="I135" i="6"/>
  <c r="H135" i="6"/>
  <c r="T77" i="6"/>
  <c r="S77" i="6"/>
  <c r="R77" i="6"/>
  <c r="AV77" i="6" s="1"/>
  <c r="Q77" i="6"/>
  <c r="AU77" i="6" s="1"/>
  <c r="P77" i="6"/>
  <c r="AT77" i="6" s="1"/>
  <c r="O77" i="6"/>
  <c r="N77" i="6"/>
  <c r="M77" i="6"/>
  <c r="L77" i="6"/>
  <c r="K77" i="6"/>
  <c r="J77" i="6"/>
  <c r="I77" i="6"/>
  <c r="H77" i="6"/>
  <c r="T70" i="6"/>
  <c r="S70" i="6"/>
  <c r="R70" i="6"/>
  <c r="AV70" i="6" s="1"/>
  <c r="Q70" i="6"/>
  <c r="P70" i="6"/>
  <c r="O70" i="6"/>
  <c r="N70" i="6"/>
  <c r="M70" i="6"/>
  <c r="L70" i="6"/>
  <c r="K70" i="6"/>
  <c r="J70" i="6"/>
  <c r="I70" i="6"/>
  <c r="H70" i="6"/>
  <c r="T68" i="6"/>
  <c r="S68" i="6"/>
  <c r="R68" i="6"/>
  <c r="AV68" i="6" s="1"/>
  <c r="Q68" i="6"/>
  <c r="P68" i="6"/>
  <c r="O68" i="6"/>
  <c r="N68" i="6"/>
  <c r="M68" i="6"/>
  <c r="L68" i="6"/>
  <c r="K68" i="6"/>
  <c r="J68" i="6"/>
  <c r="I68" i="6"/>
  <c r="H68" i="6"/>
  <c r="T63" i="6"/>
  <c r="T62" i="6" s="1"/>
  <c r="S63" i="6"/>
  <c r="R63" i="6"/>
  <c r="Q63" i="6"/>
  <c r="P63" i="6"/>
  <c r="O63" i="6"/>
  <c r="AS63" i="6" s="1"/>
  <c r="N63" i="6"/>
  <c r="AR63" i="6" s="1"/>
  <c r="M63" i="6"/>
  <c r="AQ63" i="6" s="1"/>
  <c r="L63" i="6"/>
  <c r="AP63" i="6" s="1"/>
  <c r="K63" i="6"/>
  <c r="AO63" i="6" s="1"/>
  <c r="J63" i="6"/>
  <c r="AN63" i="6" s="1"/>
  <c r="I63" i="6"/>
  <c r="H63" i="6"/>
  <c r="H62" i="6" s="1"/>
  <c r="V405" i="6"/>
  <c r="V404" i="6"/>
  <c r="V403" i="6"/>
  <c r="V402" i="6"/>
  <c r="V401" i="6"/>
  <c r="V400" i="6"/>
  <c r="V399" i="6"/>
  <c r="V398" i="6"/>
  <c r="V397" i="6"/>
  <c r="V396" i="6"/>
  <c r="V395" i="6"/>
  <c r="V394" i="6"/>
  <c r="V393" i="6"/>
  <c r="V392" i="6"/>
  <c r="V391" i="6"/>
  <c r="V390" i="6"/>
  <c r="V343" i="6"/>
  <c r="V342" i="6"/>
  <c r="V341" i="6"/>
  <c r="V328" i="6"/>
  <c r="V327" i="6"/>
  <c r="V326" i="6"/>
  <c r="V325" i="6"/>
  <c r="V324" i="6"/>
  <c r="V323" i="6"/>
  <c r="V308" i="6"/>
  <c r="V307" i="6"/>
  <c r="V306" i="6"/>
  <c r="V304" i="6"/>
  <c r="V303" i="6"/>
  <c r="V302" i="6"/>
  <c r="V301" i="6"/>
  <c r="T305" i="6"/>
  <c r="S305" i="6"/>
  <c r="AW305" i="6" s="1"/>
  <c r="R305" i="6"/>
  <c r="AV305" i="6" s="1"/>
  <c r="Q305" i="6"/>
  <c r="AU305" i="6" s="1"/>
  <c r="P305" i="6"/>
  <c r="AT305" i="6" s="1"/>
  <c r="O305" i="6"/>
  <c r="AS305" i="6" s="1"/>
  <c r="N305" i="6"/>
  <c r="AR305" i="6" s="1"/>
  <c r="M305" i="6"/>
  <c r="AQ305" i="6" s="1"/>
  <c r="L305" i="6"/>
  <c r="AP305" i="6" s="1"/>
  <c r="K305" i="6"/>
  <c r="AO305" i="6" s="1"/>
  <c r="J305" i="6"/>
  <c r="AN305" i="6" s="1"/>
  <c r="I305" i="6"/>
  <c r="H305" i="6"/>
  <c r="V294" i="6"/>
  <c r="V293" i="6"/>
  <c r="V292" i="6"/>
  <c r="P289" i="6"/>
  <c r="U289" i="6" s="1"/>
  <c r="V290" i="6"/>
  <c r="V288" i="6"/>
  <c r="V287" i="6"/>
  <c r="V286" i="6"/>
  <c r="V285" i="6"/>
  <c r="V284" i="6"/>
  <c r="V283" i="6"/>
  <c r="V282" i="6"/>
  <c r="V281" i="6"/>
  <c r="V280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4" i="6"/>
  <c r="V253" i="6"/>
  <c r="V245" i="6"/>
  <c r="V243" i="6"/>
  <c r="T234" i="6"/>
  <c r="T233" i="6" s="1"/>
  <c r="T232" i="6" s="1"/>
  <c r="S234" i="6"/>
  <c r="R234" i="6"/>
  <c r="Q234" i="6"/>
  <c r="P234" i="6"/>
  <c r="O234" i="6"/>
  <c r="AS234" i="6" s="1"/>
  <c r="N234" i="6"/>
  <c r="AR234" i="6" s="1"/>
  <c r="M234" i="6"/>
  <c r="AQ234" i="6" s="1"/>
  <c r="L234" i="6"/>
  <c r="AP234" i="6" s="1"/>
  <c r="K234" i="6"/>
  <c r="AO234" i="6" s="1"/>
  <c r="J234" i="6"/>
  <c r="AN234" i="6" s="1"/>
  <c r="I234" i="6"/>
  <c r="H234" i="6"/>
  <c r="H233" i="6" s="1"/>
  <c r="H232" i="6" s="1"/>
  <c r="V235" i="6"/>
  <c r="V234" i="6" s="1"/>
  <c r="V233" i="6" s="1"/>
  <c r="V232" i="6" s="1"/>
  <c r="V220" i="6"/>
  <c r="V219" i="6"/>
  <c r="T204" i="6"/>
  <c r="S204" i="6"/>
  <c r="AW204" i="6" s="1"/>
  <c r="R204" i="6"/>
  <c r="AV204" i="6" s="1"/>
  <c r="Q204" i="6"/>
  <c r="AU204" i="6" s="1"/>
  <c r="P204" i="6"/>
  <c r="AT204" i="6" s="1"/>
  <c r="O204" i="6"/>
  <c r="AS204" i="6" s="1"/>
  <c r="N204" i="6"/>
  <c r="AR204" i="6" s="1"/>
  <c r="M204" i="6"/>
  <c r="AQ204" i="6" s="1"/>
  <c r="L204" i="6"/>
  <c r="AP204" i="6" s="1"/>
  <c r="K204" i="6"/>
  <c r="AO204" i="6" s="1"/>
  <c r="J204" i="6"/>
  <c r="AN204" i="6" s="1"/>
  <c r="I204" i="6"/>
  <c r="H204" i="6"/>
  <c r="T207" i="6"/>
  <c r="S207" i="6"/>
  <c r="AW207" i="6" s="1"/>
  <c r="R207" i="6"/>
  <c r="AV207" i="6" s="1"/>
  <c r="Q207" i="6"/>
  <c r="AU207" i="6" s="1"/>
  <c r="P207" i="6"/>
  <c r="AT207" i="6" s="1"/>
  <c r="O207" i="6"/>
  <c r="AS207" i="6" s="1"/>
  <c r="N207" i="6"/>
  <c r="AR207" i="6" s="1"/>
  <c r="M207" i="6"/>
  <c r="AQ207" i="6" s="1"/>
  <c r="L207" i="6"/>
  <c r="AP207" i="6" s="1"/>
  <c r="K207" i="6"/>
  <c r="AO207" i="6" s="1"/>
  <c r="J207" i="6"/>
  <c r="AN207" i="6" s="1"/>
  <c r="I207" i="6"/>
  <c r="H207" i="6"/>
  <c r="V209" i="6"/>
  <c r="V208" i="6"/>
  <c r="V207" i="6" s="1"/>
  <c r="V206" i="6"/>
  <c r="V205" i="6"/>
  <c r="V196" i="6"/>
  <c r="V190" i="6"/>
  <c r="V187" i="6"/>
  <c r="V186" i="6"/>
  <c r="V164" i="6"/>
  <c r="V163" i="6" s="1"/>
  <c r="V162" i="6" s="1"/>
  <c r="T163" i="6"/>
  <c r="T162" i="6" s="1"/>
  <c r="S163" i="6"/>
  <c r="S162" i="6" s="1"/>
  <c r="R163" i="6"/>
  <c r="Q163" i="6"/>
  <c r="P163" i="6"/>
  <c r="O163" i="6"/>
  <c r="O162" i="6" s="1"/>
  <c r="N163" i="6"/>
  <c r="N162" i="6" s="1"/>
  <c r="M163" i="6"/>
  <c r="M162" i="6" s="1"/>
  <c r="L163" i="6"/>
  <c r="L162" i="6" s="1"/>
  <c r="K163" i="6"/>
  <c r="K162" i="6" s="1"/>
  <c r="J163" i="6"/>
  <c r="J162" i="6" s="1"/>
  <c r="I163" i="6"/>
  <c r="H163" i="6"/>
  <c r="H162" i="6" s="1"/>
  <c r="T156" i="6"/>
  <c r="S156" i="6"/>
  <c r="R156" i="6"/>
  <c r="AV156" i="6" s="1"/>
  <c r="Q156" i="6"/>
  <c r="P156" i="6"/>
  <c r="O156" i="6"/>
  <c r="N156" i="6"/>
  <c r="M156" i="6"/>
  <c r="L156" i="6"/>
  <c r="K156" i="6"/>
  <c r="J156" i="6"/>
  <c r="I156" i="6"/>
  <c r="H156" i="6"/>
  <c r="T153" i="6"/>
  <c r="S153" i="6"/>
  <c r="R153" i="6"/>
  <c r="AV153" i="6" s="1"/>
  <c r="Q153" i="6"/>
  <c r="P153" i="6"/>
  <c r="O153" i="6"/>
  <c r="N153" i="6"/>
  <c r="M153" i="6"/>
  <c r="L153" i="6"/>
  <c r="K153" i="6"/>
  <c r="J153" i="6"/>
  <c r="I153" i="6"/>
  <c r="H153" i="6"/>
  <c r="V158" i="6"/>
  <c r="V157" i="6"/>
  <c r="V155" i="6"/>
  <c r="V154" i="6"/>
  <c r="V149" i="6"/>
  <c r="V113" i="6"/>
  <c r="O100" i="6"/>
  <c r="U100" i="6" s="1"/>
  <c r="T95" i="6"/>
  <c r="T94" i="6" s="1"/>
  <c r="S95" i="6"/>
  <c r="S94" i="6" s="1"/>
  <c r="R95" i="6"/>
  <c r="Q95" i="6"/>
  <c r="P95" i="6"/>
  <c r="O95" i="6"/>
  <c r="AS95" i="6" s="1"/>
  <c r="N95" i="6"/>
  <c r="AR95" i="6" s="1"/>
  <c r="M95" i="6"/>
  <c r="AQ95" i="6" s="1"/>
  <c r="L95" i="6"/>
  <c r="AP95" i="6" s="1"/>
  <c r="K95" i="6"/>
  <c r="AO95" i="6" s="1"/>
  <c r="J95" i="6"/>
  <c r="AN95" i="6" s="1"/>
  <c r="I95" i="6"/>
  <c r="H95" i="6"/>
  <c r="H94" i="6" s="1"/>
  <c r="V96" i="6"/>
  <c r="V95" i="6" s="1"/>
  <c r="V93" i="6"/>
  <c r="V90" i="6"/>
  <c r="V82" i="6"/>
  <c r="V81" i="6"/>
  <c r="V80" i="6"/>
  <c r="V79" i="6"/>
  <c r="V78" i="6"/>
  <c r="V75" i="6"/>
  <c r="V71" i="6"/>
  <c r="V42" i="6"/>
  <c r="Q22" i="6"/>
  <c r="U22" i="6" s="1"/>
  <c r="T8" i="6"/>
  <c r="S8" i="6"/>
  <c r="AW8" i="6" s="1"/>
  <c r="W93" i="6"/>
  <c r="W316" i="6"/>
  <c r="W330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1" i="6"/>
  <c r="W380" i="6"/>
  <c r="W379" i="6"/>
  <c r="W378" i="6"/>
  <c r="W377" i="6"/>
  <c r="W376" i="6"/>
  <c r="W375" i="6"/>
  <c r="W374" i="6"/>
  <c r="W372" i="6"/>
  <c r="W371" i="6"/>
  <c r="W370" i="6"/>
  <c r="W369" i="6"/>
  <c r="W368" i="6"/>
  <c r="W367" i="6"/>
  <c r="W366" i="6"/>
  <c r="W365" i="6"/>
  <c r="W364" i="6"/>
  <c r="W363" i="6"/>
  <c r="W362" i="6"/>
  <c r="W360" i="6"/>
  <c r="W359" i="6"/>
  <c r="W358" i="6"/>
  <c r="W357" i="6"/>
  <c r="W356" i="6"/>
  <c r="W355" i="6"/>
  <c r="W354" i="6"/>
  <c r="W353" i="6"/>
  <c r="W352" i="6"/>
  <c r="W351" i="6"/>
  <c r="W350" i="6"/>
  <c r="W348" i="6"/>
  <c r="W347" i="6"/>
  <c r="W346" i="6"/>
  <c r="W345" i="6"/>
  <c r="W343" i="6"/>
  <c r="W342" i="6"/>
  <c r="W341" i="6"/>
  <c r="W340" i="6"/>
  <c r="W339" i="6"/>
  <c r="W338" i="6"/>
  <c r="W337" i="6"/>
  <c r="W336" i="6"/>
  <c r="W335" i="6"/>
  <c r="W334" i="6"/>
  <c r="W333" i="6"/>
  <c r="W329" i="6"/>
  <c r="W328" i="6"/>
  <c r="W327" i="6"/>
  <c r="W326" i="6"/>
  <c r="W325" i="6"/>
  <c r="W324" i="6"/>
  <c r="W323" i="6"/>
  <c r="W322" i="6"/>
  <c r="W321" i="6"/>
  <c r="W317" i="6"/>
  <c r="W315" i="6"/>
  <c r="W312" i="6"/>
  <c r="W311" i="6"/>
  <c r="W310" i="6"/>
  <c r="W308" i="6"/>
  <c r="W307" i="6"/>
  <c r="W304" i="6"/>
  <c r="W303" i="6"/>
  <c r="W302" i="6"/>
  <c r="W301" i="6"/>
  <c r="Y301" i="6" s="1"/>
  <c r="W299" i="6"/>
  <c r="W298" i="6"/>
  <c r="W297" i="6"/>
  <c r="W296" i="6"/>
  <c r="W294" i="6"/>
  <c r="W293" i="6"/>
  <c r="Y293" i="6" s="1"/>
  <c r="W292" i="6"/>
  <c r="W290" i="6"/>
  <c r="W289" i="6"/>
  <c r="W288" i="6"/>
  <c r="W287" i="6"/>
  <c r="W286" i="6"/>
  <c r="W285" i="6"/>
  <c r="W284" i="6"/>
  <c r="Y284" i="6" s="1"/>
  <c r="W283" i="6"/>
  <c r="W282" i="6"/>
  <c r="W280" i="6"/>
  <c r="Y280" i="6" s="1"/>
  <c r="W279" i="6"/>
  <c r="W274" i="6"/>
  <c r="W271" i="6"/>
  <c r="W270" i="6"/>
  <c r="W269" i="6"/>
  <c r="W268" i="6"/>
  <c r="W267" i="6"/>
  <c r="W266" i="6"/>
  <c r="W265" i="6"/>
  <c r="W264" i="6"/>
  <c r="W263" i="6"/>
  <c r="W262" i="6"/>
  <c r="W261" i="6"/>
  <c r="W258" i="6"/>
  <c r="W257" i="6"/>
  <c r="W254" i="6"/>
  <c r="W250" i="6"/>
  <c r="W249" i="6"/>
  <c r="W245" i="6"/>
  <c r="W244" i="6"/>
  <c r="W243" i="6"/>
  <c r="W236" i="6"/>
  <c r="W231" i="6"/>
  <c r="W230" i="6"/>
  <c r="W229" i="6"/>
  <c r="W228" i="6"/>
  <c r="W226" i="6"/>
  <c r="W225" i="6"/>
  <c r="W223" i="6"/>
  <c r="W222" i="6"/>
  <c r="W220" i="6"/>
  <c r="Y220" i="6" s="1"/>
  <c r="W219" i="6"/>
  <c r="Y219" i="6" s="1"/>
  <c r="W215" i="6"/>
  <c r="W214" i="6"/>
  <c r="W213" i="6"/>
  <c r="W209" i="6"/>
  <c r="W206" i="6"/>
  <c r="W205" i="6"/>
  <c r="W201" i="6"/>
  <c r="W200" i="6"/>
  <c r="W199" i="6"/>
  <c r="Y199" i="6" s="1"/>
  <c r="W198" i="6"/>
  <c r="W196" i="6"/>
  <c r="W195" i="6"/>
  <c r="W194" i="6"/>
  <c r="W192" i="6"/>
  <c r="W189" i="6"/>
  <c r="W187" i="6"/>
  <c r="W186" i="6"/>
  <c r="W185" i="6"/>
  <c r="Y185" i="6" s="1"/>
  <c r="W180" i="6"/>
  <c r="Y180" i="6" s="1"/>
  <c r="Y173" i="6" s="1"/>
  <c r="W178" i="6"/>
  <c r="W176" i="6"/>
  <c r="W171" i="6"/>
  <c r="W170" i="6"/>
  <c r="W169" i="6"/>
  <c r="W168" i="6"/>
  <c r="W167" i="6"/>
  <c r="W164" i="6"/>
  <c r="W158" i="6"/>
  <c r="W157" i="6"/>
  <c r="W155" i="6"/>
  <c r="W154" i="6"/>
  <c r="W152" i="6"/>
  <c r="Y152" i="6" s="1"/>
  <c r="W151" i="6"/>
  <c r="W149" i="6"/>
  <c r="Y149" i="6" s="1"/>
  <c r="W148" i="6"/>
  <c r="X148" i="6" s="1"/>
  <c r="W147" i="6"/>
  <c r="W146" i="6"/>
  <c r="X146" i="6" s="1"/>
  <c r="W142" i="6"/>
  <c r="W141" i="6"/>
  <c r="W140" i="6"/>
  <c r="Y140" i="6" s="1"/>
  <c r="W139" i="6"/>
  <c r="W138" i="6"/>
  <c r="W137" i="6"/>
  <c r="W136" i="6"/>
  <c r="W132" i="6"/>
  <c r="W131" i="6"/>
  <c r="W130" i="6"/>
  <c r="W129" i="6"/>
  <c r="W126" i="6"/>
  <c r="W122" i="6"/>
  <c r="W121" i="6"/>
  <c r="W120" i="6"/>
  <c r="W119" i="6"/>
  <c r="W118" i="6"/>
  <c r="W117" i="6"/>
  <c r="W116" i="6"/>
  <c r="W115" i="6"/>
  <c r="W113" i="6"/>
  <c r="W112" i="6"/>
  <c r="W111" i="6"/>
  <c r="W110" i="6"/>
  <c r="W103" i="6"/>
  <c r="W102" i="6"/>
  <c r="Y102" i="6" s="1"/>
  <c r="W101" i="6"/>
  <c r="Y101" i="6" s="1"/>
  <c r="W100" i="6"/>
  <c r="W92" i="6"/>
  <c r="W89" i="6"/>
  <c r="W87" i="6"/>
  <c r="W86" i="6"/>
  <c r="W85" i="6"/>
  <c r="W84" i="6"/>
  <c r="W82" i="6"/>
  <c r="W81" i="6"/>
  <c r="W80" i="6"/>
  <c r="W79" i="6"/>
  <c r="W78" i="6"/>
  <c r="W76" i="6"/>
  <c r="W75" i="6"/>
  <c r="W73" i="6"/>
  <c r="W72" i="6"/>
  <c r="W71" i="6"/>
  <c r="W65" i="6"/>
  <c r="W64" i="6"/>
  <c r="W58" i="6"/>
  <c r="W57" i="6"/>
  <c r="W56" i="6"/>
  <c r="W55" i="6"/>
  <c r="W54" i="6"/>
  <c r="W53" i="6"/>
  <c r="W51" i="6"/>
  <c r="W50" i="6"/>
  <c r="W47" i="6"/>
  <c r="W46" i="6"/>
  <c r="W45" i="6"/>
  <c r="W44" i="6"/>
  <c r="W43" i="6"/>
  <c r="W42" i="6"/>
  <c r="W38" i="6"/>
  <c r="W37" i="6"/>
  <c r="W36" i="6"/>
  <c r="Y36" i="6" s="1"/>
  <c r="W34" i="6"/>
  <c r="W33" i="6"/>
  <c r="W29" i="6"/>
  <c r="Y29" i="6" s="1"/>
  <c r="W28" i="6"/>
  <c r="W27" i="6"/>
  <c r="Y27" i="6" s="1"/>
  <c r="W26" i="6"/>
  <c r="Y26" i="6" s="1"/>
  <c r="W25" i="6"/>
  <c r="W24" i="6"/>
  <c r="Y24" i="6" s="1"/>
  <c r="W22" i="6"/>
  <c r="W21" i="6"/>
  <c r="W20" i="6"/>
  <c r="W18" i="6"/>
  <c r="W17" i="6"/>
  <c r="W14" i="6"/>
  <c r="W13" i="6"/>
  <c r="W12" i="6"/>
  <c r="W11" i="6"/>
  <c r="W10" i="6"/>
  <c r="W9" i="6"/>
  <c r="U156" i="6" l="1"/>
  <c r="U70" i="6"/>
  <c r="AM63" i="6"/>
  <c r="U63" i="6"/>
  <c r="U153" i="6"/>
  <c r="AM207" i="6"/>
  <c r="U207" i="6"/>
  <c r="AM182" i="6"/>
  <c r="U182" i="6"/>
  <c r="I162" i="6"/>
  <c r="U163" i="6"/>
  <c r="AM305" i="6"/>
  <c r="U305" i="6"/>
  <c r="U135" i="6"/>
  <c r="I94" i="6"/>
  <c r="U95" i="6"/>
  <c r="U68" i="6"/>
  <c r="AM204" i="6"/>
  <c r="U204" i="6"/>
  <c r="AM234" i="6"/>
  <c r="U234" i="6"/>
  <c r="AM240" i="6"/>
  <c r="U77" i="6"/>
  <c r="AU22" i="6"/>
  <c r="AS100" i="6"/>
  <c r="R233" i="6"/>
  <c r="AV234" i="6"/>
  <c r="P62" i="6"/>
  <c r="AT62" i="6" s="1"/>
  <c r="AT63" i="6"/>
  <c r="S233" i="6"/>
  <c r="AW234" i="6"/>
  <c r="Q62" i="6"/>
  <c r="AU62" i="6" s="1"/>
  <c r="AU63" i="6"/>
  <c r="R94" i="6"/>
  <c r="AV94" i="6" s="1"/>
  <c r="AV95" i="6"/>
  <c r="R62" i="6"/>
  <c r="AV62" i="6" s="1"/>
  <c r="AV63" i="6"/>
  <c r="P233" i="6"/>
  <c r="AT234" i="6"/>
  <c r="AJ2" i="6"/>
  <c r="AJ416" i="6" s="1"/>
  <c r="P162" i="6"/>
  <c r="AT162" i="6" s="1"/>
  <c r="AT163" i="6"/>
  <c r="S62" i="6"/>
  <c r="AW63" i="6"/>
  <c r="Q162" i="6"/>
  <c r="AU162" i="6" s="1"/>
  <c r="AU163" i="6"/>
  <c r="Q94" i="6"/>
  <c r="AU94" i="6" s="1"/>
  <c r="AU95" i="6"/>
  <c r="Q233" i="6"/>
  <c r="AU234" i="6"/>
  <c r="V289" i="6"/>
  <c r="AT289" i="6"/>
  <c r="P94" i="6"/>
  <c r="AT94" i="6" s="1"/>
  <c r="AT95" i="6"/>
  <c r="R162" i="6"/>
  <c r="AV162" i="6" s="1"/>
  <c r="AV163" i="6"/>
  <c r="D5" i="6"/>
  <c r="D4" i="6" s="1"/>
  <c r="M94" i="6"/>
  <c r="AQ94" i="6" s="1"/>
  <c r="L233" i="6"/>
  <c r="AP233" i="6" s="1"/>
  <c r="J62" i="6"/>
  <c r="N94" i="6"/>
  <c r="AR94" i="6" s="1"/>
  <c r="M233" i="6"/>
  <c r="AQ233" i="6" s="1"/>
  <c r="K62" i="6"/>
  <c r="O94" i="6"/>
  <c r="AS94" i="6" s="1"/>
  <c r="N233" i="6"/>
  <c r="AR233" i="6" s="1"/>
  <c r="L62" i="6"/>
  <c r="O233" i="6"/>
  <c r="AS233" i="6" s="1"/>
  <c r="M62" i="6"/>
  <c r="N62" i="6"/>
  <c r="J94" i="6"/>
  <c r="AN94" i="6" s="1"/>
  <c r="I233" i="6"/>
  <c r="O62" i="6"/>
  <c r="K94" i="6"/>
  <c r="AO94" i="6" s="1"/>
  <c r="J233" i="6"/>
  <c r="AN233" i="6" s="1"/>
  <c r="L94" i="6"/>
  <c r="AP94" i="6" s="1"/>
  <c r="K233" i="6"/>
  <c r="AO233" i="6" s="1"/>
  <c r="I62" i="6"/>
  <c r="G7" i="6"/>
  <c r="G6" i="6" s="1"/>
  <c r="F5" i="6"/>
  <c r="F4" i="6" s="1"/>
  <c r="E5" i="6"/>
  <c r="E4" i="6" s="1"/>
  <c r="C246" i="6"/>
  <c r="D246" i="6"/>
  <c r="E246" i="6"/>
  <c r="W248" i="6"/>
  <c r="V255" i="6"/>
  <c r="G256" i="6"/>
  <c r="F255" i="6"/>
  <c r="F247" i="6" s="1"/>
  <c r="F246" i="6" s="1"/>
  <c r="W320" i="6"/>
  <c r="W319" i="6" s="1"/>
  <c r="W332" i="6"/>
  <c r="G331" i="6"/>
  <c r="X408" i="6"/>
  <c r="F176" i="17"/>
  <c r="F163" i="17" s="1"/>
  <c r="C65" i="17"/>
  <c r="C64" i="17" s="1"/>
  <c r="C5" i="6"/>
  <c r="C4" i="6" s="1"/>
  <c r="W281" i="6"/>
  <c r="X281" i="6" s="1"/>
  <c r="D61" i="6"/>
  <c r="D60" i="6" s="1"/>
  <c r="F106" i="6"/>
  <c r="F65" i="17"/>
  <c r="F64" i="17" s="1"/>
  <c r="E61" i="6"/>
  <c r="E60" i="6" s="1"/>
  <c r="C106" i="6"/>
  <c r="G150" i="6"/>
  <c r="G145" i="6" s="1"/>
  <c r="G134" i="6" s="1"/>
  <c r="G67" i="6"/>
  <c r="G66" i="6" s="1"/>
  <c r="G61" i="6" s="1"/>
  <c r="G60" i="6" s="1"/>
  <c r="D172" i="6"/>
  <c r="D159" i="6" s="1"/>
  <c r="G203" i="6"/>
  <c r="G188" i="6" s="1"/>
  <c r="G172" i="6"/>
  <c r="W252" i="6"/>
  <c r="P324" i="17"/>
  <c r="P323" i="17" s="1"/>
  <c r="G39" i="6"/>
  <c r="G243" i="17"/>
  <c r="G242" i="17" s="1"/>
  <c r="C172" i="6"/>
  <c r="C159" i="6" s="1"/>
  <c r="E172" i="6"/>
  <c r="E159" i="6" s="1"/>
  <c r="C61" i="6"/>
  <c r="C60" i="6" s="1"/>
  <c r="G239" i="6"/>
  <c r="G238" i="6" s="1"/>
  <c r="E106" i="6"/>
  <c r="D106" i="6"/>
  <c r="G185" i="17"/>
  <c r="G277" i="6"/>
  <c r="G276" i="6" s="1"/>
  <c r="F172" i="6"/>
  <c r="F159" i="6" s="1"/>
  <c r="F61" i="6"/>
  <c r="F60" i="6" s="1"/>
  <c r="J295" i="17"/>
  <c r="G31" i="6"/>
  <c r="G30" i="6" s="1"/>
  <c r="G217" i="6"/>
  <c r="G108" i="6"/>
  <c r="G107" i="6" s="1"/>
  <c r="P27" i="17"/>
  <c r="C9" i="17"/>
  <c r="C8" i="17" s="1"/>
  <c r="J12" i="17"/>
  <c r="J11" i="17" s="1"/>
  <c r="C110" i="17"/>
  <c r="M251" i="17"/>
  <c r="S8" i="17"/>
  <c r="Q43" i="17"/>
  <c r="D9" i="17"/>
  <c r="D8" i="17" s="1"/>
  <c r="C176" i="17"/>
  <c r="C163" i="17" s="1"/>
  <c r="O10" i="17"/>
  <c r="O154" i="17"/>
  <c r="O149" i="17" s="1"/>
  <c r="O138" i="17" s="1"/>
  <c r="O110" i="17" s="1"/>
  <c r="M43" i="17"/>
  <c r="O176" i="17"/>
  <c r="M221" i="17"/>
  <c r="J103" i="17"/>
  <c r="J102" i="17" s="1"/>
  <c r="J101" i="17" s="1"/>
  <c r="J95" i="17" s="1"/>
  <c r="J81" i="17"/>
  <c r="P255" i="17"/>
  <c r="G11" i="17"/>
  <c r="G10" i="17" s="1"/>
  <c r="M154" i="17"/>
  <c r="M149" i="17" s="1"/>
  <c r="M138" i="17" s="1"/>
  <c r="M110" i="17" s="1"/>
  <c r="C250" i="17"/>
  <c r="P177" i="17"/>
  <c r="P157" i="17"/>
  <c r="P154" i="17" s="1"/>
  <c r="P149" i="17" s="1"/>
  <c r="P304" i="17"/>
  <c r="E9" i="17"/>
  <c r="E8" i="17" s="1"/>
  <c r="Q221" i="17"/>
  <c r="J313" i="17"/>
  <c r="P52" i="17"/>
  <c r="P45" i="17" s="1"/>
  <c r="P44" i="17" s="1"/>
  <c r="J87" i="17"/>
  <c r="M35" i="17"/>
  <c r="M34" i="17" s="1"/>
  <c r="P136" i="17"/>
  <c r="P131" i="17" s="1"/>
  <c r="O221" i="17"/>
  <c r="Q35" i="17"/>
  <c r="Q34" i="17" s="1"/>
  <c r="Q176" i="17"/>
  <c r="Q138" i="17"/>
  <c r="Q110" i="17" s="1"/>
  <c r="T45" i="17"/>
  <c r="T44" i="17" s="1"/>
  <c r="T43" i="17" s="1"/>
  <c r="Q251" i="17"/>
  <c r="G221" i="17"/>
  <c r="O251" i="17"/>
  <c r="J45" i="17"/>
  <c r="J44" i="17" s="1"/>
  <c r="J43" i="17" s="1"/>
  <c r="O192" i="17"/>
  <c r="Q10" i="17"/>
  <c r="J214" i="17"/>
  <c r="J23" i="17"/>
  <c r="J208" i="17"/>
  <c r="J207" i="17" s="1"/>
  <c r="P81" i="17"/>
  <c r="P71" i="17" s="1"/>
  <c r="P70" i="17" s="1"/>
  <c r="P65" i="17" s="1"/>
  <c r="P64" i="17" s="1"/>
  <c r="P243" i="17"/>
  <c r="P242" i="17" s="1"/>
  <c r="J243" i="17"/>
  <c r="J242" i="17" s="1"/>
  <c r="O71" i="17"/>
  <c r="O70" i="17" s="1"/>
  <c r="O65" i="17" s="1"/>
  <c r="O64" i="17" s="1"/>
  <c r="X403" i="6"/>
  <c r="Y403" i="6" s="1"/>
  <c r="G177" i="17"/>
  <c r="P228" i="17"/>
  <c r="J154" i="17"/>
  <c r="J149" i="17" s="1"/>
  <c r="F9" i="17"/>
  <c r="F8" i="17" s="1"/>
  <c r="G95" i="17"/>
  <c r="M71" i="17"/>
  <c r="M70" i="17" s="1"/>
  <c r="M65" i="17" s="1"/>
  <c r="M64" i="17" s="1"/>
  <c r="G43" i="17"/>
  <c r="J78" i="17"/>
  <c r="E176" i="17"/>
  <c r="E163" i="17" s="1"/>
  <c r="X395" i="6"/>
  <c r="Y395" i="6" s="1"/>
  <c r="P19" i="17"/>
  <c r="P11" i="17" s="1"/>
  <c r="P10" i="17" s="1"/>
  <c r="J324" i="17"/>
  <c r="J323" i="17" s="1"/>
  <c r="J365" i="17"/>
  <c r="O335" i="17"/>
  <c r="G154" i="17"/>
  <c r="G149" i="17" s="1"/>
  <c r="J132" i="17"/>
  <c r="J131" i="17" s="1"/>
  <c r="P39" i="17"/>
  <c r="P35" i="17" s="1"/>
  <c r="P34" i="17" s="1"/>
  <c r="E65" i="17"/>
  <c r="E64" i="17" s="1"/>
  <c r="J170" i="17"/>
  <c r="J169" i="17" s="1"/>
  <c r="P185" i="17"/>
  <c r="O35" i="17"/>
  <c r="O34" i="17" s="1"/>
  <c r="P377" i="17"/>
  <c r="G131" i="17"/>
  <c r="T11" i="17"/>
  <c r="T10" i="17" s="1"/>
  <c r="T9" i="17" s="1"/>
  <c r="J128" i="17"/>
  <c r="J127" i="17" s="1"/>
  <c r="F110" i="17"/>
  <c r="J304" i="17"/>
  <c r="Q192" i="17"/>
  <c r="P225" i="17"/>
  <c r="J35" i="17"/>
  <c r="J34" i="17" s="1"/>
  <c r="J185" i="17"/>
  <c r="J176" i="17" s="1"/>
  <c r="D65" i="17"/>
  <c r="D64" i="17" s="1"/>
  <c r="Q281" i="17"/>
  <c r="Q280" i="17" s="1"/>
  <c r="D138" i="17"/>
  <c r="D110" i="17" s="1"/>
  <c r="J348" i="17"/>
  <c r="M176" i="17"/>
  <c r="J118" i="17"/>
  <c r="J74" i="17"/>
  <c r="P299" i="17"/>
  <c r="F259" i="17"/>
  <c r="F251" i="17" s="1"/>
  <c r="F250" i="17" s="1"/>
  <c r="P353" i="17"/>
  <c r="O43" i="17"/>
  <c r="P214" i="17"/>
  <c r="J195" i="17"/>
  <c r="T57" i="17"/>
  <c r="P56" i="17"/>
  <c r="P336" i="17"/>
  <c r="E250" i="17"/>
  <c r="Q71" i="17"/>
  <c r="Q70" i="17" s="1"/>
  <c r="Q65" i="17" s="1"/>
  <c r="Q64" i="17" s="1"/>
  <c r="J139" i="17"/>
  <c r="P118" i="17"/>
  <c r="J201" i="17"/>
  <c r="P170" i="17"/>
  <c r="P169" i="17" s="1"/>
  <c r="G71" i="17"/>
  <c r="G70" i="17" s="1"/>
  <c r="P310" i="17"/>
  <c r="P309" i="17" s="1"/>
  <c r="J310" i="17"/>
  <c r="J309" i="17" s="1"/>
  <c r="G309" i="17"/>
  <c r="M192" i="17"/>
  <c r="P365" i="17"/>
  <c r="J27" i="17"/>
  <c r="M10" i="17"/>
  <c r="G35" i="17"/>
  <c r="G34" i="17" s="1"/>
  <c r="Q335" i="17"/>
  <c r="P207" i="17"/>
  <c r="M281" i="17"/>
  <c r="M280" i="17" s="1"/>
  <c r="P348" i="17"/>
  <c r="J148" i="17"/>
  <c r="J147" i="17" s="1"/>
  <c r="G147" i="17"/>
  <c r="P148" i="17"/>
  <c r="P147" i="17" s="1"/>
  <c r="J231" i="17"/>
  <c r="J221" i="17" s="1"/>
  <c r="J113" i="17"/>
  <c r="G112" i="17"/>
  <c r="G111" i="17" s="1"/>
  <c r="P113" i="17"/>
  <c r="J284" i="17"/>
  <c r="P284" i="17"/>
  <c r="G282" i="17"/>
  <c r="J353" i="17"/>
  <c r="J260" i="17"/>
  <c r="J259" i="17" s="1"/>
  <c r="J251" i="17" s="1"/>
  <c r="G259" i="17"/>
  <c r="G251" i="17" s="1"/>
  <c r="P260" i="17"/>
  <c r="P259" i="17" s="1"/>
  <c r="E110" i="17"/>
  <c r="P231" i="17"/>
  <c r="J377" i="17"/>
  <c r="G207" i="17"/>
  <c r="G192" i="17" s="1"/>
  <c r="O281" i="17"/>
  <c r="O280" i="17" s="1"/>
  <c r="D250" i="17"/>
  <c r="G335" i="17"/>
  <c r="J336" i="17"/>
  <c r="P239" i="17"/>
  <c r="P238" i="17" s="1"/>
  <c r="P237" i="17" s="1"/>
  <c r="P236" i="17" s="1"/>
  <c r="J239" i="17"/>
  <c r="J238" i="17" s="1"/>
  <c r="J237" i="17" s="1"/>
  <c r="J236" i="17" s="1"/>
  <c r="G238" i="17"/>
  <c r="G237" i="17" s="1"/>
  <c r="G236" i="17" s="1"/>
  <c r="M335" i="17"/>
  <c r="D176" i="17"/>
  <c r="D163" i="17" s="1"/>
  <c r="J285" i="17"/>
  <c r="P285" i="17"/>
  <c r="P278" i="6"/>
  <c r="AT278" i="6" s="1"/>
  <c r="O150" i="6"/>
  <c r="W242" i="6"/>
  <c r="I150" i="6"/>
  <c r="Q150" i="6"/>
  <c r="X394" i="6"/>
  <c r="Y394" i="6" s="1"/>
  <c r="X402" i="6"/>
  <c r="Y402" i="6" s="1"/>
  <c r="L150" i="6"/>
  <c r="T150" i="6"/>
  <c r="W182" i="6"/>
  <c r="N150" i="6"/>
  <c r="H150" i="6"/>
  <c r="P150" i="6"/>
  <c r="J150" i="6"/>
  <c r="R150" i="6"/>
  <c r="AV150" i="6" s="1"/>
  <c r="K150" i="6"/>
  <c r="S150" i="6"/>
  <c r="M150" i="6"/>
  <c r="W135" i="6"/>
  <c r="V77" i="6"/>
  <c r="W77" i="6"/>
  <c r="W70" i="6"/>
  <c r="W68" i="6"/>
  <c r="X342" i="6"/>
  <c r="Y342" i="6" s="1"/>
  <c r="X390" i="6"/>
  <c r="X398" i="6"/>
  <c r="Y398" i="6" s="1"/>
  <c r="X327" i="6"/>
  <c r="Y327" i="6" s="1"/>
  <c r="X396" i="6"/>
  <c r="Y396" i="6" s="1"/>
  <c r="X404" i="6"/>
  <c r="Y404" i="6" s="1"/>
  <c r="X397" i="6"/>
  <c r="Y397" i="6" s="1"/>
  <c r="X405" i="6"/>
  <c r="Y405" i="6" s="1"/>
  <c r="X391" i="6"/>
  <c r="Y391" i="6" s="1"/>
  <c r="X399" i="6"/>
  <c r="Y399" i="6" s="1"/>
  <c r="X343" i="6"/>
  <c r="Y343" i="6" s="1"/>
  <c r="X392" i="6"/>
  <c r="Y392" i="6" s="1"/>
  <c r="X400" i="6"/>
  <c r="Y400" i="6" s="1"/>
  <c r="X393" i="6"/>
  <c r="Y393" i="6" s="1"/>
  <c r="X401" i="6"/>
  <c r="Y401" i="6" s="1"/>
  <c r="X328" i="6"/>
  <c r="Y328" i="6" s="1"/>
  <c r="X325" i="6"/>
  <c r="Y325" i="6" s="1"/>
  <c r="X326" i="6"/>
  <c r="Y326" i="6" s="1"/>
  <c r="X308" i="6"/>
  <c r="X290" i="6"/>
  <c r="X307" i="6"/>
  <c r="V305" i="6"/>
  <c r="X303" i="6"/>
  <c r="X257" i="6"/>
  <c r="Y257" i="6" s="1"/>
  <c r="X265" i="6"/>
  <c r="Y265" i="6" s="1"/>
  <c r="Y307" i="6"/>
  <c r="Y308" i="6"/>
  <c r="X292" i="6"/>
  <c r="X262" i="6"/>
  <c r="Y262" i="6" s="1"/>
  <c r="X270" i="6"/>
  <c r="Y270" i="6" s="1"/>
  <c r="X282" i="6"/>
  <c r="X243" i="6"/>
  <c r="Y243" i="6" s="1"/>
  <c r="X285" i="6"/>
  <c r="Y292" i="6"/>
  <c r="Y290" i="6"/>
  <c r="X261" i="6"/>
  <c r="Y261" i="6" s="1"/>
  <c r="X269" i="6"/>
  <c r="Y269" i="6" s="1"/>
  <c r="X260" i="6"/>
  <c r="Y260" i="6" s="1"/>
  <c r="X268" i="6"/>
  <c r="Y268" i="6" s="1"/>
  <c r="X280" i="6"/>
  <c r="X266" i="6"/>
  <c r="Y266" i="6" s="1"/>
  <c r="X284" i="6"/>
  <c r="X267" i="6"/>
  <c r="Y267" i="6" s="1"/>
  <c r="X258" i="6"/>
  <c r="Y258" i="6" s="1"/>
  <c r="X264" i="6"/>
  <c r="Y264" i="6" s="1"/>
  <c r="X263" i="6"/>
  <c r="Y263" i="6" s="1"/>
  <c r="X245" i="6"/>
  <c r="N203" i="6"/>
  <c r="AR203" i="6" s="1"/>
  <c r="X206" i="6"/>
  <c r="X157" i="6"/>
  <c r="K203" i="6"/>
  <c r="AO203" i="6" s="1"/>
  <c r="S203" i="6"/>
  <c r="AW203" i="6" s="1"/>
  <c r="H203" i="6"/>
  <c r="P203" i="6"/>
  <c r="AT203" i="6" s="1"/>
  <c r="O203" i="6"/>
  <c r="AS203" i="6" s="1"/>
  <c r="L203" i="6"/>
  <c r="AP203" i="6" s="1"/>
  <c r="T203" i="6"/>
  <c r="X149" i="6"/>
  <c r="X196" i="6"/>
  <c r="J203" i="6"/>
  <c r="AN203" i="6" s="1"/>
  <c r="R203" i="6"/>
  <c r="AV203" i="6" s="1"/>
  <c r="V204" i="6"/>
  <c r="V203" i="6" s="1"/>
  <c r="I203" i="6"/>
  <c r="Q203" i="6"/>
  <c r="AU203" i="6" s="1"/>
  <c r="M203" i="6"/>
  <c r="AQ203" i="6" s="1"/>
  <c r="X158" i="6"/>
  <c r="W207" i="6"/>
  <c r="X207" i="6" s="1"/>
  <c r="X187" i="6"/>
  <c r="X205" i="6"/>
  <c r="Y196" i="6"/>
  <c r="X164" i="6"/>
  <c r="Y164" i="6" s="1"/>
  <c r="Y187" i="6"/>
  <c r="V156" i="6"/>
  <c r="X154" i="6"/>
  <c r="X155" i="6"/>
  <c r="V153" i="6"/>
  <c r="W156" i="6"/>
  <c r="X113" i="6"/>
  <c r="Y154" i="6"/>
  <c r="Y155" i="6"/>
  <c r="Y157" i="6"/>
  <c r="Y158" i="6"/>
  <c r="X71" i="6"/>
  <c r="X80" i="6"/>
  <c r="X81" i="6"/>
  <c r="X82" i="6"/>
  <c r="X79" i="6"/>
  <c r="X78" i="6"/>
  <c r="X75" i="6"/>
  <c r="X42" i="6"/>
  <c r="Y42" i="6"/>
  <c r="W161" i="6"/>
  <c r="W160" i="6" s="1"/>
  <c r="W193" i="6"/>
  <c r="W90" i="6"/>
  <c r="W48" i="6"/>
  <c r="W177" i="6"/>
  <c r="W15" i="6"/>
  <c r="W7" i="6" s="1"/>
  <c r="W313" i="6"/>
  <c r="W273" i="6"/>
  <c r="W202" i="6"/>
  <c r="W49" i="6"/>
  <c r="W272" i="6"/>
  <c r="W216" i="6"/>
  <c r="Y216" i="6" s="1"/>
  <c r="W208" i="6"/>
  <c r="X208" i="6" s="1"/>
  <c r="Y208" i="6" s="1"/>
  <c r="W144" i="6"/>
  <c r="Y144" i="6" s="1"/>
  <c r="W104" i="6"/>
  <c r="W96" i="6"/>
  <c r="X96" i="6" s="1"/>
  <c r="W88" i="6"/>
  <c r="W16" i="6"/>
  <c r="W183" i="6"/>
  <c r="W175" i="6"/>
  <c r="W174" i="6" s="1"/>
  <c r="W173" i="6" s="1"/>
  <c r="W95" i="6"/>
  <c r="X95" i="6" s="1"/>
  <c r="W382" i="6"/>
  <c r="W318" i="6"/>
  <c r="W190" i="6"/>
  <c r="W94" i="6"/>
  <c r="W253" i="6"/>
  <c r="X253" i="6" s="1"/>
  <c r="W237" i="6"/>
  <c r="W133" i="6"/>
  <c r="W125" i="6"/>
  <c r="W124" i="6" s="1"/>
  <c r="W123" i="6" s="1"/>
  <c r="W69" i="6"/>
  <c r="W212" i="6"/>
  <c r="W211" i="6" s="1"/>
  <c r="W210" i="6" s="1"/>
  <c r="W275" i="6"/>
  <c r="Y275" i="6" s="1"/>
  <c r="W179" i="6"/>
  <c r="W191" i="6"/>
  <c r="W291" i="6"/>
  <c r="W52" i="6"/>
  <c r="W74" i="6"/>
  <c r="W23" i="6"/>
  <c r="W83" i="6"/>
  <c r="W224" i="6"/>
  <c r="W344" i="6"/>
  <c r="W218" i="6"/>
  <c r="W19" i="6"/>
  <c r="W227" i="6"/>
  <c r="W35" i="6"/>
  <c r="W314" i="6"/>
  <c r="W361" i="6"/>
  <c r="W373" i="6"/>
  <c r="W251" i="6"/>
  <c r="W349" i="6"/>
  <c r="W197" i="6"/>
  <c r="W221" i="6"/>
  <c r="W300" i="6"/>
  <c r="W309" i="6"/>
  <c r="W295" i="6"/>
  <c r="W259" i="6"/>
  <c r="X259" i="6" s="1"/>
  <c r="Y259" i="6" s="1"/>
  <c r="U162" i="6" l="1"/>
  <c r="AM233" i="6"/>
  <c r="U233" i="6"/>
  <c r="U278" i="6"/>
  <c r="AM203" i="6"/>
  <c r="U203" i="6"/>
  <c r="U62" i="6"/>
  <c r="U94" i="6"/>
  <c r="U150" i="6"/>
  <c r="P232" i="6"/>
  <c r="AT232" i="6" s="1"/>
  <c r="AT424" i="6" s="1"/>
  <c r="AT233" i="6"/>
  <c r="S232" i="6"/>
  <c r="AW232" i="6" s="1"/>
  <c r="AW233" i="6"/>
  <c r="Q232" i="6"/>
  <c r="AU232" i="6" s="1"/>
  <c r="AU424" i="6" s="1"/>
  <c r="AU233" i="6"/>
  <c r="R232" i="6"/>
  <c r="AV232" i="6" s="1"/>
  <c r="AV424" i="6" s="1"/>
  <c r="AV233" i="6"/>
  <c r="V94" i="6"/>
  <c r="I232" i="6"/>
  <c r="O232" i="6"/>
  <c r="J232" i="6"/>
  <c r="L232" i="6"/>
  <c r="K232" i="6"/>
  <c r="N232" i="6"/>
  <c r="M232" i="6"/>
  <c r="G5" i="6"/>
  <c r="G4" i="6" s="1"/>
  <c r="W6" i="6"/>
  <c r="G159" i="6"/>
  <c r="Y255" i="6"/>
  <c r="Y247" i="6" s="1"/>
  <c r="W256" i="6"/>
  <c r="G255" i="6"/>
  <c r="G247" i="6" s="1"/>
  <c r="G246" i="6" s="1"/>
  <c r="Y320" i="6"/>
  <c r="Y319" i="6" s="1"/>
  <c r="Y332" i="6"/>
  <c r="Y331" i="6" s="1"/>
  <c r="W331" i="6"/>
  <c r="G176" i="17"/>
  <c r="G163" i="17" s="1"/>
  <c r="Y281" i="6"/>
  <c r="F105" i="6"/>
  <c r="F59" i="6" s="1"/>
  <c r="F3" i="6" s="1"/>
  <c r="F2" i="6" s="1"/>
  <c r="G106" i="6"/>
  <c r="C105" i="6"/>
  <c r="C59" i="6" s="1"/>
  <c r="C3" i="6" s="1"/>
  <c r="C2" i="6" s="1"/>
  <c r="P176" i="17"/>
  <c r="F109" i="17"/>
  <c r="F63" i="17" s="1"/>
  <c r="F7" i="17" s="1"/>
  <c r="F6" i="17" s="1"/>
  <c r="C109" i="17"/>
  <c r="C63" i="17" s="1"/>
  <c r="C7" i="17" s="1"/>
  <c r="C6" i="17" s="1"/>
  <c r="E105" i="6"/>
  <c r="E59" i="6" s="1"/>
  <c r="E3" i="6" s="1"/>
  <c r="E2" i="6" s="1"/>
  <c r="D105" i="6"/>
  <c r="D59" i="6" s="1"/>
  <c r="D3" i="6" s="1"/>
  <c r="D2" i="6" s="1"/>
  <c r="P112" i="17"/>
  <c r="P111" i="17" s="1"/>
  <c r="J112" i="17"/>
  <c r="J111" i="17" s="1"/>
  <c r="O9" i="17"/>
  <c r="O8" i="17" s="1"/>
  <c r="O163" i="17"/>
  <c r="O109" i="17" s="1"/>
  <c r="O63" i="17" s="1"/>
  <c r="G138" i="17"/>
  <c r="G110" i="17" s="1"/>
  <c r="T8" i="17"/>
  <c r="J10" i="17"/>
  <c r="J9" i="17" s="1"/>
  <c r="J8" i="17" s="1"/>
  <c r="M9" i="17"/>
  <c r="M8" i="17" s="1"/>
  <c r="P251" i="17"/>
  <c r="Q163" i="17"/>
  <c r="Q109" i="17" s="1"/>
  <c r="Q63" i="17" s="1"/>
  <c r="P192" i="17"/>
  <c r="P43" i="17"/>
  <c r="J71" i="17"/>
  <c r="J70" i="17" s="1"/>
  <c r="J65" i="17" s="1"/>
  <c r="J64" i="17" s="1"/>
  <c r="J192" i="17"/>
  <c r="J163" i="17" s="1"/>
  <c r="E109" i="17"/>
  <c r="E63" i="17" s="1"/>
  <c r="E7" i="17" s="1"/>
  <c r="E6" i="17" s="1"/>
  <c r="E418" i="17" s="1"/>
  <c r="Q9" i="17"/>
  <c r="Q8" i="17" s="1"/>
  <c r="G281" i="17"/>
  <c r="G280" i="17" s="1"/>
  <c r="G250" i="17" s="1"/>
  <c r="O250" i="17"/>
  <c r="J138" i="17"/>
  <c r="G65" i="17"/>
  <c r="G64" i="17" s="1"/>
  <c r="P138" i="17"/>
  <c r="D109" i="17"/>
  <c r="D63" i="17" s="1"/>
  <c r="D7" i="17" s="1"/>
  <c r="D6" i="17" s="1"/>
  <c r="D418" i="17" s="1"/>
  <c r="Q250" i="17"/>
  <c r="P221" i="17"/>
  <c r="M163" i="17"/>
  <c r="M109" i="17" s="1"/>
  <c r="M63" i="17" s="1"/>
  <c r="G9" i="17"/>
  <c r="G8" i="17" s="1"/>
  <c r="P9" i="17"/>
  <c r="P335" i="17"/>
  <c r="M250" i="17"/>
  <c r="P282" i="17"/>
  <c r="P281" i="17" s="1"/>
  <c r="P280" i="17" s="1"/>
  <c r="J282" i="17"/>
  <c r="J281" i="17" s="1"/>
  <c r="J280" i="17" s="1"/>
  <c r="J335" i="17"/>
  <c r="W278" i="6"/>
  <c r="X190" i="6"/>
  <c r="Y190" i="6"/>
  <c r="X156" i="6"/>
  <c r="Y156" i="6"/>
  <c r="X90" i="6"/>
  <c r="Y90" i="6"/>
  <c r="W40" i="6"/>
  <c r="W305" i="6"/>
  <c r="X305" i="6" s="1"/>
  <c r="W306" i="6"/>
  <c r="Y306" i="6" s="1"/>
  <c r="W114" i="6"/>
  <c r="W32" i="6"/>
  <c r="W203" i="6"/>
  <c r="W204" i="6"/>
  <c r="X204" i="6" s="1"/>
  <c r="W240" i="6"/>
  <c r="W241" i="6"/>
  <c r="W62" i="6"/>
  <c r="W63" i="6"/>
  <c r="W165" i="6"/>
  <c r="W166" i="6"/>
  <c r="W99" i="6"/>
  <c r="W153" i="6"/>
  <c r="X153" i="6" s="1"/>
  <c r="W181" i="6"/>
  <c r="W184" i="6"/>
  <c r="W162" i="6"/>
  <c r="X162" i="6" s="1"/>
  <c r="W163" i="6"/>
  <c r="X163" i="6" s="1"/>
  <c r="W235" i="6"/>
  <c r="X235" i="6" s="1"/>
  <c r="Y235" i="6" s="1"/>
  <c r="W127" i="6"/>
  <c r="W128" i="6"/>
  <c r="W217" i="6"/>
  <c r="U232" i="6" l="1"/>
  <c r="AQ232" i="6"/>
  <c r="AQ424" i="6" s="1"/>
  <c r="AO232" i="6"/>
  <c r="AO424" i="6" s="1"/>
  <c r="AP232" i="6"/>
  <c r="AP424" i="6" s="1"/>
  <c r="AN232" i="6"/>
  <c r="AN424" i="6" s="1"/>
  <c r="AS232" i="6"/>
  <c r="AS424" i="6" s="1"/>
  <c r="AM232" i="6"/>
  <c r="AM424" i="6" s="1"/>
  <c r="AR232" i="6"/>
  <c r="AR424" i="6" s="1"/>
  <c r="Y246" i="6"/>
  <c r="Y2" i="6" s="1"/>
  <c r="X256" i="6"/>
  <c r="X255" i="6" s="1"/>
  <c r="W255" i="6"/>
  <c r="W247" i="6" s="1"/>
  <c r="G105" i="6"/>
  <c r="G59" i="6" s="1"/>
  <c r="G3" i="6" s="1"/>
  <c r="G2" i="6" s="1"/>
  <c r="P110" i="17"/>
  <c r="J110" i="17"/>
  <c r="J109" i="17" s="1"/>
  <c r="J63" i="17" s="1"/>
  <c r="J7" i="17" s="1"/>
  <c r="M7" i="17"/>
  <c r="M6" i="17" s="1"/>
  <c r="Q7" i="17"/>
  <c r="Q6" i="17" s="1"/>
  <c r="P163" i="17"/>
  <c r="G109" i="17"/>
  <c r="G63" i="17" s="1"/>
  <c r="G7" i="17" s="1"/>
  <c r="G6" i="17" s="1"/>
  <c r="E419" i="17"/>
  <c r="J250" i="17"/>
  <c r="P8" i="17"/>
  <c r="O7" i="17"/>
  <c r="O6" i="17" s="1"/>
  <c r="P250" i="17"/>
  <c r="W172" i="6"/>
  <c r="X306" i="6"/>
  <c r="W41" i="6"/>
  <c r="W39" i="6"/>
  <c r="W188" i="6"/>
  <c r="W238" i="6"/>
  <c r="W277" i="6"/>
  <c r="W150" i="6"/>
  <c r="W67" i="6"/>
  <c r="W107" i="6"/>
  <c r="W108" i="6"/>
  <c r="W234" i="6"/>
  <c r="X234" i="6" s="1"/>
  <c r="W98" i="6"/>
  <c r="W30" i="6"/>
  <c r="W5" i="6" s="1"/>
  <c r="W31" i="6"/>
  <c r="W4" i="6" l="1"/>
  <c r="W159" i="6"/>
  <c r="P109" i="17"/>
  <c r="P63" i="17" s="1"/>
  <c r="P7" i="17" s="1"/>
  <c r="P6" i="17" s="1"/>
  <c r="J6" i="17"/>
  <c r="W239" i="6"/>
  <c r="W91" i="6"/>
  <c r="W97" i="6"/>
  <c r="W232" i="6"/>
  <c r="X232" i="6" s="1"/>
  <c r="W233" i="6"/>
  <c r="X233" i="6" s="1"/>
  <c r="W66" i="6"/>
  <c r="W145" i="6"/>
  <c r="W276" i="6" l="1"/>
  <c r="W246" i="6" s="1"/>
  <c r="W134" i="6"/>
  <c r="W106" i="6" l="1"/>
  <c r="W60" i="6"/>
  <c r="W61" i="6"/>
  <c r="W105" i="6" l="1"/>
  <c r="W59" i="6" l="1"/>
  <c r="W3" i="6" s="1"/>
  <c r="W2" i="6" s="1"/>
  <c r="S168" i="5" l="1"/>
  <c r="R168" i="5"/>
  <c r="Q168" i="5"/>
  <c r="P168" i="5"/>
  <c r="O168" i="5"/>
  <c r="N168" i="5"/>
  <c r="M168" i="5"/>
  <c r="L168" i="5"/>
  <c r="K168" i="5"/>
  <c r="J168" i="5"/>
  <c r="I168" i="5"/>
  <c r="H168" i="5"/>
  <c r="G168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U182" i="5"/>
  <c r="U181" i="5"/>
  <c r="U180" i="5"/>
  <c r="U179" i="5"/>
  <c r="U178" i="5"/>
  <c r="U177" i="5"/>
  <c r="U176" i="5"/>
  <c r="U175" i="5"/>
  <c r="U174" i="5"/>
  <c r="U173" i="5"/>
  <c r="U172" i="5"/>
  <c r="U171" i="5"/>
  <c r="U170" i="5"/>
  <c r="U169" i="5"/>
  <c r="U167" i="5"/>
  <c r="U165" i="5"/>
  <c r="U164" i="5"/>
  <c r="U161" i="5"/>
  <c r="U159" i="5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2" i="5"/>
  <c r="U140" i="5"/>
  <c r="U139" i="5"/>
  <c r="U138" i="5"/>
  <c r="U137" i="5"/>
  <c r="U136" i="5"/>
  <c r="U132" i="5"/>
  <c r="U131" i="5"/>
  <c r="U130" i="5"/>
  <c r="U129" i="5"/>
  <c r="U128" i="5"/>
  <c r="U127" i="5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09" i="5"/>
  <c r="U106" i="5"/>
  <c r="U104" i="5"/>
  <c r="U103" i="5"/>
  <c r="U101" i="5"/>
  <c r="U99" i="5"/>
  <c r="U98" i="5"/>
  <c r="U97" i="5"/>
  <c r="U96" i="5"/>
  <c r="U95" i="5"/>
  <c r="U94" i="5"/>
  <c r="U93" i="5"/>
  <c r="U90" i="5"/>
  <c r="U89" i="5"/>
  <c r="U88" i="5"/>
  <c r="U87" i="5"/>
  <c r="U86" i="5"/>
  <c r="U83" i="5"/>
  <c r="U80" i="5"/>
  <c r="U77" i="5"/>
  <c r="U76" i="5"/>
  <c r="U75" i="5"/>
  <c r="U74" i="5"/>
  <c r="U73" i="5"/>
  <c r="U72" i="5"/>
  <c r="U71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51" i="5"/>
  <c r="U50" i="5"/>
  <c r="U49" i="5"/>
  <c r="U47" i="5"/>
  <c r="U46" i="5"/>
  <c r="U45" i="5"/>
  <c r="U44" i="5"/>
  <c r="U43" i="5"/>
  <c r="U41" i="5"/>
  <c r="U40" i="5"/>
  <c r="U39" i="5"/>
  <c r="U38" i="5"/>
  <c r="U37" i="5"/>
  <c r="U35" i="5"/>
  <c r="U34" i="5"/>
  <c r="U33" i="5"/>
  <c r="U32" i="5"/>
  <c r="U30" i="5"/>
  <c r="U29" i="5"/>
  <c r="U28" i="5"/>
  <c r="U27" i="5"/>
  <c r="U26" i="5"/>
  <c r="U23" i="5"/>
  <c r="U22" i="5"/>
  <c r="U21" i="5"/>
  <c r="U20" i="5"/>
  <c r="U19" i="5"/>
  <c r="U18" i="5"/>
  <c r="U17" i="5"/>
  <c r="U16" i="5"/>
  <c r="U15" i="5"/>
  <c r="U14" i="5"/>
  <c r="U12" i="5"/>
  <c r="S11" i="5"/>
  <c r="S10" i="5" s="1"/>
  <c r="R11" i="5"/>
  <c r="Q11" i="5"/>
  <c r="Q10" i="5" s="1"/>
  <c r="P11" i="5"/>
  <c r="P10" i="5" s="1"/>
  <c r="N11" i="5"/>
  <c r="N10" i="5" s="1"/>
  <c r="M11" i="5"/>
  <c r="M10" i="5" s="1"/>
  <c r="L11" i="5"/>
  <c r="L10" i="5" s="1"/>
  <c r="K11" i="5"/>
  <c r="K10" i="5" s="1"/>
  <c r="J11" i="5"/>
  <c r="J10" i="5" s="1"/>
  <c r="I11" i="5"/>
  <c r="I10" i="5" s="1"/>
  <c r="H11" i="5"/>
  <c r="H10" i="5" s="1"/>
  <c r="G11" i="5"/>
  <c r="G10" i="5" s="1"/>
  <c r="V104" i="5"/>
  <c r="W104" i="5" s="1"/>
  <c r="K48" i="5"/>
  <c r="V182" i="5"/>
  <c r="W182" i="5" s="1"/>
  <c r="V181" i="5"/>
  <c r="W181" i="5" s="1"/>
  <c r="V180" i="5"/>
  <c r="W180" i="5" s="1"/>
  <c r="V179" i="5"/>
  <c r="W179" i="5" s="1"/>
  <c r="V178" i="5"/>
  <c r="W178" i="5" s="1"/>
  <c r="V177" i="5"/>
  <c r="W177" i="5" s="1"/>
  <c r="V176" i="5"/>
  <c r="W176" i="5" s="1"/>
  <c r="V175" i="5"/>
  <c r="W175" i="5" s="1"/>
  <c r="V174" i="5"/>
  <c r="W174" i="5" s="1"/>
  <c r="V173" i="5"/>
  <c r="W173" i="5" s="1"/>
  <c r="V172" i="5"/>
  <c r="W172" i="5" s="1"/>
  <c r="V171" i="5"/>
  <c r="W171" i="5" s="1"/>
  <c r="V170" i="5"/>
  <c r="W170" i="5" s="1"/>
  <c r="V165" i="5"/>
  <c r="W165" i="5" s="1"/>
  <c r="V164" i="5"/>
  <c r="W164" i="5" s="1"/>
  <c r="V161" i="5"/>
  <c r="W161" i="5" s="1"/>
  <c r="V159" i="5"/>
  <c r="W159" i="5" s="1"/>
  <c r="V158" i="5"/>
  <c r="W158" i="5" s="1"/>
  <c r="V157" i="5"/>
  <c r="W157" i="5" s="1"/>
  <c r="V156" i="5"/>
  <c r="W156" i="5" s="1"/>
  <c r="V155" i="5"/>
  <c r="W155" i="5" s="1"/>
  <c r="V154" i="5"/>
  <c r="W154" i="5" s="1"/>
  <c r="V153" i="5"/>
  <c r="W153" i="5" s="1"/>
  <c r="V152" i="5"/>
  <c r="W152" i="5" s="1"/>
  <c r="V151" i="5"/>
  <c r="W151" i="5" s="1"/>
  <c r="V150" i="5"/>
  <c r="W150" i="5" s="1"/>
  <c r="V149" i="5"/>
  <c r="W149" i="5" s="1"/>
  <c r="V148" i="5"/>
  <c r="W148" i="5" s="1"/>
  <c r="V147" i="5"/>
  <c r="W147" i="5" s="1"/>
  <c r="V146" i="5"/>
  <c r="W146" i="5" s="1"/>
  <c r="V141" i="5"/>
  <c r="W141" i="5" s="1"/>
  <c r="V140" i="5"/>
  <c r="W140" i="5" s="1"/>
  <c r="V139" i="5"/>
  <c r="W139" i="5" s="1"/>
  <c r="V138" i="5"/>
  <c r="W138" i="5" s="1"/>
  <c r="V137" i="5"/>
  <c r="W137" i="5" s="1"/>
  <c r="V136" i="5"/>
  <c r="W136" i="5" s="1"/>
  <c r="V132" i="5"/>
  <c r="W132" i="5" s="1"/>
  <c r="V131" i="5"/>
  <c r="W131" i="5" s="1"/>
  <c r="V130" i="5"/>
  <c r="W130" i="5" s="1"/>
  <c r="V129" i="5"/>
  <c r="W129" i="5" s="1"/>
  <c r="V128" i="5"/>
  <c r="W128" i="5" s="1"/>
  <c r="V127" i="5"/>
  <c r="W127" i="5" s="1"/>
  <c r="V123" i="5"/>
  <c r="W123" i="5" s="1"/>
  <c r="V122" i="5"/>
  <c r="W122" i="5" s="1"/>
  <c r="V121" i="5"/>
  <c r="W121" i="5" s="1"/>
  <c r="V120" i="5"/>
  <c r="W120" i="5" s="1"/>
  <c r="V119" i="5"/>
  <c r="W119" i="5" s="1"/>
  <c r="V118" i="5"/>
  <c r="W118" i="5" s="1"/>
  <c r="V117" i="5"/>
  <c r="W117" i="5" s="1"/>
  <c r="V116" i="5"/>
  <c r="W116" i="5" s="1"/>
  <c r="V115" i="5"/>
  <c r="W115" i="5" s="1"/>
  <c r="V114" i="5"/>
  <c r="W114" i="5" s="1"/>
  <c r="V113" i="5"/>
  <c r="W113" i="5" s="1"/>
  <c r="V112" i="5"/>
  <c r="W112" i="5" s="1"/>
  <c r="V111" i="5"/>
  <c r="W111" i="5" s="1"/>
  <c r="V109" i="5"/>
  <c r="W109" i="5" s="1"/>
  <c r="V106" i="5"/>
  <c r="W106" i="5" s="1"/>
  <c r="V100" i="5"/>
  <c r="W100" i="5" s="1"/>
  <c r="V99" i="5"/>
  <c r="W99" i="5" s="1"/>
  <c r="V98" i="5"/>
  <c r="W98" i="5" s="1"/>
  <c r="V97" i="5"/>
  <c r="W97" i="5" s="1"/>
  <c r="V96" i="5"/>
  <c r="W96" i="5" s="1"/>
  <c r="V95" i="5"/>
  <c r="W95" i="5" s="1"/>
  <c r="V94" i="5"/>
  <c r="W94" i="5" s="1"/>
  <c r="V93" i="5"/>
  <c r="W93" i="5" s="1"/>
  <c r="V90" i="5"/>
  <c r="W90" i="5" s="1"/>
  <c r="V89" i="5"/>
  <c r="W89" i="5" s="1"/>
  <c r="V88" i="5"/>
  <c r="W88" i="5" s="1"/>
  <c r="V87" i="5"/>
  <c r="W87" i="5" s="1"/>
  <c r="V86" i="5"/>
  <c r="W86" i="5" s="1"/>
  <c r="V82" i="5"/>
  <c r="W82" i="5" s="1"/>
  <c r="V78" i="5"/>
  <c r="W78" i="5" s="1"/>
  <c r="V77" i="5"/>
  <c r="W77" i="5" s="1"/>
  <c r="V76" i="5"/>
  <c r="W76" i="5" s="1"/>
  <c r="V75" i="5"/>
  <c r="W75" i="5" s="1"/>
  <c r="V74" i="5"/>
  <c r="W74" i="5" s="1"/>
  <c r="V73" i="5"/>
  <c r="W73" i="5" s="1"/>
  <c r="V72" i="5"/>
  <c r="W72" i="5" s="1"/>
  <c r="V71" i="5"/>
  <c r="W71" i="5" s="1"/>
  <c r="V70" i="5"/>
  <c r="W70" i="5" s="1"/>
  <c r="V69" i="5"/>
  <c r="W69" i="5" s="1"/>
  <c r="V68" i="5"/>
  <c r="W68" i="5" s="1"/>
  <c r="V67" i="5"/>
  <c r="W67" i="5" s="1"/>
  <c r="V66" i="5"/>
  <c r="W66" i="5" s="1"/>
  <c r="V65" i="5"/>
  <c r="W65" i="5" s="1"/>
  <c r="V64" i="5"/>
  <c r="W64" i="5" s="1"/>
  <c r="V63" i="5"/>
  <c r="W63" i="5" s="1"/>
  <c r="V62" i="5"/>
  <c r="W62" i="5" s="1"/>
  <c r="V61" i="5"/>
  <c r="W61" i="5" s="1"/>
  <c r="V60" i="5"/>
  <c r="W60" i="5" s="1"/>
  <c r="V59" i="5"/>
  <c r="W59" i="5" s="1"/>
  <c r="V58" i="5"/>
  <c r="W58" i="5" s="1"/>
  <c r="V57" i="5"/>
  <c r="W57" i="5" s="1"/>
  <c r="V56" i="5"/>
  <c r="W56" i="5" s="1"/>
  <c r="V55" i="5"/>
  <c r="W55" i="5" s="1"/>
  <c r="V54" i="5"/>
  <c r="W54" i="5" s="1"/>
  <c r="V53" i="5"/>
  <c r="W53" i="5" s="1"/>
  <c r="V52" i="5"/>
  <c r="W52" i="5" s="1"/>
  <c r="V51" i="5"/>
  <c r="W51" i="5" s="1"/>
  <c r="V50" i="5"/>
  <c r="W50" i="5" s="1"/>
  <c r="V49" i="5"/>
  <c r="W49" i="5" s="1"/>
  <c r="V48" i="5"/>
  <c r="W48" i="5" s="1"/>
  <c r="V47" i="5"/>
  <c r="W47" i="5" s="1"/>
  <c r="V46" i="5"/>
  <c r="W46" i="5" s="1"/>
  <c r="V45" i="5"/>
  <c r="W45" i="5" s="1"/>
  <c r="V44" i="5"/>
  <c r="W44" i="5" s="1"/>
  <c r="V43" i="5"/>
  <c r="W43" i="5" s="1"/>
  <c r="V41" i="5"/>
  <c r="W41" i="5" s="1"/>
  <c r="V40" i="5"/>
  <c r="W40" i="5" s="1"/>
  <c r="V39" i="5"/>
  <c r="W39" i="5" s="1"/>
  <c r="V38" i="5"/>
  <c r="W38" i="5" s="1"/>
  <c r="V37" i="5"/>
  <c r="W37" i="5" s="1"/>
  <c r="V35" i="5"/>
  <c r="W35" i="5" s="1"/>
  <c r="V34" i="5"/>
  <c r="W34" i="5" s="1"/>
  <c r="V33" i="5"/>
  <c r="W33" i="5" s="1"/>
  <c r="V32" i="5"/>
  <c r="W32" i="5" s="1"/>
  <c r="V30" i="5"/>
  <c r="W30" i="5" s="1"/>
  <c r="V29" i="5"/>
  <c r="W29" i="5" s="1"/>
  <c r="V28" i="5"/>
  <c r="V27" i="5"/>
  <c r="W27" i="5" s="1"/>
  <c r="V26" i="5"/>
  <c r="W26" i="5" s="1"/>
  <c r="V23" i="5"/>
  <c r="W23" i="5" s="1"/>
  <c r="V22" i="5"/>
  <c r="W22" i="5" s="1"/>
  <c r="V21" i="5"/>
  <c r="W21" i="5" s="1"/>
  <c r="V20" i="5"/>
  <c r="W20" i="5" s="1"/>
  <c r="V19" i="5"/>
  <c r="W19" i="5" s="1"/>
  <c r="V18" i="5"/>
  <c r="W18" i="5" s="1"/>
  <c r="V17" i="5"/>
  <c r="W17" i="5" s="1"/>
  <c r="V16" i="5"/>
  <c r="W16" i="5" s="1"/>
  <c r="V15" i="5"/>
  <c r="W15" i="5" s="1"/>
  <c r="V14" i="5"/>
  <c r="W14" i="5" s="1"/>
  <c r="V13" i="5"/>
  <c r="W13" i="5" s="1"/>
  <c r="V12" i="5"/>
  <c r="W12" i="5" s="1"/>
  <c r="R10" i="5" l="1"/>
  <c r="U163" i="5"/>
  <c r="T168" i="5"/>
  <c r="T166" i="5"/>
  <c r="U48" i="5"/>
  <c r="T48" i="5"/>
  <c r="AW48" i="5" s="1"/>
  <c r="T163" i="5"/>
  <c r="W28" i="5"/>
  <c r="K162" i="5"/>
  <c r="M162" i="5"/>
  <c r="I162" i="5"/>
  <c r="Q162" i="5"/>
  <c r="U166" i="5"/>
  <c r="S162" i="5"/>
  <c r="O162" i="5"/>
  <c r="H162" i="5"/>
  <c r="P162" i="5"/>
  <c r="V80" i="5"/>
  <c r="W80" i="5" s="1"/>
  <c r="V79" i="5"/>
  <c r="W79" i="5" s="1"/>
  <c r="U168" i="5"/>
  <c r="V11" i="5"/>
  <c r="V163" i="5"/>
  <c r="J162" i="5"/>
  <c r="R162" i="5"/>
  <c r="L162" i="5"/>
  <c r="N162" i="5"/>
  <c r="V103" i="5"/>
  <c r="V167" i="5"/>
  <c r="W167" i="5" s="1"/>
  <c r="V142" i="5"/>
  <c r="W142" i="5" s="1"/>
  <c r="V101" i="5"/>
  <c r="W101" i="5" s="1"/>
  <c r="V83" i="5"/>
  <c r="W83" i="5" s="1"/>
  <c r="V85" i="5"/>
  <c r="W85" i="5" s="1"/>
  <c r="V25" i="5"/>
  <c r="W25" i="5" s="1"/>
  <c r="V42" i="5"/>
  <c r="W42" i="5" s="1"/>
  <c r="V36" i="5"/>
  <c r="W36" i="5" s="1"/>
  <c r="V31" i="5"/>
  <c r="W31" i="5" s="1"/>
  <c r="T162" i="5" l="1"/>
  <c r="U162" i="5"/>
  <c r="V102" i="5"/>
  <c r="W102" i="5" s="1"/>
  <c r="W103" i="5"/>
  <c r="W163" i="5"/>
  <c r="V10" i="5"/>
  <c r="W11" i="5"/>
  <c r="V166" i="5"/>
  <c r="W166" i="5" s="1"/>
  <c r="V110" i="5"/>
  <c r="W110" i="5" s="1"/>
  <c r="V135" i="5"/>
  <c r="W135" i="5" s="1"/>
  <c r="V145" i="5"/>
  <c r="W145" i="5" s="1"/>
  <c r="V168" i="5"/>
  <c r="W168" i="5" s="1"/>
  <c r="V169" i="5"/>
  <c r="W169" i="5" s="1"/>
  <c r="V91" i="5"/>
  <c r="W91" i="5" s="1"/>
  <c r="V92" i="5"/>
  <c r="W92" i="5" s="1"/>
  <c r="V162" i="5" l="1"/>
  <c r="W10" i="5"/>
  <c r="V84" i="5"/>
  <c r="W84" i="5" s="1"/>
  <c r="V108" i="5"/>
  <c r="W108" i="5" s="1"/>
  <c r="V24" i="5"/>
  <c r="V143" i="5"/>
  <c r="W143" i="5" s="1"/>
  <c r="V144" i="5"/>
  <c r="W144" i="5" s="1"/>
  <c r="V134" i="5"/>
  <c r="W134" i="5" s="1"/>
  <c r="W162" i="5" l="1"/>
  <c r="V9" i="5"/>
  <c r="W24" i="5"/>
  <c r="V133" i="5"/>
  <c r="W133" i="5" s="1"/>
  <c r="V107" i="5"/>
  <c r="W107" i="5" s="1"/>
  <c r="V8" i="5" l="1"/>
  <c r="W9" i="5"/>
  <c r="V126" i="5"/>
  <c r="W126" i="5" s="1"/>
  <c r="V105" i="5"/>
  <c r="W105" i="5" s="1"/>
  <c r="V7" i="5" l="1"/>
  <c r="W8" i="5"/>
  <c r="V81" i="5"/>
  <c r="W81" i="5" s="1"/>
  <c r="V125" i="5"/>
  <c r="V6" i="5" l="1"/>
  <c r="W6" i="5" s="1"/>
  <c r="W7" i="5"/>
  <c r="V124" i="5"/>
  <c r="W124" i="5" s="1"/>
  <c r="W125" i="5"/>
  <c r="V5" i="5" l="1"/>
  <c r="V4" i="5" l="1"/>
  <c r="W5" i="5"/>
  <c r="V3" i="5" l="1"/>
  <c r="W4" i="5"/>
  <c r="V2" i="5" l="1"/>
  <c r="W2" i="5" s="1"/>
  <c r="W3" i="5"/>
  <c r="AG126" i="6"/>
  <c r="AS126" i="6" s="1"/>
  <c r="AI172" i="6"/>
  <c r="AI272" i="6"/>
  <c r="AG272" i="6"/>
  <c r="AF272" i="6"/>
  <c r="AE272" i="6"/>
  <c r="AD272" i="6"/>
  <c r="AC272" i="6"/>
  <c r="AB272" i="6"/>
  <c r="AA272" i="6"/>
  <c r="T272" i="6"/>
  <c r="T271" i="6" s="1"/>
  <c r="S272" i="6"/>
  <c r="S271" i="6" s="1"/>
  <c r="R272" i="6"/>
  <c r="Q272" i="6"/>
  <c r="Q271" i="6" s="1"/>
  <c r="P272" i="6"/>
  <c r="P271" i="6" s="1"/>
  <c r="O272" i="6"/>
  <c r="O271" i="6" s="1"/>
  <c r="N272" i="6"/>
  <c r="N271" i="6" s="1"/>
  <c r="M272" i="6"/>
  <c r="M271" i="6" s="1"/>
  <c r="L272" i="6"/>
  <c r="L271" i="6" s="1"/>
  <c r="K272" i="6"/>
  <c r="K271" i="6" s="1"/>
  <c r="J272" i="6"/>
  <c r="J271" i="6" s="1"/>
  <c r="AG290" i="6"/>
  <c r="AS290" i="6" s="1"/>
  <c r="AG289" i="6"/>
  <c r="AS289" i="6" s="1"/>
  <c r="AI274" i="6"/>
  <c r="AH274" i="6"/>
  <c r="AE274" i="6"/>
  <c r="AD274" i="6"/>
  <c r="AC274" i="6"/>
  <c r="AB274" i="6"/>
  <c r="AA274" i="6"/>
  <c r="AH273" i="6"/>
  <c r="AH263" i="6"/>
  <c r="AT263" i="6" s="1"/>
  <c r="AH180" i="6"/>
  <c r="AT180" i="6" s="1"/>
  <c r="AI156" i="6"/>
  <c r="AU156" i="6" s="1"/>
  <c r="AH156" i="6"/>
  <c r="AT156" i="6" s="1"/>
  <c r="AG156" i="6"/>
  <c r="AS156" i="6" s="1"/>
  <c r="AF156" i="6"/>
  <c r="AR156" i="6" s="1"/>
  <c r="AE156" i="6"/>
  <c r="AQ156" i="6" s="1"/>
  <c r="AD156" i="6"/>
  <c r="AP156" i="6" s="1"/>
  <c r="AB156" i="6"/>
  <c r="AN156" i="6" s="1"/>
  <c r="AA156" i="6"/>
  <c r="AM156" i="6" s="1"/>
  <c r="AC156" i="6"/>
  <c r="AO156" i="6" s="1"/>
  <c r="AI153" i="6"/>
  <c r="AU153" i="6" s="1"/>
  <c r="AH153" i="6"/>
  <c r="AT153" i="6" s="1"/>
  <c r="AG153" i="6"/>
  <c r="AS153" i="6" s="1"/>
  <c r="AE153" i="6"/>
  <c r="AQ153" i="6" s="1"/>
  <c r="AD153" i="6"/>
  <c r="AP153" i="6" s="1"/>
  <c r="AC153" i="6"/>
  <c r="AO153" i="6" s="1"/>
  <c r="AB153" i="6"/>
  <c r="AN153" i="6" s="1"/>
  <c r="AA153" i="6"/>
  <c r="AM153" i="6" s="1"/>
  <c r="AH146" i="6"/>
  <c r="AI143" i="6"/>
  <c r="AH143" i="6"/>
  <c r="AF143" i="6"/>
  <c r="AE143" i="6"/>
  <c r="AD143" i="6"/>
  <c r="AC143" i="6"/>
  <c r="AB143" i="6"/>
  <c r="AA143" i="6"/>
  <c r="AG144" i="6"/>
  <c r="AS144" i="6" s="1"/>
  <c r="AI135" i="6"/>
  <c r="AU135" i="6" s="1"/>
  <c r="AH135" i="6"/>
  <c r="AT135" i="6" s="1"/>
  <c r="AG135" i="6"/>
  <c r="AS135" i="6" s="1"/>
  <c r="AE135" i="6"/>
  <c r="AQ135" i="6" s="1"/>
  <c r="AD135" i="6"/>
  <c r="AP135" i="6" s="1"/>
  <c r="AC135" i="6"/>
  <c r="AO135" i="6" s="1"/>
  <c r="AB135" i="6"/>
  <c r="AN135" i="6" s="1"/>
  <c r="AA135" i="6"/>
  <c r="AM135" i="6" s="1"/>
  <c r="AI74" i="6"/>
  <c r="AH74" i="6"/>
  <c r="AG74" i="6"/>
  <c r="AF74" i="6"/>
  <c r="AD74" i="6"/>
  <c r="AC74" i="6"/>
  <c r="AB74" i="6"/>
  <c r="AA74" i="6"/>
  <c r="AI70" i="6"/>
  <c r="AU70" i="6" s="1"/>
  <c r="AH70" i="6"/>
  <c r="AT70" i="6" s="1"/>
  <c r="AG70" i="6"/>
  <c r="AS70" i="6" s="1"/>
  <c r="AF70" i="6"/>
  <c r="AR70" i="6" s="1"/>
  <c r="AE70" i="6"/>
  <c r="AQ70" i="6" s="1"/>
  <c r="AD70" i="6"/>
  <c r="AP70" i="6" s="1"/>
  <c r="AC70" i="6"/>
  <c r="AO70" i="6" s="1"/>
  <c r="AB70" i="6"/>
  <c r="AN70" i="6" s="1"/>
  <c r="AH68" i="6"/>
  <c r="AT68" i="6" s="1"/>
  <c r="AG68" i="6"/>
  <c r="AS68" i="6" s="1"/>
  <c r="AF68" i="6"/>
  <c r="AR68" i="6" s="1"/>
  <c r="AE68" i="6"/>
  <c r="AQ68" i="6" s="1"/>
  <c r="AD68" i="6"/>
  <c r="AP68" i="6" s="1"/>
  <c r="AC68" i="6"/>
  <c r="AO68" i="6" s="1"/>
  <c r="AB68" i="6"/>
  <c r="AN68" i="6" s="1"/>
  <c r="AA68" i="6"/>
  <c r="AM68" i="6" s="1"/>
  <c r="AI69" i="6"/>
  <c r="D191" i="16"/>
  <c r="K184" i="16"/>
  <c r="K183" i="16"/>
  <c r="L180" i="16"/>
  <c r="K182" i="16"/>
  <c r="L179" i="16"/>
  <c r="K181" i="16"/>
  <c r="L178" i="16"/>
  <c r="L177" i="16"/>
  <c r="K179" i="16"/>
  <c r="L176" i="16"/>
  <c r="L175" i="16"/>
  <c r="K177" i="16"/>
  <c r="L174" i="16"/>
  <c r="K176" i="16"/>
  <c r="L173" i="16"/>
  <c r="K175" i="16"/>
  <c r="L172" i="16"/>
  <c r="K174" i="16"/>
  <c r="L171" i="16"/>
  <c r="K173" i="16"/>
  <c r="L170" i="16"/>
  <c r="C172" i="16"/>
  <c r="L169" i="16"/>
  <c r="L168" i="16"/>
  <c r="E165" i="16"/>
  <c r="C169" i="16"/>
  <c r="K168" i="16"/>
  <c r="L165" i="16"/>
  <c r="K167" i="16"/>
  <c r="C166" i="16"/>
  <c r="L163" i="16"/>
  <c r="L162" i="16"/>
  <c r="L159" i="16"/>
  <c r="L158" i="16"/>
  <c r="L157" i="16"/>
  <c r="L156" i="16"/>
  <c r="K157" i="16"/>
  <c r="L155" i="16"/>
  <c r="L154" i="16"/>
  <c r="K155" i="16"/>
  <c r="L153" i="16"/>
  <c r="L152" i="16"/>
  <c r="K153" i="16"/>
  <c r="L151" i="16"/>
  <c r="L150" i="16"/>
  <c r="L149" i="16"/>
  <c r="L148" i="16"/>
  <c r="K149" i="16"/>
  <c r="L147" i="16"/>
  <c r="C148" i="16"/>
  <c r="K145" i="16"/>
  <c r="L144" i="16"/>
  <c r="C144" i="16"/>
  <c r="L142" i="16"/>
  <c r="L141" i="16"/>
  <c r="K141" i="16"/>
  <c r="L140" i="16"/>
  <c r="K140" i="16"/>
  <c r="L139" i="16"/>
  <c r="K139" i="16"/>
  <c r="C138" i="16"/>
  <c r="L135" i="16"/>
  <c r="K135" i="16"/>
  <c r="L134" i="16"/>
  <c r="K134" i="16"/>
  <c r="L133" i="16"/>
  <c r="K133" i="16"/>
  <c r="L132" i="16"/>
  <c r="K132" i="16"/>
  <c r="L131" i="16"/>
  <c r="L130" i="16"/>
  <c r="K130" i="16"/>
  <c r="L126" i="16"/>
  <c r="L125" i="16"/>
  <c r="K125" i="16"/>
  <c r="L124" i="16"/>
  <c r="L123" i="16"/>
  <c r="K123" i="16"/>
  <c r="L122" i="16"/>
  <c r="K122" i="16"/>
  <c r="L121" i="16"/>
  <c r="K121" i="16"/>
  <c r="L120" i="16"/>
  <c r="K120" i="16"/>
  <c r="L119" i="16"/>
  <c r="K119" i="16"/>
  <c r="L118" i="16"/>
  <c r="K118" i="16"/>
  <c r="L117" i="16"/>
  <c r="K117" i="16"/>
  <c r="L116" i="16"/>
  <c r="K116" i="16"/>
  <c r="L115" i="16"/>
  <c r="K115" i="16"/>
  <c r="L114" i="16"/>
  <c r="K114" i="16"/>
  <c r="C113" i="16"/>
  <c r="L112" i="16"/>
  <c r="K112" i="16"/>
  <c r="L109" i="16"/>
  <c r="K109" i="16"/>
  <c r="L106" i="16"/>
  <c r="C105" i="16"/>
  <c r="L104" i="16"/>
  <c r="C103" i="16"/>
  <c r="L102" i="16"/>
  <c r="K102" i="16"/>
  <c r="L101" i="16"/>
  <c r="K101" i="16"/>
  <c r="L100" i="16"/>
  <c r="K100" i="16"/>
  <c r="L99" i="16"/>
  <c r="K99" i="16"/>
  <c r="L98" i="16"/>
  <c r="K98" i="16"/>
  <c r="L97" i="16"/>
  <c r="K97" i="16"/>
  <c r="L96" i="16"/>
  <c r="K96" i="16"/>
  <c r="E87" i="16"/>
  <c r="C95" i="16"/>
  <c r="L93" i="16"/>
  <c r="K93" i="16"/>
  <c r="L92" i="16"/>
  <c r="K92" i="16"/>
  <c r="L91" i="16"/>
  <c r="K91" i="16"/>
  <c r="L90" i="16"/>
  <c r="K90" i="16"/>
  <c r="L89" i="16"/>
  <c r="K89" i="16"/>
  <c r="C88" i="16"/>
  <c r="L86" i="16"/>
  <c r="K85" i="16"/>
  <c r="E85" i="16"/>
  <c r="C85" i="16"/>
  <c r="F85" i="16" s="1"/>
  <c r="J85" i="16" s="1"/>
  <c r="L83" i="16"/>
  <c r="K83" i="16"/>
  <c r="C82" i="16"/>
  <c r="L80" i="16"/>
  <c r="L79" i="16"/>
  <c r="L78" i="16"/>
  <c r="L77" i="16"/>
  <c r="L76" i="16"/>
  <c r="L75" i="16"/>
  <c r="L74" i="16"/>
  <c r="L73" i="16"/>
  <c r="L72" i="16"/>
  <c r="L71" i="16"/>
  <c r="L70" i="16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L53" i="16"/>
  <c r="L52" i="16"/>
  <c r="L51" i="16"/>
  <c r="L50" i="16"/>
  <c r="L49" i="16"/>
  <c r="L48" i="16"/>
  <c r="L47" i="16"/>
  <c r="L46" i="16"/>
  <c r="C45" i="16"/>
  <c r="L44" i="16"/>
  <c r="K44" i="16"/>
  <c r="L43" i="16"/>
  <c r="K43" i="16"/>
  <c r="L42" i="16"/>
  <c r="K42" i="16"/>
  <c r="L41" i="16"/>
  <c r="K41" i="16"/>
  <c r="L40" i="16"/>
  <c r="K40" i="16"/>
  <c r="C39" i="16"/>
  <c r="L38" i="16"/>
  <c r="K38" i="16"/>
  <c r="L37" i="16"/>
  <c r="K37" i="16"/>
  <c r="L36" i="16"/>
  <c r="K36" i="16"/>
  <c r="L35" i="16"/>
  <c r="K35" i="16"/>
  <c r="E27" i="16"/>
  <c r="E12" i="16" s="1"/>
  <c r="E11" i="16" s="1"/>
  <c r="E10" i="16" s="1"/>
  <c r="E9" i="16" s="1"/>
  <c r="C34" i="16"/>
  <c r="F27" i="16" s="1"/>
  <c r="J27" i="16" s="1"/>
  <c r="L33" i="16"/>
  <c r="K33" i="16"/>
  <c r="L32" i="16"/>
  <c r="L31" i="16"/>
  <c r="L30" i="16"/>
  <c r="L29" i="16"/>
  <c r="K29" i="16"/>
  <c r="C28" i="16"/>
  <c r="L26" i="16"/>
  <c r="K26" i="16"/>
  <c r="L25" i="16"/>
  <c r="K25" i="16"/>
  <c r="L24" i="16"/>
  <c r="K24" i="16"/>
  <c r="L23" i="16"/>
  <c r="K23" i="16"/>
  <c r="L22" i="16"/>
  <c r="K22" i="16"/>
  <c r="L21" i="16"/>
  <c r="K21" i="16"/>
  <c r="L20" i="16"/>
  <c r="K20" i="16"/>
  <c r="L19" i="16"/>
  <c r="K19" i="16"/>
  <c r="L18" i="16"/>
  <c r="K18" i="16"/>
  <c r="L17" i="16"/>
  <c r="K17" i="16"/>
  <c r="L16" i="16"/>
  <c r="K16" i="16"/>
  <c r="L15" i="16"/>
  <c r="F15" i="16"/>
  <c r="F14" i="16" s="1"/>
  <c r="F13" i="16" s="1"/>
  <c r="C14" i="16"/>
  <c r="C13" i="16" s="1"/>
  <c r="AV182" i="5"/>
  <c r="AV181" i="5"/>
  <c r="AV180" i="5"/>
  <c r="AV179" i="5"/>
  <c r="AV178" i="5"/>
  <c r="AV177" i="5"/>
  <c r="AV176" i="5"/>
  <c r="AV175" i="5"/>
  <c r="AV174" i="5"/>
  <c r="AV173" i="5"/>
  <c r="AV172" i="5"/>
  <c r="AV171" i="5"/>
  <c r="AV170" i="5"/>
  <c r="AV167" i="5"/>
  <c r="AV166" i="5"/>
  <c r="AV165" i="5"/>
  <c r="AV164" i="5"/>
  <c r="AV191" i="5" s="1"/>
  <c r="AV161" i="5"/>
  <c r="AV159" i="5"/>
  <c r="AV158" i="5"/>
  <c r="AV157" i="5"/>
  <c r="AV156" i="5"/>
  <c r="AV155" i="5"/>
  <c r="AV154" i="5"/>
  <c r="AV153" i="5"/>
  <c r="AV152" i="5"/>
  <c r="AV151" i="5"/>
  <c r="AV150" i="5"/>
  <c r="AV149" i="5"/>
  <c r="AV148" i="5"/>
  <c r="AV147" i="5"/>
  <c r="AV146" i="5"/>
  <c r="AV142" i="5"/>
  <c r="AV140" i="5"/>
  <c r="AV139" i="5"/>
  <c r="AV138" i="5"/>
  <c r="AV137" i="5"/>
  <c r="AV136" i="5"/>
  <c r="AV132" i="5"/>
  <c r="AV131" i="5"/>
  <c r="AV130" i="5"/>
  <c r="AV129" i="5"/>
  <c r="AV128" i="5"/>
  <c r="AV127" i="5"/>
  <c r="AV123" i="5"/>
  <c r="AV122" i="5"/>
  <c r="AV121" i="5"/>
  <c r="AV120" i="5"/>
  <c r="AV119" i="5"/>
  <c r="AV118" i="5"/>
  <c r="AV117" i="5"/>
  <c r="AV116" i="5"/>
  <c r="AV115" i="5"/>
  <c r="AV114" i="5"/>
  <c r="AV113" i="5"/>
  <c r="AV112" i="5"/>
  <c r="AV111" i="5"/>
  <c r="AV109" i="5"/>
  <c r="AV106" i="5"/>
  <c r="AV104" i="5"/>
  <c r="AV103" i="5"/>
  <c r="AV101" i="5"/>
  <c r="AV99" i="5"/>
  <c r="AV98" i="5"/>
  <c r="AV97" i="5"/>
  <c r="AV96" i="5"/>
  <c r="AV95" i="5"/>
  <c r="AV94" i="5"/>
  <c r="AV93" i="5"/>
  <c r="AV90" i="5"/>
  <c r="AV89" i="5"/>
  <c r="AV88" i="5"/>
  <c r="AV87" i="5"/>
  <c r="AV86" i="5"/>
  <c r="AV83" i="5"/>
  <c r="AV80" i="5"/>
  <c r="AV77" i="5"/>
  <c r="AV76" i="5"/>
  <c r="AV75" i="5"/>
  <c r="AV74" i="5"/>
  <c r="AV73" i="5"/>
  <c r="AV72" i="5"/>
  <c r="AV71" i="5"/>
  <c r="AV70" i="5"/>
  <c r="AV69" i="5"/>
  <c r="AV68" i="5"/>
  <c r="AV67" i="5"/>
  <c r="AV66" i="5"/>
  <c r="AV65" i="5"/>
  <c r="AV64" i="5"/>
  <c r="AV63" i="5"/>
  <c r="AV62" i="5"/>
  <c r="AV61" i="5"/>
  <c r="AV60" i="5"/>
  <c r="AV59" i="5"/>
  <c r="AV58" i="5"/>
  <c r="AV57" i="5"/>
  <c r="AV56" i="5"/>
  <c r="AV55" i="5"/>
  <c r="AV54" i="5"/>
  <c r="AV53" i="5"/>
  <c r="AV52" i="5"/>
  <c r="AV51" i="5"/>
  <c r="AV50" i="5"/>
  <c r="AV49" i="5"/>
  <c r="AV48" i="5"/>
  <c r="AV47" i="5"/>
  <c r="AV46" i="5"/>
  <c r="AV45" i="5"/>
  <c r="AV44" i="5"/>
  <c r="AV43" i="5"/>
  <c r="AV41" i="5"/>
  <c r="AV40" i="5"/>
  <c r="AV39" i="5"/>
  <c r="AV38" i="5"/>
  <c r="AV37" i="5"/>
  <c r="AV35" i="5"/>
  <c r="AV34" i="5"/>
  <c r="AV33" i="5"/>
  <c r="AV32" i="5"/>
  <c r="AV30" i="5"/>
  <c r="AV29" i="5"/>
  <c r="AV28" i="5"/>
  <c r="AV27" i="5"/>
  <c r="AV26" i="5"/>
  <c r="AV23" i="5"/>
  <c r="AV22" i="5"/>
  <c r="AV21" i="5"/>
  <c r="AV20" i="5"/>
  <c r="AV19" i="5"/>
  <c r="AV18" i="5"/>
  <c r="AV17" i="5"/>
  <c r="AV16" i="5"/>
  <c r="AV15" i="5"/>
  <c r="AV14" i="5"/>
  <c r="AV13" i="5"/>
  <c r="AV12" i="5"/>
  <c r="AU182" i="5"/>
  <c r="AT182" i="5"/>
  <c r="AS182" i="5"/>
  <c r="AR182" i="5"/>
  <c r="AQ182" i="5"/>
  <c r="AP182" i="5"/>
  <c r="AO182" i="5"/>
  <c r="AN182" i="5"/>
  <c r="AM182" i="5"/>
  <c r="AU181" i="5"/>
  <c r="AT181" i="5"/>
  <c r="AS181" i="5"/>
  <c r="AR181" i="5"/>
  <c r="AQ181" i="5"/>
  <c r="AP181" i="5"/>
  <c r="AO181" i="5"/>
  <c r="AN181" i="5"/>
  <c r="AM181" i="5"/>
  <c r="AU180" i="5"/>
  <c r="AT180" i="5"/>
  <c r="AS180" i="5"/>
  <c r="AR180" i="5"/>
  <c r="AQ180" i="5"/>
  <c r="AP180" i="5"/>
  <c r="AO180" i="5"/>
  <c r="AU179" i="5"/>
  <c r="AT179" i="5"/>
  <c r="AS179" i="5"/>
  <c r="AR179" i="5"/>
  <c r="AQ179" i="5"/>
  <c r="AP179" i="5"/>
  <c r="AO179" i="5"/>
  <c r="AM179" i="5"/>
  <c r="AU178" i="5"/>
  <c r="AT178" i="5"/>
  <c r="AS178" i="5"/>
  <c r="AR178" i="5"/>
  <c r="AQ178" i="5"/>
  <c r="AP178" i="5"/>
  <c r="AO178" i="5"/>
  <c r="AN178" i="5"/>
  <c r="AM178" i="5"/>
  <c r="AU177" i="5"/>
  <c r="AT177" i="5"/>
  <c r="AS177" i="5"/>
  <c r="AR177" i="5"/>
  <c r="AQ177" i="5"/>
  <c r="AP177" i="5"/>
  <c r="AO177" i="5"/>
  <c r="AN177" i="5"/>
  <c r="AM177" i="5"/>
  <c r="AU176" i="5"/>
  <c r="AT176" i="5"/>
  <c r="AS176" i="5"/>
  <c r="AR176" i="5"/>
  <c r="AQ176" i="5"/>
  <c r="AP176" i="5"/>
  <c r="AO176" i="5"/>
  <c r="AN176" i="5"/>
  <c r="AM176" i="5"/>
  <c r="AU175" i="5"/>
  <c r="AT175" i="5"/>
  <c r="AS175" i="5"/>
  <c r="AR175" i="5"/>
  <c r="AQ175" i="5"/>
  <c r="AP175" i="5"/>
  <c r="AO175" i="5"/>
  <c r="AN175" i="5"/>
  <c r="AM175" i="5"/>
  <c r="AU174" i="5"/>
  <c r="AT174" i="5"/>
  <c r="AS174" i="5"/>
  <c r="AR174" i="5"/>
  <c r="AQ174" i="5"/>
  <c r="AP174" i="5"/>
  <c r="AO174" i="5"/>
  <c r="AN174" i="5"/>
  <c r="AM174" i="5"/>
  <c r="AU173" i="5"/>
  <c r="AT173" i="5"/>
  <c r="AS173" i="5"/>
  <c r="AR173" i="5"/>
  <c r="AQ173" i="5"/>
  <c r="AP173" i="5"/>
  <c r="AO173" i="5"/>
  <c r="AN173" i="5"/>
  <c r="AM173" i="5"/>
  <c r="AU172" i="5"/>
  <c r="AT172" i="5"/>
  <c r="AS172" i="5"/>
  <c r="AR172" i="5"/>
  <c r="AQ172" i="5"/>
  <c r="AP172" i="5"/>
  <c r="AN172" i="5"/>
  <c r="AM172" i="5"/>
  <c r="AU171" i="5"/>
  <c r="AT171" i="5"/>
  <c r="AS171" i="5"/>
  <c r="AR171" i="5"/>
  <c r="AQ171" i="5"/>
  <c r="AP171" i="5"/>
  <c r="AO171" i="5"/>
  <c r="AN171" i="5"/>
  <c r="AM171" i="5"/>
  <c r="AU170" i="5"/>
  <c r="AT170" i="5"/>
  <c r="AS170" i="5"/>
  <c r="AR170" i="5"/>
  <c r="AQ170" i="5"/>
  <c r="AP170" i="5"/>
  <c r="AO170" i="5"/>
  <c r="AN170" i="5"/>
  <c r="AM170" i="5"/>
  <c r="AU169" i="5"/>
  <c r="AT169" i="5"/>
  <c r="AU167" i="5"/>
  <c r="AT167" i="5"/>
  <c r="AS167" i="5"/>
  <c r="AR167" i="5"/>
  <c r="AQ167" i="5"/>
  <c r="AP167" i="5"/>
  <c r="AO167" i="5"/>
  <c r="AN167" i="5"/>
  <c r="AM167" i="5"/>
  <c r="AU166" i="5"/>
  <c r="AT166" i="5"/>
  <c r="AS166" i="5"/>
  <c r="AR166" i="5"/>
  <c r="AQ166" i="5"/>
  <c r="AP166" i="5"/>
  <c r="AO166" i="5"/>
  <c r="AN166" i="5"/>
  <c r="AU165" i="5"/>
  <c r="AT165" i="5"/>
  <c r="AS165" i="5"/>
  <c r="AR165" i="5"/>
  <c r="AQ165" i="5"/>
  <c r="AP165" i="5"/>
  <c r="AO165" i="5"/>
  <c r="AN165" i="5"/>
  <c r="AM165" i="5"/>
  <c r="AU164" i="5"/>
  <c r="AU191" i="5" s="1"/>
  <c r="AT164" i="5"/>
  <c r="AT191" i="5" s="1"/>
  <c r="AS164" i="5"/>
  <c r="AR164" i="5"/>
  <c r="AQ164" i="5"/>
  <c r="AP164" i="5"/>
  <c r="AN164" i="5"/>
  <c r="AM164" i="5"/>
  <c r="AU161" i="5"/>
  <c r="AT161" i="5"/>
  <c r="AS161" i="5"/>
  <c r="AR161" i="5"/>
  <c r="AQ161" i="5"/>
  <c r="AP161" i="5"/>
  <c r="AO161" i="5"/>
  <c r="AN161" i="5"/>
  <c r="AM161" i="5"/>
  <c r="AU159" i="5"/>
  <c r="AT159" i="5"/>
  <c r="AS159" i="5"/>
  <c r="AR159" i="5"/>
  <c r="AQ159" i="5"/>
  <c r="AP159" i="5"/>
  <c r="AO159" i="5"/>
  <c r="AN159" i="5"/>
  <c r="AM159" i="5"/>
  <c r="AU158" i="5"/>
  <c r="AT158" i="5"/>
  <c r="AS158" i="5"/>
  <c r="AR158" i="5"/>
  <c r="AQ158" i="5"/>
  <c r="AP158" i="5"/>
  <c r="AO158" i="5"/>
  <c r="AN158" i="5"/>
  <c r="AM158" i="5"/>
  <c r="AU157" i="5"/>
  <c r="AT157" i="5"/>
  <c r="AS157" i="5"/>
  <c r="AR157" i="5"/>
  <c r="AQ157" i="5"/>
  <c r="AP157" i="5"/>
  <c r="AO157" i="5"/>
  <c r="AN157" i="5"/>
  <c r="AM157" i="5"/>
  <c r="AU156" i="5"/>
  <c r="AT156" i="5"/>
  <c r="AS156" i="5"/>
  <c r="AR156" i="5"/>
  <c r="AQ156" i="5"/>
  <c r="AP156" i="5"/>
  <c r="AO156" i="5"/>
  <c r="AN156" i="5"/>
  <c r="AM156" i="5"/>
  <c r="AU155" i="5"/>
  <c r="AT155" i="5"/>
  <c r="AS155" i="5"/>
  <c r="AR155" i="5"/>
  <c r="AQ155" i="5"/>
  <c r="AP155" i="5"/>
  <c r="AO155" i="5"/>
  <c r="AN155" i="5"/>
  <c r="AM155" i="5"/>
  <c r="AU154" i="5"/>
  <c r="AT154" i="5"/>
  <c r="AS154" i="5"/>
  <c r="AR154" i="5"/>
  <c r="AQ154" i="5"/>
  <c r="AP154" i="5"/>
  <c r="AO154" i="5"/>
  <c r="AN154" i="5"/>
  <c r="AM154" i="5"/>
  <c r="AU153" i="5"/>
  <c r="AT153" i="5"/>
  <c r="AS153" i="5"/>
  <c r="AR153" i="5"/>
  <c r="AQ153" i="5"/>
  <c r="AP153" i="5"/>
  <c r="AO153" i="5"/>
  <c r="AN153" i="5"/>
  <c r="AM153" i="5"/>
  <c r="AU152" i="5"/>
  <c r="AT152" i="5"/>
  <c r="AS152" i="5"/>
  <c r="AR152" i="5"/>
  <c r="AQ152" i="5"/>
  <c r="AP152" i="5"/>
  <c r="AO152" i="5"/>
  <c r="AM152" i="5"/>
  <c r="AU151" i="5"/>
  <c r="AT151" i="5"/>
  <c r="AS151" i="5"/>
  <c r="AR151" i="5"/>
  <c r="AQ151" i="5"/>
  <c r="AP151" i="5"/>
  <c r="AO151" i="5"/>
  <c r="AN151" i="5"/>
  <c r="AM151" i="5"/>
  <c r="AU150" i="5"/>
  <c r="AT150" i="5"/>
  <c r="AS150" i="5"/>
  <c r="AR150" i="5"/>
  <c r="AQ150" i="5"/>
  <c r="AP150" i="5"/>
  <c r="AO150" i="5"/>
  <c r="AN150" i="5"/>
  <c r="AM150" i="5"/>
  <c r="AU149" i="5"/>
  <c r="AT149" i="5"/>
  <c r="AS149" i="5"/>
  <c r="AR149" i="5"/>
  <c r="AQ149" i="5"/>
  <c r="AP149" i="5"/>
  <c r="AO149" i="5"/>
  <c r="AN149" i="5"/>
  <c r="AM149" i="5"/>
  <c r="AU148" i="5"/>
  <c r="AT148" i="5"/>
  <c r="AS148" i="5"/>
  <c r="AR148" i="5"/>
  <c r="AQ148" i="5"/>
  <c r="AP148" i="5"/>
  <c r="AO148" i="5"/>
  <c r="AN148" i="5"/>
  <c r="AM148" i="5"/>
  <c r="AU147" i="5"/>
  <c r="AT147" i="5"/>
  <c r="AS147" i="5"/>
  <c r="AR147" i="5"/>
  <c r="AQ147" i="5"/>
  <c r="AP147" i="5"/>
  <c r="AO147" i="5"/>
  <c r="AN147" i="5"/>
  <c r="AM147" i="5"/>
  <c r="AU146" i="5"/>
  <c r="AT146" i="5"/>
  <c r="AS146" i="5"/>
  <c r="AR146" i="5"/>
  <c r="AQ146" i="5"/>
  <c r="AP146" i="5"/>
  <c r="AO146" i="5"/>
  <c r="AN146" i="5"/>
  <c r="AM146" i="5"/>
  <c r="AU142" i="5"/>
  <c r="AT142" i="5"/>
  <c r="AS142" i="5"/>
  <c r="AR142" i="5"/>
  <c r="AQ142" i="5"/>
  <c r="AP142" i="5"/>
  <c r="AO142" i="5"/>
  <c r="AN142" i="5"/>
  <c r="AM142" i="5"/>
  <c r="AU140" i="5"/>
  <c r="AT140" i="5"/>
  <c r="AS140" i="5"/>
  <c r="AR140" i="5"/>
  <c r="AQ140" i="5"/>
  <c r="AP140" i="5"/>
  <c r="AO140" i="5"/>
  <c r="AN140" i="5"/>
  <c r="AM140" i="5"/>
  <c r="AU139" i="5"/>
  <c r="AT139" i="5"/>
  <c r="AS139" i="5"/>
  <c r="AR139" i="5"/>
  <c r="AQ139" i="5"/>
  <c r="AP139" i="5"/>
  <c r="AO139" i="5"/>
  <c r="AM139" i="5"/>
  <c r="AU138" i="5"/>
  <c r="AT138" i="5"/>
  <c r="AS138" i="5"/>
  <c r="AR138" i="5"/>
  <c r="AQ138" i="5"/>
  <c r="AP138" i="5"/>
  <c r="AO138" i="5"/>
  <c r="AN138" i="5"/>
  <c r="AM138" i="5"/>
  <c r="AU137" i="5"/>
  <c r="AT137" i="5"/>
  <c r="AS137" i="5"/>
  <c r="AR137" i="5"/>
  <c r="AQ137" i="5"/>
  <c r="AP137" i="5"/>
  <c r="AO137" i="5"/>
  <c r="AN137" i="5"/>
  <c r="AM137" i="5"/>
  <c r="AU136" i="5"/>
  <c r="AT136" i="5"/>
  <c r="AS136" i="5"/>
  <c r="AR136" i="5"/>
  <c r="AQ136" i="5"/>
  <c r="AP136" i="5"/>
  <c r="AO136" i="5"/>
  <c r="AN136" i="5"/>
  <c r="AM136" i="5"/>
  <c r="AU132" i="5"/>
  <c r="AT132" i="5"/>
  <c r="AS132" i="5"/>
  <c r="AR132" i="5"/>
  <c r="AQ132" i="5"/>
  <c r="AP132" i="5"/>
  <c r="AO132" i="5"/>
  <c r="AN132" i="5"/>
  <c r="AM132" i="5"/>
  <c r="AU131" i="5"/>
  <c r="AT131" i="5"/>
  <c r="AS131" i="5"/>
  <c r="AR131" i="5"/>
  <c r="AQ131" i="5"/>
  <c r="AP131" i="5"/>
  <c r="AO131" i="5"/>
  <c r="AN131" i="5"/>
  <c r="AM131" i="5"/>
  <c r="AU130" i="5"/>
  <c r="AT130" i="5"/>
  <c r="AR130" i="5"/>
  <c r="AQ130" i="5"/>
  <c r="AP130" i="5"/>
  <c r="AO130" i="5"/>
  <c r="AN130" i="5"/>
  <c r="AM130" i="5"/>
  <c r="AU129" i="5"/>
  <c r="AT129" i="5"/>
  <c r="AS129" i="5"/>
  <c r="AR129" i="5"/>
  <c r="AQ129" i="5"/>
  <c r="AP129" i="5"/>
  <c r="AO129" i="5"/>
  <c r="AN129" i="5"/>
  <c r="AM129" i="5"/>
  <c r="AU128" i="5"/>
  <c r="AT128" i="5"/>
  <c r="AS128" i="5"/>
  <c r="AR128" i="5"/>
  <c r="AQ128" i="5"/>
  <c r="AP128" i="5"/>
  <c r="AO128" i="5"/>
  <c r="AN128" i="5"/>
  <c r="AM128" i="5"/>
  <c r="AU127" i="5"/>
  <c r="AT127" i="5"/>
  <c r="AS127" i="5"/>
  <c r="AR127" i="5"/>
  <c r="AQ127" i="5"/>
  <c r="AP127" i="5"/>
  <c r="AO127" i="5"/>
  <c r="AN127" i="5"/>
  <c r="AM127" i="5"/>
  <c r="AU123" i="5"/>
  <c r="AT123" i="5"/>
  <c r="AS123" i="5"/>
  <c r="AR123" i="5"/>
  <c r="AQ123" i="5"/>
  <c r="AP123" i="5"/>
  <c r="AO123" i="5"/>
  <c r="AN123" i="5"/>
  <c r="AM123" i="5"/>
  <c r="AU122" i="5"/>
  <c r="AT122" i="5"/>
  <c r="AS122" i="5"/>
  <c r="AR122" i="5"/>
  <c r="AQ122" i="5"/>
  <c r="AP122" i="5"/>
  <c r="AO122" i="5"/>
  <c r="AN122" i="5"/>
  <c r="AM122" i="5"/>
  <c r="AU121" i="5"/>
  <c r="AT121" i="5"/>
  <c r="AS121" i="5"/>
  <c r="AR121" i="5"/>
  <c r="AQ121" i="5"/>
  <c r="AP121" i="5"/>
  <c r="AO121" i="5"/>
  <c r="AN121" i="5"/>
  <c r="AM121" i="5"/>
  <c r="AU120" i="5"/>
  <c r="AT120" i="5"/>
  <c r="AS120" i="5"/>
  <c r="AR120" i="5"/>
  <c r="AQ120" i="5"/>
  <c r="AP120" i="5"/>
  <c r="AO120" i="5"/>
  <c r="AN120" i="5"/>
  <c r="AU119" i="5"/>
  <c r="AT119" i="5"/>
  <c r="AS119" i="5"/>
  <c r="AR119" i="5"/>
  <c r="AQ119" i="5"/>
  <c r="AP119" i="5"/>
  <c r="AO119" i="5"/>
  <c r="AN119" i="5"/>
  <c r="AM119" i="5"/>
  <c r="AU118" i="5"/>
  <c r="AT118" i="5"/>
  <c r="AS118" i="5"/>
  <c r="AR118" i="5"/>
  <c r="AQ118" i="5"/>
  <c r="AP118" i="5"/>
  <c r="AO118" i="5"/>
  <c r="AN118" i="5"/>
  <c r="AM118" i="5"/>
  <c r="AU117" i="5"/>
  <c r="AT117" i="5"/>
  <c r="AS117" i="5"/>
  <c r="AR117" i="5"/>
  <c r="AQ117" i="5"/>
  <c r="AP117" i="5"/>
  <c r="AO117" i="5"/>
  <c r="AN117" i="5"/>
  <c r="AM117" i="5"/>
  <c r="AU116" i="5"/>
  <c r="AT116" i="5"/>
  <c r="AS116" i="5"/>
  <c r="AR116" i="5"/>
  <c r="AQ116" i="5"/>
  <c r="AP116" i="5"/>
  <c r="AO116" i="5"/>
  <c r="AN116" i="5"/>
  <c r="AM116" i="5"/>
  <c r="AU115" i="5"/>
  <c r="AT115" i="5"/>
  <c r="AS115" i="5"/>
  <c r="AR115" i="5"/>
  <c r="AQ115" i="5"/>
  <c r="AP115" i="5"/>
  <c r="AO115" i="5"/>
  <c r="AN115" i="5"/>
  <c r="AM115" i="5"/>
  <c r="AU114" i="5"/>
  <c r="AT114" i="5"/>
  <c r="AS114" i="5"/>
  <c r="AR114" i="5"/>
  <c r="AQ114" i="5"/>
  <c r="AP114" i="5"/>
  <c r="AO114" i="5"/>
  <c r="AN114" i="5"/>
  <c r="AM114" i="5"/>
  <c r="AU113" i="5"/>
  <c r="AT113" i="5"/>
  <c r="AS113" i="5"/>
  <c r="AR113" i="5"/>
  <c r="AQ113" i="5"/>
  <c r="AP113" i="5"/>
  <c r="AO113" i="5"/>
  <c r="AN113" i="5"/>
  <c r="AM113" i="5"/>
  <c r="AU112" i="5"/>
  <c r="AT112" i="5"/>
  <c r="AS112" i="5"/>
  <c r="AR112" i="5"/>
  <c r="AQ112" i="5"/>
  <c r="AP112" i="5"/>
  <c r="AO112" i="5"/>
  <c r="AM112" i="5"/>
  <c r="AU111" i="5"/>
  <c r="AT111" i="5"/>
  <c r="AS111" i="5"/>
  <c r="AR111" i="5"/>
  <c r="AQ111" i="5"/>
  <c r="AP111" i="5"/>
  <c r="AO111" i="5"/>
  <c r="AN111" i="5"/>
  <c r="AM111" i="5"/>
  <c r="AU109" i="5"/>
  <c r="AT109" i="5"/>
  <c r="AS109" i="5"/>
  <c r="AR109" i="5"/>
  <c r="AQ109" i="5"/>
  <c r="AP109" i="5"/>
  <c r="AO109" i="5"/>
  <c r="AN109" i="5"/>
  <c r="AM109" i="5"/>
  <c r="AU106" i="5"/>
  <c r="AT106" i="5"/>
  <c r="AS106" i="5"/>
  <c r="AR106" i="5"/>
  <c r="AQ106" i="5"/>
  <c r="AP106" i="5"/>
  <c r="AO106" i="5"/>
  <c r="AN106" i="5"/>
  <c r="AM106" i="5"/>
  <c r="AU104" i="5"/>
  <c r="AT104" i="5"/>
  <c r="AS104" i="5"/>
  <c r="AR104" i="5"/>
  <c r="AQ104" i="5"/>
  <c r="AP104" i="5"/>
  <c r="AO104" i="5"/>
  <c r="AN104" i="5"/>
  <c r="AM104" i="5"/>
  <c r="AU103" i="5"/>
  <c r="AT103" i="5"/>
  <c r="AS103" i="5"/>
  <c r="AR103" i="5"/>
  <c r="AQ103" i="5"/>
  <c r="AP103" i="5"/>
  <c r="AO103" i="5"/>
  <c r="AN103" i="5"/>
  <c r="AM103" i="5"/>
  <c r="AU101" i="5"/>
  <c r="AT101" i="5"/>
  <c r="AS101" i="5"/>
  <c r="AR101" i="5"/>
  <c r="AQ101" i="5"/>
  <c r="AP101" i="5"/>
  <c r="AO101" i="5"/>
  <c r="AN101" i="5"/>
  <c r="AM101" i="5"/>
  <c r="AU99" i="5"/>
  <c r="AT99" i="5"/>
  <c r="AS99" i="5"/>
  <c r="AR99" i="5"/>
  <c r="AQ99" i="5"/>
  <c r="AP99" i="5"/>
  <c r="AO99" i="5"/>
  <c r="AN99" i="5"/>
  <c r="AM99" i="5"/>
  <c r="AU98" i="5"/>
  <c r="AT98" i="5"/>
  <c r="AS98" i="5"/>
  <c r="AR98" i="5"/>
  <c r="AQ98" i="5"/>
  <c r="AP98" i="5"/>
  <c r="AO98" i="5"/>
  <c r="AN98" i="5"/>
  <c r="AM98" i="5"/>
  <c r="AU97" i="5"/>
  <c r="AT97" i="5"/>
  <c r="AS97" i="5"/>
  <c r="AR97" i="5"/>
  <c r="AQ97" i="5"/>
  <c r="AP97" i="5"/>
  <c r="AN97" i="5"/>
  <c r="AM97" i="5"/>
  <c r="AU96" i="5"/>
  <c r="AT96" i="5"/>
  <c r="AS96" i="5"/>
  <c r="AR96" i="5"/>
  <c r="AQ96" i="5"/>
  <c r="AO96" i="5"/>
  <c r="AN96" i="5"/>
  <c r="AM96" i="5"/>
  <c r="AU95" i="5"/>
  <c r="AT95" i="5"/>
  <c r="AS95" i="5"/>
  <c r="AR95" i="5"/>
  <c r="AQ95" i="5"/>
  <c r="AP95" i="5"/>
  <c r="AO95" i="5"/>
  <c r="AN95" i="5"/>
  <c r="AM95" i="5"/>
  <c r="AU94" i="5"/>
  <c r="AT94" i="5"/>
  <c r="AS94" i="5"/>
  <c r="AR94" i="5"/>
  <c r="AQ94" i="5"/>
  <c r="AP94" i="5"/>
  <c r="AO94" i="5"/>
  <c r="AN94" i="5"/>
  <c r="AM94" i="5"/>
  <c r="AU93" i="5"/>
  <c r="AT93" i="5"/>
  <c r="AS93" i="5"/>
  <c r="AR93" i="5"/>
  <c r="AQ93" i="5"/>
  <c r="AP93" i="5"/>
  <c r="AO93" i="5"/>
  <c r="AN93" i="5"/>
  <c r="AM93" i="5"/>
  <c r="AU90" i="5"/>
  <c r="AT90" i="5"/>
  <c r="AS90" i="5"/>
  <c r="AR90" i="5"/>
  <c r="AQ90" i="5"/>
  <c r="AP90" i="5"/>
  <c r="AO90" i="5"/>
  <c r="AN90" i="5"/>
  <c r="AM90" i="5"/>
  <c r="AU89" i="5"/>
  <c r="AT89" i="5"/>
  <c r="AS89" i="5"/>
  <c r="AR89" i="5"/>
  <c r="AP89" i="5"/>
  <c r="AO89" i="5"/>
  <c r="AN89" i="5"/>
  <c r="AM89" i="5"/>
  <c r="AU88" i="5"/>
  <c r="AT88" i="5"/>
  <c r="AS88" i="5"/>
  <c r="AR88" i="5"/>
  <c r="AQ88" i="5"/>
  <c r="AP88" i="5"/>
  <c r="AO88" i="5"/>
  <c r="AN88" i="5"/>
  <c r="AM88" i="5"/>
  <c r="AU87" i="5"/>
  <c r="AT87" i="5"/>
  <c r="AS87" i="5"/>
  <c r="AR87" i="5"/>
  <c r="AQ87" i="5"/>
  <c r="AP87" i="5"/>
  <c r="AO87" i="5"/>
  <c r="AN87" i="5"/>
  <c r="AM87" i="5"/>
  <c r="AU86" i="5"/>
  <c r="AT86" i="5"/>
  <c r="AS86" i="5"/>
  <c r="AQ86" i="5"/>
  <c r="AP86" i="5"/>
  <c r="AO86" i="5"/>
  <c r="AN86" i="5"/>
  <c r="AM86" i="5"/>
  <c r="AU83" i="5"/>
  <c r="AT83" i="5"/>
  <c r="AS83" i="5"/>
  <c r="AR83" i="5"/>
  <c r="AQ83" i="5"/>
  <c r="AP83" i="5"/>
  <c r="AO83" i="5"/>
  <c r="AN83" i="5"/>
  <c r="AM83" i="5"/>
  <c r="AU80" i="5"/>
  <c r="AT80" i="5"/>
  <c r="AS80" i="5"/>
  <c r="AR80" i="5"/>
  <c r="AQ80" i="5"/>
  <c r="AP80" i="5"/>
  <c r="AN80" i="5"/>
  <c r="AU77" i="5"/>
  <c r="AT77" i="5"/>
  <c r="AS77" i="5"/>
  <c r="AQ77" i="5"/>
  <c r="AP77" i="5"/>
  <c r="AO77" i="5"/>
  <c r="AN77" i="5"/>
  <c r="AM77" i="5"/>
  <c r="AU76" i="5"/>
  <c r="AT76" i="5"/>
  <c r="AS76" i="5"/>
  <c r="AR76" i="5"/>
  <c r="AQ76" i="5"/>
  <c r="AP76" i="5"/>
  <c r="AO76" i="5"/>
  <c r="AN76" i="5"/>
  <c r="AM76" i="5"/>
  <c r="AU75" i="5"/>
  <c r="AT75" i="5"/>
  <c r="AS75" i="5"/>
  <c r="AR75" i="5"/>
  <c r="AQ75" i="5"/>
  <c r="AP75" i="5"/>
  <c r="AO75" i="5"/>
  <c r="AN75" i="5"/>
  <c r="AM75" i="5"/>
  <c r="AU74" i="5"/>
  <c r="AT74" i="5"/>
  <c r="AS74" i="5"/>
  <c r="AR74" i="5"/>
  <c r="AQ74" i="5"/>
  <c r="AP74" i="5"/>
  <c r="AO74" i="5"/>
  <c r="AN74" i="5"/>
  <c r="AM74" i="5"/>
  <c r="AU73" i="5"/>
  <c r="AT73" i="5"/>
  <c r="AS73" i="5"/>
  <c r="AR73" i="5"/>
  <c r="AQ73" i="5"/>
  <c r="AP73" i="5"/>
  <c r="AO73" i="5"/>
  <c r="AN73" i="5"/>
  <c r="AM73" i="5"/>
  <c r="AU72" i="5"/>
  <c r="AT72" i="5"/>
  <c r="AS72" i="5"/>
  <c r="AR72" i="5"/>
  <c r="AQ72" i="5"/>
  <c r="AP72" i="5"/>
  <c r="AO72" i="5"/>
  <c r="AN72" i="5"/>
  <c r="AM72" i="5"/>
  <c r="AU71" i="5"/>
  <c r="AT71" i="5"/>
  <c r="AS71" i="5"/>
  <c r="AR71" i="5"/>
  <c r="AQ71" i="5"/>
  <c r="AP71" i="5"/>
  <c r="AO71" i="5"/>
  <c r="AN71" i="5"/>
  <c r="AM71" i="5"/>
  <c r="AU70" i="5"/>
  <c r="AT70" i="5"/>
  <c r="AS70" i="5"/>
  <c r="AR70" i="5"/>
  <c r="AQ70" i="5"/>
  <c r="AP70" i="5"/>
  <c r="AO70" i="5"/>
  <c r="AN70" i="5"/>
  <c r="AM70" i="5"/>
  <c r="AU69" i="5"/>
  <c r="AT69" i="5"/>
  <c r="AS69" i="5"/>
  <c r="AR69" i="5"/>
  <c r="AQ69" i="5"/>
  <c r="AP69" i="5"/>
  <c r="AO69" i="5"/>
  <c r="AN69" i="5"/>
  <c r="AM69" i="5"/>
  <c r="AU68" i="5"/>
  <c r="AT68" i="5"/>
  <c r="AS68" i="5"/>
  <c r="AR68" i="5"/>
  <c r="AQ68" i="5"/>
  <c r="AP68" i="5"/>
  <c r="AO68" i="5"/>
  <c r="AN68" i="5"/>
  <c r="AM68" i="5"/>
  <c r="AU67" i="5"/>
  <c r="AT67" i="5"/>
  <c r="AS67" i="5"/>
  <c r="AR67" i="5"/>
  <c r="AQ67" i="5"/>
  <c r="AP67" i="5"/>
  <c r="AO67" i="5"/>
  <c r="AN67" i="5"/>
  <c r="AM67" i="5"/>
  <c r="AU66" i="5"/>
  <c r="AT66" i="5"/>
  <c r="AS66" i="5"/>
  <c r="AR66" i="5"/>
  <c r="AQ66" i="5"/>
  <c r="AP66" i="5"/>
  <c r="AO66" i="5"/>
  <c r="AN66" i="5"/>
  <c r="AM66" i="5"/>
  <c r="AU65" i="5"/>
  <c r="AT65" i="5"/>
  <c r="AS65" i="5"/>
  <c r="AR65" i="5"/>
  <c r="AQ65" i="5"/>
  <c r="AP65" i="5"/>
  <c r="AO65" i="5"/>
  <c r="AN65" i="5"/>
  <c r="AM65" i="5"/>
  <c r="AU64" i="5"/>
  <c r="AT64" i="5"/>
  <c r="AS64" i="5"/>
  <c r="AR64" i="5"/>
  <c r="AQ64" i="5"/>
  <c r="AP64" i="5"/>
  <c r="AO64" i="5"/>
  <c r="AN64" i="5"/>
  <c r="AM64" i="5"/>
  <c r="AU63" i="5"/>
  <c r="AT63" i="5"/>
  <c r="AS63" i="5"/>
  <c r="AR63" i="5"/>
  <c r="AQ63" i="5"/>
  <c r="AP63" i="5"/>
  <c r="AO63" i="5"/>
  <c r="AN63" i="5"/>
  <c r="AM63" i="5"/>
  <c r="AU62" i="5"/>
  <c r="AT62" i="5"/>
  <c r="AS62" i="5"/>
  <c r="AR62" i="5"/>
  <c r="AQ62" i="5"/>
  <c r="AP62" i="5"/>
  <c r="AO62" i="5"/>
  <c r="AN62" i="5"/>
  <c r="AM62" i="5"/>
  <c r="AU61" i="5"/>
  <c r="AT61" i="5"/>
  <c r="AS61" i="5"/>
  <c r="AR61" i="5"/>
  <c r="AQ61" i="5"/>
  <c r="AP61" i="5"/>
  <c r="AO61" i="5"/>
  <c r="AN61" i="5"/>
  <c r="AM61" i="5"/>
  <c r="AU60" i="5"/>
  <c r="AT60" i="5"/>
  <c r="AS60" i="5"/>
  <c r="AR60" i="5"/>
  <c r="AQ60" i="5"/>
  <c r="AP60" i="5"/>
  <c r="AO60" i="5"/>
  <c r="AN60" i="5"/>
  <c r="AM60" i="5"/>
  <c r="AU59" i="5"/>
  <c r="AS59" i="5"/>
  <c r="AR59" i="5"/>
  <c r="AQ59" i="5"/>
  <c r="AP59" i="5"/>
  <c r="AO59" i="5"/>
  <c r="AN59" i="5"/>
  <c r="AM59" i="5"/>
  <c r="AU58" i="5"/>
  <c r="AT58" i="5"/>
  <c r="AS58" i="5"/>
  <c r="AR58" i="5"/>
  <c r="AQ58" i="5"/>
  <c r="AP58" i="5"/>
  <c r="AO58" i="5"/>
  <c r="AN58" i="5"/>
  <c r="AM58" i="5"/>
  <c r="AU57" i="5"/>
  <c r="AT57" i="5"/>
  <c r="AS57" i="5"/>
  <c r="AR57" i="5"/>
  <c r="AQ57" i="5"/>
  <c r="AP57" i="5"/>
  <c r="AO57" i="5"/>
  <c r="AN57" i="5"/>
  <c r="AM57" i="5"/>
  <c r="AU56" i="5"/>
  <c r="AT56" i="5"/>
  <c r="AS56" i="5"/>
  <c r="AR56" i="5"/>
  <c r="AQ56" i="5"/>
  <c r="AP56" i="5"/>
  <c r="AO56" i="5"/>
  <c r="AN56" i="5"/>
  <c r="AM56" i="5"/>
  <c r="AU55" i="5"/>
  <c r="AT55" i="5"/>
  <c r="AS55" i="5"/>
  <c r="AR55" i="5"/>
  <c r="AQ55" i="5"/>
  <c r="AP55" i="5"/>
  <c r="AO55" i="5"/>
  <c r="AN55" i="5"/>
  <c r="AM55" i="5"/>
  <c r="AU54" i="5"/>
  <c r="AT54" i="5"/>
  <c r="AS54" i="5"/>
  <c r="AR54" i="5"/>
  <c r="AQ54" i="5"/>
  <c r="AP54" i="5"/>
  <c r="AO54" i="5"/>
  <c r="AN54" i="5"/>
  <c r="AM54" i="5"/>
  <c r="AU53" i="5"/>
  <c r="AT53" i="5"/>
  <c r="AS53" i="5"/>
  <c r="AR53" i="5"/>
  <c r="AQ53" i="5"/>
  <c r="AP53" i="5"/>
  <c r="AO53" i="5"/>
  <c r="AN53" i="5"/>
  <c r="AM53" i="5"/>
  <c r="AU52" i="5"/>
  <c r="AT52" i="5"/>
  <c r="AS52" i="5"/>
  <c r="AR52" i="5"/>
  <c r="AQ52" i="5"/>
  <c r="AP52" i="5"/>
  <c r="AO52" i="5"/>
  <c r="AN52" i="5"/>
  <c r="AM52" i="5"/>
  <c r="AU51" i="5"/>
  <c r="AT51" i="5"/>
  <c r="AS51" i="5"/>
  <c r="AR51" i="5"/>
  <c r="AQ51" i="5"/>
  <c r="AP51" i="5"/>
  <c r="AO51" i="5"/>
  <c r="AN51" i="5"/>
  <c r="AM51" i="5"/>
  <c r="AU50" i="5"/>
  <c r="AT50" i="5"/>
  <c r="AS50" i="5"/>
  <c r="AR50" i="5"/>
  <c r="AQ50" i="5"/>
  <c r="AP50" i="5"/>
  <c r="AO50" i="5"/>
  <c r="AN50" i="5"/>
  <c r="AM50" i="5"/>
  <c r="AU49" i="5"/>
  <c r="AT49" i="5"/>
  <c r="AS49" i="5"/>
  <c r="AR49" i="5"/>
  <c r="AQ49" i="5"/>
  <c r="AP49" i="5"/>
  <c r="AO49" i="5"/>
  <c r="AN49" i="5"/>
  <c r="AM49" i="5"/>
  <c r="AU48" i="5"/>
  <c r="AT48" i="5"/>
  <c r="AS48" i="5"/>
  <c r="AR48" i="5"/>
  <c r="AQ48" i="5"/>
  <c r="AP48" i="5"/>
  <c r="AO48" i="5"/>
  <c r="AN48" i="5"/>
  <c r="AM48" i="5"/>
  <c r="AU47" i="5"/>
  <c r="AT47" i="5"/>
  <c r="AS47" i="5"/>
  <c r="AR47" i="5"/>
  <c r="AQ47" i="5"/>
  <c r="AP47" i="5"/>
  <c r="AO47" i="5"/>
  <c r="AN47" i="5"/>
  <c r="AM47" i="5"/>
  <c r="AU46" i="5"/>
  <c r="AT46" i="5"/>
  <c r="AS46" i="5"/>
  <c r="AR46" i="5"/>
  <c r="AQ46" i="5"/>
  <c r="AP46" i="5"/>
  <c r="AO46" i="5"/>
  <c r="AN46" i="5"/>
  <c r="AM46" i="5"/>
  <c r="AU45" i="5"/>
  <c r="AT45" i="5"/>
  <c r="AS45" i="5"/>
  <c r="AR45" i="5"/>
  <c r="AQ45" i="5"/>
  <c r="AP45" i="5"/>
  <c r="AO45" i="5"/>
  <c r="AN45" i="5"/>
  <c r="AM45" i="5"/>
  <c r="AU44" i="5"/>
  <c r="AT44" i="5"/>
  <c r="AS44" i="5"/>
  <c r="AR44" i="5"/>
  <c r="AQ44" i="5"/>
  <c r="AP44" i="5"/>
  <c r="AO44" i="5"/>
  <c r="AN44" i="5"/>
  <c r="AM44" i="5"/>
  <c r="AU43" i="5"/>
  <c r="AT43" i="5"/>
  <c r="AS43" i="5"/>
  <c r="AR43" i="5"/>
  <c r="AQ43" i="5"/>
  <c r="AP43" i="5"/>
  <c r="AO43" i="5"/>
  <c r="AN43" i="5"/>
  <c r="AM43" i="5"/>
  <c r="AU41" i="5"/>
  <c r="AT41" i="5"/>
  <c r="AS41" i="5"/>
  <c r="AR41" i="5"/>
  <c r="AQ41" i="5"/>
  <c r="AP41" i="5"/>
  <c r="AO41" i="5"/>
  <c r="AN41" i="5"/>
  <c r="AM41" i="5"/>
  <c r="AU40" i="5"/>
  <c r="AT40" i="5"/>
  <c r="AS40" i="5"/>
  <c r="AR40" i="5"/>
  <c r="AQ40" i="5"/>
  <c r="AP40" i="5"/>
  <c r="AO40" i="5"/>
  <c r="AN40" i="5"/>
  <c r="AM40" i="5"/>
  <c r="AU39" i="5"/>
  <c r="AT39" i="5"/>
  <c r="AS39" i="5"/>
  <c r="AR39" i="5"/>
  <c r="AQ39" i="5"/>
  <c r="AP39" i="5"/>
  <c r="AO39" i="5"/>
  <c r="AN39" i="5"/>
  <c r="AM39" i="5"/>
  <c r="AU38" i="5"/>
  <c r="AT38" i="5"/>
  <c r="AS38" i="5"/>
  <c r="AR38" i="5"/>
  <c r="AQ38" i="5"/>
  <c r="AP38" i="5"/>
  <c r="AO38" i="5"/>
  <c r="AN38" i="5"/>
  <c r="AM38" i="5"/>
  <c r="AU37" i="5"/>
  <c r="AT37" i="5"/>
  <c r="AS37" i="5"/>
  <c r="AR37" i="5"/>
  <c r="AQ37" i="5"/>
  <c r="AP37" i="5"/>
  <c r="AO37" i="5"/>
  <c r="AN37" i="5"/>
  <c r="AM37" i="5"/>
  <c r="AU35" i="5"/>
  <c r="AT35" i="5"/>
  <c r="AS35" i="5"/>
  <c r="AR35" i="5"/>
  <c r="AQ35" i="5"/>
  <c r="AP35" i="5"/>
  <c r="AO35" i="5"/>
  <c r="AN35" i="5"/>
  <c r="AM35" i="5"/>
  <c r="AU34" i="5"/>
  <c r="AT34" i="5"/>
  <c r="AS34" i="5"/>
  <c r="AR34" i="5"/>
  <c r="AQ34" i="5"/>
  <c r="AP34" i="5"/>
  <c r="AO34" i="5"/>
  <c r="AN34" i="5"/>
  <c r="AM34" i="5"/>
  <c r="AU33" i="5"/>
  <c r="AT33" i="5"/>
  <c r="AS33" i="5"/>
  <c r="AR33" i="5"/>
  <c r="AQ33" i="5"/>
  <c r="AP33" i="5"/>
  <c r="AO33" i="5"/>
  <c r="AN33" i="5"/>
  <c r="AM33" i="5"/>
  <c r="AU32" i="5"/>
  <c r="AT32" i="5"/>
  <c r="AS32" i="5"/>
  <c r="AR32" i="5"/>
  <c r="AQ32" i="5"/>
  <c r="AP32" i="5"/>
  <c r="AO32" i="5"/>
  <c r="AN32" i="5"/>
  <c r="AM32" i="5"/>
  <c r="AU30" i="5"/>
  <c r="AT30" i="5"/>
  <c r="AS30" i="5"/>
  <c r="AR30" i="5"/>
  <c r="AQ30" i="5"/>
  <c r="AP30" i="5"/>
  <c r="AO30" i="5"/>
  <c r="AN30" i="5"/>
  <c r="AM30" i="5"/>
  <c r="AU29" i="5"/>
  <c r="AT29" i="5"/>
  <c r="AS29" i="5"/>
  <c r="AR29" i="5"/>
  <c r="AQ29" i="5"/>
  <c r="AP29" i="5"/>
  <c r="AO29" i="5"/>
  <c r="AN29" i="5"/>
  <c r="AM29" i="5"/>
  <c r="AT28" i="5"/>
  <c r="AS28" i="5"/>
  <c r="AR28" i="5"/>
  <c r="AQ28" i="5"/>
  <c r="AP28" i="5"/>
  <c r="AO28" i="5"/>
  <c r="AN28" i="5"/>
  <c r="AM28" i="5"/>
  <c r="AU27" i="5"/>
  <c r="AT27" i="5"/>
  <c r="AS27" i="5"/>
  <c r="AR27" i="5"/>
  <c r="AQ27" i="5"/>
  <c r="AP27" i="5"/>
  <c r="AO27" i="5"/>
  <c r="AN27" i="5"/>
  <c r="AM27" i="5"/>
  <c r="AU26" i="5"/>
  <c r="AT26" i="5"/>
  <c r="AS26" i="5"/>
  <c r="AR26" i="5"/>
  <c r="AQ26" i="5"/>
  <c r="AP26" i="5"/>
  <c r="AO26" i="5"/>
  <c r="AN26" i="5"/>
  <c r="AM26" i="5"/>
  <c r="AU23" i="5"/>
  <c r="AT23" i="5"/>
  <c r="AS23" i="5"/>
  <c r="AR23" i="5"/>
  <c r="AQ23" i="5"/>
  <c r="AP23" i="5"/>
  <c r="AO23" i="5"/>
  <c r="AN23" i="5"/>
  <c r="AM23" i="5"/>
  <c r="AU22" i="5"/>
  <c r="AS22" i="5"/>
  <c r="AR22" i="5"/>
  <c r="AQ22" i="5"/>
  <c r="AP22" i="5"/>
  <c r="AO22" i="5"/>
  <c r="AN22" i="5"/>
  <c r="AM22" i="5"/>
  <c r="AU21" i="5"/>
  <c r="AT21" i="5"/>
  <c r="AS21" i="5"/>
  <c r="AR21" i="5"/>
  <c r="AQ21" i="5"/>
  <c r="AP21" i="5"/>
  <c r="AO21" i="5"/>
  <c r="AN21" i="5"/>
  <c r="AM21" i="5"/>
  <c r="AU20" i="5"/>
  <c r="AT20" i="5"/>
  <c r="AS20" i="5"/>
  <c r="AR20" i="5"/>
  <c r="AQ20" i="5"/>
  <c r="AP20" i="5"/>
  <c r="AO20" i="5"/>
  <c r="AN20" i="5"/>
  <c r="AM20" i="5"/>
  <c r="AU19" i="5"/>
  <c r="AT19" i="5"/>
  <c r="AS19" i="5"/>
  <c r="AR19" i="5"/>
  <c r="AQ19" i="5"/>
  <c r="AP19" i="5"/>
  <c r="AO19" i="5"/>
  <c r="AN19" i="5"/>
  <c r="AM19" i="5"/>
  <c r="AU18" i="5"/>
  <c r="AT18" i="5"/>
  <c r="AS18" i="5"/>
  <c r="AR18" i="5"/>
  <c r="AQ18" i="5"/>
  <c r="AP18" i="5"/>
  <c r="AO18" i="5"/>
  <c r="AN18" i="5"/>
  <c r="AM18" i="5"/>
  <c r="AU17" i="5"/>
  <c r="AT17" i="5"/>
  <c r="AS17" i="5"/>
  <c r="AR17" i="5"/>
  <c r="AQ17" i="5"/>
  <c r="AP17" i="5"/>
  <c r="AO17" i="5"/>
  <c r="AN17" i="5"/>
  <c r="AM17" i="5"/>
  <c r="AU16" i="5"/>
  <c r="AT16" i="5"/>
  <c r="AS16" i="5"/>
  <c r="AR16" i="5"/>
  <c r="AQ16" i="5"/>
  <c r="AP16" i="5"/>
  <c r="AO16" i="5"/>
  <c r="AN16" i="5"/>
  <c r="AM16" i="5"/>
  <c r="AU15" i="5"/>
  <c r="AT15" i="5"/>
  <c r="AS15" i="5"/>
  <c r="AR15" i="5"/>
  <c r="AQ15" i="5"/>
  <c r="AP15" i="5"/>
  <c r="AO15" i="5"/>
  <c r="AN15" i="5"/>
  <c r="AM15" i="5"/>
  <c r="AU14" i="5"/>
  <c r="AT14" i="5"/>
  <c r="AS14" i="5"/>
  <c r="AR14" i="5"/>
  <c r="AQ14" i="5"/>
  <c r="AP14" i="5"/>
  <c r="AO14" i="5"/>
  <c r="AN14" i="5"/>
  <c r="AM14" i="5"/>
  <c r="AU13" i="5"/>
  <c r="AS13" i="5"/>
  <c r="AR13" i="5"/>
  <c r="AQ13" i="5"/>
  <c r="AP13" i="5"/>
  <c r="AO13" i="5"/>
  <c r="AN13" i="5"/>
  <c r="AM13" i="5"/>
  <c r="AU12" i="5"/>
  <c r="AT12" i="5"/>
  <c r="AS12" i="5"/>
  <c r="AR12" i="5"/>
  <c r="AQ12" i="5"/>
  <c r="AP12" i="5"/>
  <c r="AO12" i="5"/>
  <c r="AN12" i="5"/>
  <c r="AM12" i="5"/>
  <c r="AL163" i="5"/>
  <c r="AK163" i="5"/>
  <c r="AG163" i="5"/>
  <c r="AF163" i="5"/>
  <c r="AE163" i="5"/>
  <c r="AD163" i="5"/>
  <c r="AC163" i="5"/>
  <c r="AB163" i="5"/>
  <c r="Z163" i="5"/>
  <c r="AL108" i="5"/>
  <c r="F12" i="16" l="1"/>
  <c r="F11" i="16" s="1"/>
  <c r="F10" i="16" s="1"/>
  <c r="F9" i="16" s="1"/>
  <c r="E129" i="16"/>
  <c r="E128" i="16" s="1"/>
  <c r="E127" i="16" s="1"/>
  <c r="E111" i="16"/>
  <c r="E110" i="16" s="1"/>
  <c r="E108" i="16" s="1"/>
  <c r="E84" i="16" s="1"/>
  <c r="E8" i="16" s="1"/>
  <c r="K15" i="16"/>
  <c r="C137" i="16"/>
  <c r="C147" i="16"/>
  <c r="K148" i="16"/>
  <c r="C111" i="16"/>
  <c r="C171" i="16"/>
  <c r="F165" i="16" s="1"/>
  <c r="J165" i="16" s="1"/>
  <c r="K172" i="16"/>
  <c r="C81" i="16"/>
  <c r="K81" i="16" s="1"/>
  <c r="C94" i="16"/>
  <c r="AQ272" i="6"/>
  <c r="AR272" i="6"/>
  <c r="AS272" i="6"/>
  <c r="AK69" i="6"/>
  <c r="AW69" i="6" s="1"/>
  <c r="AU69" i="6"/>
  <c r="AK146" i="6"/>
  <c r="AW146" i="6" s="1"/>
  <c r="AT146" i="6"/>
  <c r="AI271" i="6"/>
  <c r="AU271" i="6" s="1"/>
  <c r="AU272" i="6"/>
  <c r="R271" i="6"/>
  <c r="AV271" i="6" s="1"/>
  <c r="AV272" i="6"/>
  <c r="AI159" i="6"/>
  <c r="AN272" i="6"/>
  <c r="AO272" i="6"/>
  <c r="AK273" i="6"/>
  <c r="AW273" i="6" s="1"/>
  <c r="AT273" i="6"/>
  <c r="AP272" i="6"/>
  <c r="AE271" i="6"/>
  <c r="AQ271" i="6" s="1"/>
  <c r="AF271" i="6"/>
  <c r="AR271" i="6" s="1"/>
  <c r="AK144" i="6"/>
  <c r="AW144" i="6" s="1"/>
  <c r="AG271" i="6"/>
  <c r="AS271" i="6" s="1"/>
  <c r="AB271" i="6"/>
  <c r="AN271" i="6" s="1"/>
  <c r="AG124" i="6"/>
  <c r="AC271" i="6"/>
  <c r="AO271" i="6" s="1"/>
  <c r="AK289" i="6"/>
  <c r="AW289" i="6" s="1"/>
  <c r="AD271" i="6"/>
  <c r="AP271" i="6" s="1"/>
  <c r="AH173" i="6"/>
  <c r="AK263" i="6"/>
  <c r="AW263" i="6" s="1"/>
  <c r="AH256" i="6"/>
  <c r="AT256" i="6" s="1"/>
  <c r="AA271" i="6"/>
  <c r="AK156" i="6"/>
  <c r="AW156" i="6" s="1"/>
  <c r="AG143" i="6"/>
  <c r="AI68" i="6"/>
  <c r="AH272" i="6"/>
  <c r="AH150" i="6"/>
  <c r="AI150" i="6"/>
  <c r="AH67" i="6"/>
  <c r="K46" i="16"/>
  <c r="L164" i="16"/>
  <c r="L143" i="16"/>
  <c r="K60" i="16"/>
  <c r="K57" i="16"/>
  <c r="K73" i="16"/>
  <c r="K76" i="16"/>
  <c r="K170" i="16"/>
  <c r="K74" i="16"/>
  <c r="K77" i="16"/>
  <c r="K65" i="16"/>
  <c r="K68" i="16"/>
  <c r="K154" i="16"/>
  <c r="K30" i="16"/>
  <c r="K78" i="16"/>
  <c r="L167" i="16"/>
  <c r="K66" i="16"/>
  <c r="K69" i="16"/>
  <c r="K31" i="16"/>
  <c r="L103" i="16"/>
  <c r="K53" i="16"/>
  <c r="K124" i="16"/>
  <c r="K50" i="16"/>
  <c r="K54" i="16"/>
  <c r="K106" i="16"/>
  <c r="K62" i="16"/>
  <c r="K126" i="16"/>
  <c r="K151" i="16"/>
  <c r="K49" i="16"/>
  <c r="K52" i="16"/>
  <c r="K58" i="16"/>
  <c r="K61" i="16"/>
  <c r="K70" i="16"/>
  <c r="L85" i="16"/>
  <c r="L88" i="16"/>
  <c r="L95" i="16"/>
  <c r="L105" i="16"/>
  <c r="K158" i="16"/>
  <c r="C27" i="16"/>
  <c r="K47" i="16"/>
  <c r="K55" i="16"/>
  <c r="K63" i="16"/>
  <c r="K71" i="16"/>
  <c r="K79" i="16"/>
  <c r="L113" i="16"/>
  <c r="L138" i="16"/>
  <c r="K159" i="16"/>
  <c r="L45" i="16"/>
  <c r="K48" i="16"/>
  <c r="K56" i="16"/>
  <c r="K64" i="16"/>
  <c r="K72" i="16"/>
  <c r="K80" i="16"/>
  <c r="K150" i="16"/>
  <c r="L14" i="16"/>
  <c r="L39" i="16"/>
  <c r="K51" i="16"/>
  <c r="K59" i="16"/>
  <c r="K67" i="16"/>
  <c r="K75" i="16"/>
  <c r="K104" i="16"/>
  <c r="K178" i="16"/>
  <c r="K45" i="16"/>
  <c r="L82" i="16"/>
  <c r="K156" i="16"/>
  <c r="L34" i="16"/>
  <c r="L81" i="16"/>
  <c r="K152" i="16"/>
  <c r="K180" i="16"/>
  <c r="L146" i="16"/>
  <c r="K185" i="16"/>
  <c r="K144" i="16"/>
  <c r="K32" i="16"/>
  <c r="K160" i="16"/>
  <c r="L110" i="16"/>
  <c r="L145" i="16"/>
  <c r="J15" i="16"/>
  <c r="L28" i="16"/>
  <c r="L111" i="16"/>
  <c r="K166" i="16"/>
  <c r="K131" i="16"/>
  <c r="L161" i="16"/>
  <c r="AQ163" i="5"/>
  <c r="AS163" i="5"/>
  <c r="AT163" i="5"/>
  <c r="AU163" i="5"/>
  <c r="AP163" i="5"/>
  <c r="AR163" i="5"/>
  <c r="AN163" i="5"/>
  <c r="AG145" i="5"/>
  <c r="AF145" i="5"/>
  <c r="AE145" i="5"/>
  <c r="AD145" i="5"/>
  <c r="AC145" i="5"/>
  <c r="AB145" i="5"/>
  <c r="AA145" i="5"/>
  <c r="Y145" i="5"/>
  <c r="S145" i="5"/>
  <c r="S144" i="5" s="1"/>
  <c r="S143" i="5" s="1"/>
  <c r="R145" i="5"/>
  <c r="Q145" i="5"/>
  <c r="Q144" i="5" s="1"/>
  <c r="Q143" i="5" s="1"/>
  <c r="P145" i="5"/>
  <c r="P144" i="5" s="1"/>
  <c r="P143" i="5" s="1"/>
  <c r="O145" i="5"/>
  <c r="O144" i="5" s="1"/>
  <c r="O143" i="5" s="1"/>
  <c r="N145" i="5"/>
  <c r="N144" i="5" s="1"/>
  <c r="N143" i="5" s="1"/>
  <c r="M145" i="5"/>
  <c r="M144" i="5" s="1"/>
  <c r="M143" i="5" s="1"/>
  <c r="L145" i="5"/>
  <c r="L144" i="5" s="1"/>
  <c r="L143" i="5" s="1"/>
  <c r="K145" i="5"/>
  <c r="K144" i="5" s="1"/>
  <c r="K143" i="5" s="1"/>
  <c r="J145" i="5"/>
  <c r="J144" i="5" s="1"/>
  <c r="J143" i="5" s="1"/>
  <c r="I145" i="5"/>
  <c r="I144" i="5" s="1"/>
  <c r="I143" i="5" s="1"/>
  <c r="H145" i="5"/>
  <c r="X2" i="5"/>
  <c r="AG162" i="5"/>
  <c r="AF162" i="5"/>
  <c r="Y163" i="5"/>
  <c r="AV163" i="5"/>
  <c r="AG141" i="5"/>
  <c r="AF141" i="5"/>
  <c r="AE141" i="5"/>
  <c r="AD141" i="5"/>
  <c r="AC141" i="5"/>
  <c r="AB141" i="5"/>
  <c r="AA141" i="5"/>
  <c r="Z141" i="5"/>
  <c r="Y141" i="5"/>
  <c r="S141" i="5"/>
  <c r="R141" i="5"/>
  <c r="Q141" i="5"/>
  <c r="P141" i="5"/>
  <c r="O141" i="5"/>
  <c r="N141" i="5"/>
  <c r="M141" i="5"/>
  <c r="L141" i="5"/>
  <c r="K141" i="5"/>
  <c r="J141" i="5"/>
  <c r="I141" i="5"/>
  <c r="AG135" i="5"/>
  <c r="AF135" i="5"/>
  <c r="AE135" i="5"/>
  <c r="AD135" i="5"/>
  <c r="AC135" i="5"/>
  <c r="AB135" i="5"/>
  <c r="AA135" i="5"/>
  <c r="Z135" i="5"/>
  <c r="Y135" i="5"/>
  <c r="S135" i="5"/>
  <c r="S134" i="5" s="1"/>
  <c r="S133" i="5" s="1"/>
  <c r="S126" i="5" s="1"/>
  <c r="R135" i="5"/>
  <c r="Q135" i="5"/>
  <c r="Q134" i="5" s="1"/>
  <c r="Q133" i="5" s="1"/>
  <c r="Q126" i="5" s="1"/>
  <c r="P135" i="5"/>
  <c r="P134" i="5" s="1"/>
  <c r="P133" i="5" s="1"/>
  <c r="P126" i="5" s="1"/>
  <c r="O135" i="5"/>
  <c r="O134" i="5" s="1"/>
  <c r="O133" i="5" s="1"/>
  <c r="O126" i="5" s="1"/>
  <c r="N135" i="5"/>
  <c r="N134" i="5" s="1"/>
  <c r="N133" i="5" s="1"/>
  <c r="M135" i="5"/>
  <c r="M134" i="5" s="1"/>
  <c r="M133" i="5" s="1"/>
  <c r="M126" i="5" s="1"/>
  <c r="L135" i="5"/>
  <c r="L134" i="5" s="1"/>
  <c r="L133" i="5" s="1"/>
  <c r="L126" i="5" s="1"/>
  <c r="K135" i="5"/>
  <c r="K134" i="5" s="1"/>
  <c r="K133" i="5" s="1"/>
  <c r="K126" i="5" s="1"/>
  <c r="J135" i="5"/>
  <c r="J134" i="5" s="1"/>
  <c r="J133" i="5" s="1"/>
  <c r="J126" i="5" s="1"/>
  <c r="I135" i="5"/>
  <c r="I134" i="5" s="1"/>
  <c r="I133" i="5" s="1"/>
  <c r="I126" i="5" s="1"/>
  <c r="AG110" i="5"/>
  <c r="AF110" i="5"/>
  <c r="AE110" i="5"/>
  <c r="AD110" i="5"/>
  <c r="AC110" i="5"/>
  <c r="AB110" i="5"/>
  <c r="AA110" i="5"/>
  <c r="S110" i="5"/>
  <c r="S108" i="5" s="1"/>
  <c r="R110" i="5"/>
  <c r="Q110" i="5"/>
  <c r="Q108" i="5" s="1"/>
  <c r="P110" i="5"/>
  <c r="P108" i="5" s="1"/>
  <c r="O110" i="5"/>
  <c r="O108" i="5" s="1"/>
  <c r="N110" i="5"/>
  <c r="N108" i="5" s="1"/>
  <c r="M110" i="5"/>
  <c r="M108" i="5" s="1"/>
  <c r="L110" i="5"/>
  <c r="L108" i="5" s="1"/>
  <c r="K110" i="5"/>
  <c r="K108" i="5" s="1"/>
  <c r="J110" i="5"/>
  <c r="J108" i="5" s="1"/>
  <c r="I110" i="5"/>
  <c r="I108" i="5" s="1"/>
  <c r="AG102" i="5"/>
  <c r="AF102" i="5"/>
  <c r="AE102" i="5"/>
  <c r="AD102" i="5"/>
  <c r="AC102" i="5"/>
  <c r="AB102" i="5"/>
  <c r="AA102" i="5"/>
  <c r="Z102" i="5"/>
  <c r="Y102" i="5"/>
  <c r="S102" i="5"/>
  <c r="R102" i="5"/>
  <c r="Q102" i="5"/>
  <c r="P102" i="5"/>
  <c r="O102" i="5"/>
  <c r="N102" i="5"/>
  <c r="M102" i="5"/>
  <c r="L102" i="5"/>
  <c r="K102" i="5"/>
  <c r="J102" i="5"/>
  <c r="I102" i="5"/>
  <c r="AG100" i="5"/>
  <c r="AF100" i="5"/>
  <c r="AE100" i="5"/>
  <c r="AD100" i="5"/>
  <c r="AC100" i="5"/>
  <c r="AB100" i="5"/>
  <c r="AA100" i="5"/>
  <c r="Z100" i="5"/>
  <c r="Y100" i="5"/>
  <c r="S100" i="5"/>
  <c r="R100" i="5"/>
  <c r="Q100" i="5"/>
  <c r="P100" i="5"/>
  <c r="O100" i="5"/>
  <c r="N100" i="5"/>
  <c r="M100" i="5"/>
  <c r="L100" i="5"/>
  <c r="K100" i="5"/>
  <c r="J100" i="5"/>
  <c r="I100" i="5"/>
  <c r="AG92" i="5"/>
  <c r="AF92" i="5"/>
  <c r="AE92" i="5"/>
  <c r="AD92" i="5"/>
  <c r="AC92" i="5"/>
  <c r="Z92" i="5"/>
  <c r="Y92" i="5"/>
  <c r="S92" i="5"/>
  <c r="S91" i="5" s="1"/>
  <c r="R92" i="5"/>
  <c r="Q92" i="5"/>
  <c r="Q91" i="5" s="1"/>
  <c r="P92" i="5"/>
  <c r="P91" i="5" s="1"/>
  <c r="O92" i="5"/>
  <c r="O91" i="5" s="1"/>
  <c r="N92" i="5"/>
  <c r="N91" i="5" s="1"/>
  <c r="M92" i="5"/>
  <c r="M91" i="5" s="1"/>
  <c r="L92" i="5"/>
  <c r="L91" i="5" s="1"/>
  <c r="K92" i="5"/>
  <c r="K91" i="5" s="1"/>
  <c r="J92" i="5"/>
  <c r="J91" i="5" s="1"/>
  <c r="I92" i="5"/>
  <c r="I91" i="5" s="1"/>
  <c r="AG85" i="5"/>
  <c r="AF85" i="5"/>
  <c r="AE85" i="5"/>
  <c r="AB85" i="5"/>
  <c r="AA85" i="5"/>
  <c r="Z85" i="5"/>
  <c r="Y85" i="5"/>
  <c r="S85" i="5"/>
  <c r="R85" i="5"/>
  <c r="Q85" i="5"/>
  <c r="P85" i="5"/>
  <c r="O85" i="5"/>
  <c r="N85" i="5"/>
  <c r="M85" i="5"/>
  <c r="L85" i="5"/>
  <c r="K85" i="5"/>
  <c r="J85" i="5"/>
  <c r="I85" i="5"/>
  <c r="AG82" i="5"/>
  <c r="AF82" i="5"/>
  <c r="AE82" i="5"/>
  <c r="AD82" i="5"/>
  <c r="AC82" i="5"/>
  <c r="AB82" i="5"/>
  <c r="AA82" i="5"/>
  <c r="Z82" i="5"/>
  <c r="Y82" i="5"/>
  <c r="S82" i="5"/>
  <c r="R82" i="5"/>
  <c r="Q82" i="5"/>
  <c r="P82" i="5"/>
  <c r="O82" i="5"/>
  <c r="N82" i="5"/>
  <c r="M82" i="5"/>
  <c r="L82" i="5"/>
  <c r="K82" i="5"/>
  <c r="J82" i="5"/>
  <c r="I82" i="5"/>
  <c r="AG79" i="5"/>
  <c r="AF79" i="5"/>
  <c r="AE79" i="5"/>
  <c r="AD79" i="5"/>
  <c r="AC79" i="5"/>
  <c r="AB79" i="5"/>
  <c r="Z79" i="5"/>
  <c r="S79" i="5"/>
  <c r="S78" i="5" s="1"/>
  <c r="R79" i="5"/>
  <c r="Q79" i="5"/>
  <c r="Q78" i="5" s="1"/>
  <c r="P79" i="5"/>
  <c r="P78" i="5" s="1"/>
  <c r="O79" i="5"/>
  <c r="O78" i="5" s="1"/>
  <c r="N79" i="5"/>
  <c r="N78" i="5" s="1"/>
  <c r="M79" i="5"/>
  <c r="M78" i="5" s="1"/>
  <c r="L79" i="5"/>
  <c r="L78" i="5" s="1"/>
  <c r="K79" i="5"/>
  <c r="K78" i="5" s="1"/>
  <c r="J79" i="5"/>
  <c r="J78" i="5" s="1"/>
  <c r="I79" i="5"/>
  <c r="I78" i="5" s="1"/>
  <c r="AG42" i="5"/>
  <c r="AE42" i="5"/>
  <c r="AC42" i="5"/>
  <c r="AB42" i="5"/>
  <c r="AA42" i="5"/>
  <c r="Z42" i="5"/>
  <c r="Y42" i="5"/>
  <c r="S42" i="5"/>
  <c r="R42" i="5"/>
  <c r="Q42" i="5"/>
  <c r="P42" i="5"/>
  <c r="O42" i="5"/>
  <c r="N42" i="5"/>
  <c r="M42" i="5"/>
  <c r="L42" i="5"/>
  <c r="K42" i="5"/>
  <c r="J42" i="5"/>
  <c r="I42" i="5"/>
  <c r="AG36" i="5"/>
  <c r="AF36" i="5"/>
  <c r="AE36" i="5"/>
  <c r="AD36" i="5"/>
  <c r="AC36" i="5"/>
  <c r="AB36" i="5"/>
  <c r="AA36" i="5"/>
  <c r="Z36" i="5"/>
  <c r="Y36" i="5"/>
  <c r="S36" i="5"/>
  <c r="R36" i="5"/>
  <c r="Q36" i="5"/>
  <c r="P36" i="5"/>
  <c r="O36" i="5"/>
  <c r="N36" i="5"/>
  <c r="M36" i="5"/>
  <c r="L36" i="5"/>
  <c r="K36" i="5"/>
  <c r="J36" i="5"/>
  <c r="I36" i="5"/>
  <c r="AG31" i="5"/>
  <c r="AF31" i="5"/>
  <c r="AE31" i="5"/>
  <c r="AD31" i="5"/>
  <c r="AC31" i="5"/>
  <c r="AB31" i="5"/>
  <c r="AA31" i="5"/>
  <c r="Z31" i="5"/>
  <c r="Y31" i="5"/>
  <c r="S31" i="5"/>
  <c r="R31" i="5"/>
  <c r="Q31" i="5"/>
  <c r="P31" i="5"/>
  <c r="O31" i="5"/>
  <c r="N31" i="5"/>
  <c r="M31" i="5"/>
  <c r="L31" i="5"/>
  <c r="K31" i="5"/>
  <c r="J31" i="5"/>
  <c r="I31" i="5"/>
  <c r="S25" i="5"/>
  <c r="Q25" i="5"/>
  <c r="O25" i="5"/>
  <c r="N25" i="5"/>
  <c r="M25" i="5"/>
  <c r="L25" i="5"/>
  <c r="K25" i="5"/>
  <c r="J25" i="5"/>
  <c r="I25" i="5"/>
  <c r="H25" i="5"/>
  <c r="AG25" i="5"/>
  <c r="AF25" i="5"/>
  <c r="AE25" i="5"/>
  <c r="AD25" i="5"/>
  <c r="AC25" i="5"/>
  <c r="AB25" i="5"/>
  <c r="AA25" i="5"/>
  <c r="Z25" i="5"/>
  <c r="AG11" i="5"/>
  <c r="AE11" i="5"/>
  <c r="AD11" i="5"/>
  <c r="AC11" i="5"/>
  <c r="AB11" i="5"/>
  <c r="AA11" i="5"/>
  <c r="Z11" i="5"/>
  <c r="Y11" i="5"/>
  <c r="H110" i="5"/>
  <c r="H100" i="5"/>
  <c r="H82" i="5"/>
  <c r="AF59" i="5"/>
  <c r="AJ59" i="5" s="1"/>
  <c r="AW59" i="5" s="1"/>
  <c r="AF22" i="5"/>
  <c r="AJ22" i="5" s="1"/>
  <c r="AW22" i="5" s="1"/>
  <c r="R78" i="5" l="1"/>
  <c r="R91" i="5"/>
  <c r="R84" i="5" s="1"/>
  <c r="R108" i="5"/>
  <c r="R107" i="5" s="1"/>
  <c r="R144" i="5"/>
  <c r="R134" i="5"/>
  <c r="AJ31" i="5"/>
  <c r="AJ102" i="5"/>
  <c r="AJ141" i="5"/>
  <c r="AJ135" i="5"/>
  <c r="AJ36" i="5"/>
  <c r="AJ82" i="5"/>
  <c r="AJ100" i="5"/>
  <c r="AM163" i="5"/>
  <c r="T110" i="5"/>
  <c r="T145" i="5"/>
  <c r="T82" i="5"/>
  <c r="T100" i="5"/>
  <c r="E7" i="16"/>
  <c r="E6" i="16" s="1"/>
  <c r="E5" i="16" s="1"/>
  <c r="J14" i="16"/>
  <c r="J13" i="16" s="1"/>
  <c r="F111" i="16"/>
  <c r="K94" i="16"/>
  <c r="F87" i="16"/>
  <c r="J87" i="16" s="1"/>
  <c r="K14" i="16"/>
  <c r="C165" i="16"/>
  <c r="C87" i="16"/>
  <c r="C110" i="16"/>
  <c r="C12" i="16"/>
  <c r="C11" i="16" s="1"/>
  <c r="C10" i="16" s="1"/>
  <c r="C9" i="16" s="1"/>
  <c r="C146" i="16"/>
  <c r="K147" i="16"/>
  <c r="C136" i="16"/>
  <c r="K137" i="16"/>
  <c r="AI247" i="6"/>
  <c r="AH145" i="6"/>
  <c r="AT150" i="6"/>
  <c r="AH66" i="6"/>
  <c r="AI145" i="6"/>
  <c r="AU150" i="6"/>
  <c r="AH271" i="6"/>
  <c r="AT271" i="6" s="1"/>
  <c r="AT272" i="6"/>
  <c r="AI67" i="6"/>
  <c r="AU68" i="6"/>
  <c r="AG123" i="6"/>
  <c r="AS123" i="6" s="1"/>
  <c r="AS124" i="6"/>
  <c r="AH172" i="6"/>
  <c r="AB247" i="6"/>
  <c r="AC247" i="6"/>
  <c r="AA247" i="6"/>
  <c r="AD247" i="6"/>
  <c r="AE247" i="6"/>
  <c r="AK143" i="6"/>
  <c r="AK256" i="6"/>
  <c r="AW256" i="6" s="1"/>
  <c r="AH255" i="6"/>
  <c r="AK272" i="6"/>
  <c r="AW272" i="6" s="1"/>
  <c r="AK68" i="6"/>
  <c r="AW68" i="6" s="1"/>
  <c r="U100" i="5"/>
  <c r="U82" i="5"/>
  <c r="H108" i="5"/>
  <c r="U110" i="5"/>
  <c r="H144" i="5"/>
  <c r="T144" i="5" s="1"/>
  <c r="U145" i="5"/>
  <c r="L27" i="16"/>
  <c r="K82" i="16"/>
  <c r="K95" i="16"/>
  <c r="K39" i="16"/>
  <c r="K138" i="16"/>
  <c r="K105" i="16"/>
  <c r="K103" i="16"/>
  <c r="K113" i="16"/>
  <c r="K34" i="16"/>
  <c r="L94" i="16"/>
  <c r="K88" i="16"/>
  <c r="L160" i="16"/>
  <c r="K28" i="16"/>
  <c r="L13" i="16"/>
  <c r="L87" i="16"/>
  <c r="L166" i="16"/>
  <c r="K169" i="16"/>
  <c r="L108" i="16"/>
  <c r="L137" i="16"/>
  <c r="K13" i="16"/>
  <c r="AO25" i="5"/>
  <c r="AN31" i="5"/>
  <c r="AV31" i="5"/>
  <c r="AV102" i="5"/>
  <c r="AV141" i="5"/>
  <c r="AV25" i="5"/>
  <c r="AP36" i="5"/>
  <c r="AR25" i="5"/>
  <c r="AS25" i="5"/>
  <c r="AV11" i="5"/>
  <c r="AV36" i="5"/>
  <c r="AV145" i="5"/>
  <c r="AV85" i="5"/>
  <c r="AP11" i="5"/>
  <c r="AO31" i="5"/>
  <c r="AQ36" i="5"/>
  <c r="AU42" i="5"/>
  <c r="AS82" i="5"/>
  <c r="AU100" i="5"/>
  <c r="AO102" i="5"/>
  <c r="AO141" i="5"/>
  <c r="AQ11" i="5"/>
  <c r="AP25" i="5"/>
  <c r="AP31" i="5"/>
  <c r="AR36" i="5"/>
  <c r="AV42" i="5"/>
  <c r="AT82" i="5"/>
  <c r="AN85" i="5"/>
  <c r="AN100" i="5"/>
  <c r="AV100" i="5"/>
  <c r="AP102" i="5"/>
  <c r="AV135" i="5"/>
  <c r="AP141" i="5"/>
  <c r="AV78" i="5"/>
  <c r="AV79" i="5"/>
  <c r="AR11" i="5"/>
  <c r="AQ25" i="5"/>
  <c r="AQ31" i="5"/>
  <c r="AS36" i="5"/>
  <c r="AU82" i="5"/>
  <c r="AO85" i="5"/>
  <c r="AO100" i="5"/>
  <c r="AQ102" i="5"/>
  <c r="AQ141" i="5"/>
  <c r="AV82" i="5"/>
  <c r="AV91" i="5"/>
  <c r="AV92" i="5"/>
  <c r="AV108" i="5"/>
  <c r="AV110" i="5"/>
  <c r="AD78" i="5"/>
  <c r="AR78" i="5" s="1"/>
  <c r="AR79" i="5"/>
  <c r="AE144" i="5"/>
  <c r="AS145" i="5"/>
  <c r="AE78" i="5"/>
  <c r="AS78" i="5" s="1"/>
  <c r="AS79" i="5"/>
  <c r="AA134" i="5"/>
  <c r="AO135" i="5"/>
  <c r="AF144" i="5"/>
  <c r="AT145" i="5"/>
  <c r="AS11" i="5"/>
  <c r="AR31" i="5"/>
  <c r="AT36" i="5"/>
  <c r="AN42" i="5"/>
  <c r="AF78" i="5"/>
  <c r="AT78" i="5" s="1"/>
  <c r="AT79" i="5"/>
  <c r="AN82" i="5"/>
  <c r="AP85" i="5"/>
  <c r="AP100" i="5"/>
  <c r="AR102" i="5"/>
  <c r="AB134" i="5"/>
  <c r="AP135" i="5"/>
  <c r="AR141" i="5"/>
  <c r="AG144" i="5"/>
  <c r="AU145" i="5"/>
  <c r="AF91" i="5"/>
  <c r="AT91" i="5" s="1"/>
  <c r="AT92" i="5"/>
  <c r="Z134" i="5"/>
  <c r="AN135" i="5"/>
  <c r="Y91" i="5"/>
  <c r="AM82" i="5"/>
  <c r="AS31" i="5"/>
  <c r="AU36" i="5"/>
  <c r="AQ100" i="5"/>
  <c r="AM145" i="5"/>
  <c r="AT25" i="5"/>
  <c r="AT31" i="5"/>
  <c r="AN36" i="5"/>
  <c r="AP42" i="5"/>
  <c r="AP82" i="5"/>
  <c r="AT85" i="5"/>
  <c r="Z91" i="5"/>
  <c r="AN91" i="5" s="1"/>
  <c r="AN92" i="5"/>
  <c r="AR100" i="5"/>
  <c r="AT102" i="5"/>
  <c r="AB108" i="5"/>
  <c r="AP108" i="5" s="1"/>
  <c r="AP110" i="5"/>
  <c r="AD134" i="5"/>
  <c r="AR135" i="5"/>
  <c r="AT141" i="5"/>
  <c r="AA144" i="5"/>
  <c r="AO145" i="5"/>
  <c r="AF108" i="5"/>
  <c r="AT108" i="5" s="1"/>
  <c r="AT110" i="5"/>
  <c r="AG91" i="5"/>
  <c r="AU91" i="5" s="1"/>
  <c r="AU92" i="5"/>
  <c r="AO42" i="5"/>
  <c r="AG78" i="5"/>
  <c r="AU78" i="5" s="1"/>
  <c r="AU79" i="5"/>
  <c r="AS102" i="5"/>
  <c r="AC134" i="5"/>
  <c r="AQ135" i="5"/>
  <c r="AS141" i="5"/>
  <c r="AT22" i="5"/>
  <c r="AN11" i="5"/>
  <c r="AU31" i="5"/>
  <c r="AO36" i="5"/>
  <c r="AQ42" i="5"/>
  <c r="Z78" i="5"/>
  <c r="AN78" i="5" s="1"/>
  <c r="AN79" i="5"/>
  <c r="AQ82" i="5"/>
  <c r="AU85" i="5"/>
  <c r="AC91" i="5"/>
  <c r="AQ91" i="5" s="1"/>
  <c r="AQ92" i="5"/>
  <c r="AS100" i="5"/>
  <c r="AU102" i="5"/>
  <c r="AC108" i="5"/>
  <c r="AQ108" i="5" s="1"/>
  <c r="AQ110" i="5"/>
  <c r="AE134" i="5"/>
  <c r="AS135" i="5"/>
  <c r="AU141" i="5"/>
  <c r="AB144" i="5"/>
  <c r="AP145" i="5"/>
  <c r="AG108" i="5"/>
  <c r="AU108" i="5" s="1"/>
  <c r="AU110" i="5"/>
  <c r="AU11" i="5"/>
  <c r="AO82" i="5"/>
  <c r="AS85" i="5"/>
  <c r="AA108" i="5"/>
  <c r="AO108" i="5" s="1"/>
  <c r="AO110" i="5"/>
  <c r="AF42" i="5"/>
  <c r="AT42" i="5" s="1"/>
  <c r="AT59" i="5"/>
  <c r="AO11" i="5"/>
  <c r="AN25" i="5"/>
  <c r="AS42" i="5"/>
  <c r="AB78" i="5"/>
  <c r="AP78" i="5" s="1"/>
  <c r="AP79" i="5"/>
  <c r="AR82" i="5"/>
  <c r="AD91" i="5"/>
  <c r="AR91" i="5" s="1"/>
  <c r="AR92" i="5"/>
  <c r="AT100" i="5"/>
  <c r="AN102" i="5"/>
  <c r="AD108" i="5"/>
  <c r="AR108" i="5" s="1"/>
  <c r="AR110" i="5"/>
  <c r="AF134" i="5"/>
  <c r="AT135" i="5"/>
  <c r="AN141" i="5"/>
  <c r="AC144" i="5"/>
  <c r="AQ145" i="5"/>
  <c r="AC78" i="5"/>
  <c r="AQ78" i="5" s="1"/>
  <c r="AQ79" i="5"/>
  <c r="AE91" i="5"/>
  <c r="AS91" i="5" s="1"/>
  <c r="AS92" i="5"/>
  <c r="AM100" i="5"/>
  <c r="AE108" i="5"/>
  <c r="AS108" i="5" s="1"/>
  <c r="AS110" i="5"/>
  <c r="Y134" i="5"/>
  <c r="AG134" i="5"/>
  <c r="AU135" i="5"/>
  <c r="AD144" i="5"/>
  <c r="AR145" i="5"/>
  <c r="O107" i="5"/>
  <c r="J107" i="5"/>
  <c r="K107" i="5"/>
  <c r="N107" i="5"/>
  <c r="O125" i="5"/>
  <c r="O124" i="5" s="1"/>
  <c r="K125" i="5"/>
  <c r="K124" i="5" s="1"/>
  <c r="S125" i="5"/>
  <c r="S124" i="5" s="1"/>
  <c r="J125" i="5"/>
  <c r="J124" i="5" s="1"/>
  <c r="P125" i="5"/>
  <c r="P124" i="5" s="1"/>
  <c r="I125" i="5"/>
  <c r="I124" i="5" s="1"/>
  <c r="Q125" i="5"/>
  <c r="Q124" i="5" s="1"/>
  <c r="L125" i="5"/>
  <c r="L124" i="5" s="1"/>
  <c r="M125" i="5"/>
  <c r="M124" i="5" s="1"/>
  <c r="L107" i="5"/>
  <c r="S107" i="5"/>
  <c r="M107" i="5"/>
  <c r="P107" i="5"/>
  <c r="I107" i="5"/>
  <c r="Q107" i="5"/>
  <c r="Q84" i="5"/>
  <c r="I84" i="5"/>
  <c r="J84" i="5"/>
  <c r="K84" i="5"/>
  <c r="S84" i="5"/>
  <c r="L84" i="5"/>
  <c r="M84" i="5"/>
  <c r="O84" i="5"/>
  <c r="N84" i="5"/>
  <c r="P84" i="5"/>
  <c r="AG24" i="5"/>
  <c r="AF24" i="5"/>
  <c r="AF11" i="5"/>
  <c r="AW100" i="5" l="1"/>
  <c r="AW82" i="5"/>
  <c r="R143" i="5"/>
  <c r="R133" i="5"/>
  <c r="Y84" i="5"/>
  <c r="AJ134" i="5"/>
  <c r="U108" i="5"/>
  <c r="T108" i="5"/>
  <c r="F110" i="16"/>
  <c r="J110" i="16" s="1"/>
  <c r="J111" i="16"/>
  <c r="J12" i="16"/>
  <c r="J11" i="16" s="1"/>
  <c r="J10" i="16" s="1"/>
  <c r="J9" i="16" s="1"/>
  <c r="K87" i="16"/>
  <c r="C129" i="16"/>
  <c r="C108" i="16"/>
  <c r="AI246" i="6"/>
  <c r="AI427" i="6" s="1"/>
  <c r="AI428" i="6"/>
  <c r="AK271" i="6"/>
  <c r="AW271" i="6" s="1"/>
  <c r="AH247" i="6"/>
  <c r="AH428" i="6" s="1"/>
  <c r="AT255" i="6"/>
  <c r="AI134" i="6"/>
  <c r="AH61" i="6"/>
  <c r="AI66" i="6"/>
  <c r="AH159" i="6"/>
  <c r="AH134" i="6"/>
  <c r="AK255" i="6"/>
  <c r="AW255" i="6" s="1"/>
  <c r="H107" i="5"/>
  <c r="H143" i="5"/>
  <c r="U144" i="5"/>
  <c r="K111" i="16"/>
  <c r="K171" i="16"/>
  <c r="K12" i="16"/>
  <c r="L84" i="16"/>
  <c r="K27" i="16"/>
  <c r="L12" i="16"/>
  <c r="L136" i="16"/>
  <c r="AF107" i="5"/>
  <c r="AT107" i="5" s="1"/>
  <c r="AG84" i="5"/>
  <c r="AU84" i="5" s="1"/>
  <c r="AC107" i="5"/>
  <c r="AQ107" i="5" s="1"/>
  <c r="AF84" i="5"/>
  <c r="AT84" i="5" s="1"/>
  <c r="Z84" i="5"/>
  <c r="AN84" i="5" s="1"/>
  <c r="AV84" i="5"/>
  <c r="AG107" i="5"/>
  <c r="AU107" i="5" s="1"/>
  <c r="AV134" i="5"/>
  <c r="AV107" i="5"/>
  <c r="AD107" i="5"/>
  <c r="AR107" i="5" s="1"/>
  <c r="AV143" i="5"/>
  <c r="AV144" i="5"/>
  <c r="AA133" i="5"/>
  <c r="AO134" i="5"/>
  <c r="AJ11" i="5"/>
  <c r="AE133" i="5"/>
  <c r="AS134" i="5"/>
  <c r="AB133" i="5"/>
  <c r="AP134" i="5"/>
  <c r="AC143" i="5"/>
  <c r="AQ143" i="5" s="1"/>
  <c r="AQ144" i="5"/>
  <c r="AA143" i="5"/>
  <c r="AO143" i="5" s="1"/>
  <c r="AO144" i="5"/>
  <c r="AG10" i="5"/>
  <c r="AA107" i="5"/>
  <c r="AO107" i="5" s="1"/>
  <c r="AD143" i="5"/>
  <c r="AR143" i="5" s="1"/>
  <c r="AR144" i="5"/>
  <c r="Z133" i="5"/>
  <c r="AN133" i="5" s="1"/>
  <c r="AN134" i="5"/>
  <c r="AF133" i="5"/>
  <c r="AT134" i="5"/>
  <c r="AB143" i="5"/>
  <c r="AP143" i="5" s="1"/>
  <c r="AP144" i="5"/>
  <c r="AE84" i="5"/>
  <c r="AS84" i="5" s="1"/>
  <c r="AB107" i="5"/>
  <c r="AP107" i="5" s="1"/>
  <c r="AG133" i="5"/>
  <c r="AU134" i="5"/>
  <c r="AD133" i="5"/>
  <c r="AR134" i="5"/>
  <c r="AE143" i="5"/>
  <c r="AS143" i="5" s="1"/>
  <c r="AS144" i="5"/>
  <c r="AE107" i="5"/>
  <c r="AS107" i="5" s="1"/>
  <c r="AF143" i="5"/>
  <c r="AT143" i="5" s="1"/>
  <c r="AT144" i="5"/>
  <c r="Y133" i="5"/>
  <c r="AC133" i="5"/>
  <c r="AQ134" i="5"/>
  <c r="AG143" i="5"/>
  <c r="AU143" i="5" s="1"/>
  <c r="AU144" i="5"/>
  <c r="AG105" i="5"/>
  <c r="AF105" i="5"/>
  <c r="AF10" i="5"/>
  <c r="R126" i="5" l="1"/>
  <c r="AJ133" i="5"/>
  <c r="U143" i="5"/>
  <c r="T143" i="5"/>
  <c r="U107" i="5"/>
  <c r="T107" i="5"/>
  <c r="K136" i="16"/>
  <c r="F129" i="16"/>
  <c r="F108" i="16"/>
  <c r="C84" i="16"/>
  <c r="C128" i="16"/>
  <c r="AI61" i="6"/>
  <c r="AI106" i="6"/>
  <c r="AH60" i="6"/>
  <c r="AH422" i="6" s="1"/>
  <c r="AH106" i="6"/>
  <c r="AH246" i="6"/>
  <c r="AH427" i="6" s="1"/>
  <c r="K146" i="16"/>
  <c r="K110" i="16"/>
  <c r="K165" i="16"/>
  <c r="L11" i="16"/>
  <c r="L129" i="16"/>
  <c r="AV133" i="5"/>
  <c r="AA126" i="5"/>
  <c r="AO133" i="5"/>
  <c r="AF81" i="5"/>
  <c r="AD126" i="5"/>
  <c r="AR133" i="5"/>
  <c r="AF126" i="5"/>
  <c r="AT133" i="5"/>
  <c r="AG81" i="5"/>
  <c r="AG126" i="5"/>
  <c r="AU133" i="5"/>
  <c r="AE126" i="5"/>
  <c r="AS133" i="5"/>
  <c r="AC126" i="5"/>
  <c r="AQ133" i="5"/>
  <c r="AF9" i="5"/>
  <c r="Y126" i="5"/>
  <c r="AG9" i="5"/>
  <c r="AB126" i="5"/>
  <c r="AP133" i="5"/>
  <c r="R125" i="5" l="1"/>
  <c r="F84" i="16"/>
  <c r="J108" i="16"/>
  <c r="F128" i="16"/>
  <c r="K128" i="16" s="1"/>
  <c r="J129" i="16"/>
  <c r="K129" i="16"/>
  <c r="C127" i="16"/>
  <c r="C8" i="16"/>
  <c r="AI105" i="6"/>
  <c r="AI423" i="6" s="1"/>
  <c r="AH105" i="6"/>
  <c r="AH423" i="6" s="1"/>
  <c r="AI60" i="6"/>
  <c r="AI422" i="6" s="1"/>
  <c r="K108" i="16"/>
  <c r="L10" i="16"/>
  <c r="L128" i="16"/>
  <c r="K11" i="16"/>
  <c r="AV126" i="5"/>
  <c r="AG8" i="5"/>
  <c r="AR126" i="5"/>
  <c r="AD125" i="5"/>
  <c r="AU126" i="5"/>
  <c r="AU190" i="5" s="1"/>
  <c r="AG125" i="5"/>
  <c r="AF8" i="5"/>
  <c r="AO126" i="5"/>
  <c r="AA125" i="5"/>
  <c r="AP126" i="5"/>
  <c r="AB125" i="5"/>
  <c r="AE125" i="5"/>
  <c r="Y125" i="5"/>
  <c r="AQ126" i="5"/>
  <c r="AC125" i="5"/>
  <c r="AT126" i="5"/>
  <c r="AT190" i="5" s="1"/>
  <c r="AF125" i="5"/>
  <c r="R124" i="5" l="1"/>
  <c r="F127" i="16"/>
  <c r="J127" i="16" s="1"/>
  <c r="J128" i="16"/>
  <c r="F8" i="16"/>
  <c r="J84" i="16"/>
  <c r="J8" i="16" s="1"/>
  <c r="C7" i="16"/>
  <c r="C6" i="16" s="1"/>
  <c r="C5" i="16" s="1"/>
  <c r="K84" i="16"/>
  <c r="AH59" i="6"/>
  <c r="AH421" i="6" s="1"/>
  <c r="AI59" i="6"/>
  <c r="AI421" i="6" s="1"/>
  <c r="L127" i="16"/>
  <c r="K9" i="16"/>
  <c r="K10" i="16"/>
  <c r="L9" i="16"/>
  <c r="AV124" i="5"/>
  <c r="AV125" i="5"/>
  <c r="AG7" i="5"/>
  <c r="AF7" i="5"/>
  <c r="AF124" i="5"/>
  <c r="AT124" i="5" s="1"/>
  <c r="AT125" i="5"/>
  <c r="AE124" i="5"/>
  <c r="AG124" i="5"/>
  <c r="AU124" i="5" s="1"/>
  <c r="AU125" i="5"/>
  <c r="AA124" i="5"/>
  <c r="AO124" i="5" s="1"/>
  <c r="AO125" i="5"/>
  <c r="AC124" i="5"/>
  <c r="AQ124" i="5" s="1"/>
  <c r="AQ125" i="5"/>
  <c r="AB124" i="5"/>
  <c r="AP124" i="5" s="1"/>
  <c r="AP125" i="5"/>
  <c r="AD124" i="5"/>
  <c r="AR124" i="5" s="1"/>
  <c r="AR125" i="5"/>
  <c r="F7" i="16" l="1"/>
  <c r="F6" i="16" s="1"/>
  <c r="F5" i="16" s="1"/>
  <c r="J7" i="16"/>
  <c r="J6" i="16" s="1"/>
  <c r="J5" i="16" s="1"/>
  <c r="K127" i="16"/>
  <c r="AI3" i="6"/>
  <c r="AI417" i="6" s="1"/>
  <c r="AH3" i="6"/>
  <c r="AH417" i="6" s="1"/>
  <c r="L8" i="16"/>
  <c r="AG6" i="5"/>
  <c r="AF6" i="5"/>
  <c r="AH2" i="6" l="1"/>
  <c r="AH416" i="6" s="1"/>
  <c r="AI2" i="6"/>
  <c r="AI416" i="6" s="1"/>
  <c r="K8" i="16"/>
  <c r="L7" i="16"/>
  <c r="AG5" i="5"/>
  <c r="AF5" i="5"/>
  <c r="K6" i="16" l="1"/>
  <c r="L6" i="16"/>
  <c r="K7" i="16"/>
  <c r="AF4" i="5"/>
  <c r="AG4" i="5"/>
  <c r="L5" i="16" l="1"/>
  <c r="AG3" i="5"/>
  <c r="AF3" i="5"/>
  <c r="K5" i="16" l="1"/>
  <c r="AF2" i="5"/>
  <c r="AG2" i="5"/>
  <c r="AA435" i="12" l="1"/>
  <c r="N435" i="12"/>
  <c r="L435" i="12"/>
  <c r="K435" i="12"/>
  <c r="I435" i="12"/>
  <c r="H435" i="12"/>
  <c r="I195" i="14" l="1"/>
  <c r="I193" i="14" s="1"/>
  <c r="H195" i="14"/>
  <c r="H193" i="14" s="1"/>
  <c r="G195" i="14"/>
  <c r="E195" i="14"/>
  <c r="E193" i="14" s="1"/>
  <c r="D195" i="14"/>
  <c r="D193" i="14" s="1"/>
  <c r="C195" i="14"/>
  <c r="C193" i="14" s="1"/>
  <c r="B203" i="14"/>
  <c r="I192" i="14"/>
  <c r="H192" i="14"/>
  <c r="G192" i="14"/>
  <c r="E192" i="14"/>
  <c r="D192" i="14"/>
  <c r="I191" i="14"/>
  <c r="H191" i="14"/>
  <c r="G191" i="14"/>
  <c r="E191" i="14"/>
  <c r="D191" i="14"/>
  <c r="I190" i="14"/>
  <c r="H190" i="14"/>
  <c r="G190" i="14"/>
  <c r="E190" i="14"/>
  <c r="I198" i="14"/>
  <c r="I197" i="14" s="1"/>
  <c r="H198" i="14"/>
  <c r="H197" i="14" s="1"/>
  <c r="G198" i="14"/>
  <c r="G197" i="14" s="1"/>
  <c r="E198" i="14"/>
  <c r="E197" i="14" s="1"/>
  <c r="D198" i="14"/>
  <c r="D197" i="14" s="1"/>
  <c r="C198" i="14"/>
  <c r="C197" i="14" s="1"/>
  <c r="C192" i="14"/>
  <c r="C191" i="14"/>
  <c r="C190" i="14"/>
  <c r="F194" i="14"/>
  <c r="B201" i="14"/>
  <c r="B193" i="14"/>
  <c r="B189" i="14"/>
  <c r="B197" i="14" s="1"/>
  <c r="J183" i="14"/>
  <c r="I183" i="14"/>
  <c r="H183" i="14"/>
  <c r="G183" i="14"/>
  <c r="F183" i="14"/>
  <c r="E183" i="14"/>
  <c r="D183" i="14"/>
  <c r="C183" i="14"/>
  <c r="B187" i="14"/>
  <c r="B184" i="14"/>
  <c r="B183" i="14"/>
  <c r="L180" i="14"/>
  <c r="F180" i="14"/>
  <c r="K180" i="14" s="1"/>
  <c r="L179" i="14"/>
  <c r="F179" i="14"/>
  <c r="J179" i="14" s="1"/>
  <c r="L178" i="14"/>
  <c r="F178" i="14"/>
  <c r="K178" i="14" s="1"/>
  <c r="L177" i="14"/>
  <c r="F177" i="14"/>
  <c r="J177" i="14" s="1"/>
  <c r="L176" i="14"/>
  <c r="F176" i="14"/>
  <c r="K176" i="14" s="1"/>
  <c r="L175" i="14"/>
  <c r="F175" i="14"/>
  <c r="J175" i="14" s="1"/>
  <c r="L174" i="14"/>
  <c r="F174" i="14"/>
  <c r="K174" i="14" s="1"/>
  <c r="L173" i="14"/>
  <c r="D173" i="14"/>
  <c r="F173" i="14" s="1"/>
  <c r="L172" i="14"/>
  <c r="F172" i="14"/>
  <c r="K172" i="14" s="1"/>
  <c r="L171" i="14"/>
  <c r="D171" i="14"/>
  <c r="F171" i="14" s="1"/>
  <c r="L170" i="14"/>
  <c r="D170" i="14"/>
  <c r="F170" i="14" s="1"/>
  <c r="K170" i="14" s="1"/>
  <c r="L169" i="14"/>
  <c r="F169" i="14"/>
  <c r="J169" i="14" s="1"/>
  <c r="L168" i="14"/>
  <c r="F168" i="14"/>
  <c r="I167" i="14"/>
  <c r="I203" i="14" s="1"/>
  <c r="H167" i="14"/>
  <c r="H203" i="14" s="1"/>
  <c r="G167" i="14"/>
  <c r="G166" i="14" s="1"/>
  <c r="E167" i="14"/>
  <c r="E203" i="14" s="1"/>
  <c r="C167" i="14"/>
  <c r="C203" i="14" s="1"/>
  <c r="L165" i="14"/>
  <c r="F165" i="14"/>
  <c r="F164" i="14" s="1"/>
  <c r="F202" i="14" s="1"/>
  <c r="J164" i="14"/>
  <c r="J202" i="14" s="1"/>
  <c r="I164" i="14"/>
  <c r="I202" i="14" s="1"/>
  <c r="H164" i="14"/>
  <c r="H202" i="14" s="1"/>
  <c r="G164" i="14"/>
  <c r="G202" i="14" s="1"/>
  <c r="E164" i="14"/>
  <c r="E202" i="14" s="1"/>
  <c r="D164" i="14"/>
  <c r="D202" i="14" s="1"/>
  <c r="C164" i="14"/>
  <c r="C202" i="14" s="1"/>
  <c r="L163" i="14"/>
  <c r="F163" i="14"/>
  <c r="K163" i="14" s="1"/>
  <c r="L162" i="14"/>
  <c r="F162" i="14"/>
  <c r="J162" i="14" s="1"/>
  <c r="J161" i="14" s="1"/>
  <c r="J201" i="14" s="1"/>
  <c r="I161" i="14"/>
  <c r="I201" i="14" s="1"/>
  <c r="H161" i="14"/>
  <c r="H201" i="14" s="1"/>
  <c r="G161" i="14"/>
  <c r="E161" i="14"/>
  <c r="E201" i="14" s="1"/>
  <c r="D161" i="14"/>
  <c r="D201" i="14" s="1"/>
  <c r="C161" i="14"/>
  <c r="C201" i="14" s="1"/>
  <c r="L159" i="14"/>
  <c r="F159" i="14"/>
  <c r="L158" i="14"/>
  <c r="F158" i="14"/>
  <c r="K158" i="14" s="1"/>
  <c r="L157" i="14"/>
  <c r="F157" i="14"/>
  <c r="K157" i="14" s="1"/>
  <c r="L156" i="14"/>
  <c r="F156" i="14"/>
  <c r="K156" i="14" s="1"/>
  <c r="L155" i="14"/>
  <c r="F155" i="14"/>
  <c r="K155" i="14" s="1"/>
  <c r="L154" i="14"/>
  <c r="F154" i="14"/>
  <c r="K154" i="14" s="1"/>
  <c r="L153" i="14"/>
  <c r="F153" i="14"/>
  <c r="K153" i="14" s="1"/>
  <c r="L152" i="14"/>
  <c r="F152" i="14"/>
  <c r="K152" i="14" s="1"/>
  <c r="L151" i="14"/>
  <c r="F151" i="14"/>
  <c r="K151" i="14" s="1"/>
  <c r="L150" i="14"/>
  <c r="F150" i="14"/>
  <c r="K150" i="14" s="1"/>
  <c r="L149" i="14"/>
  <c r="F149" i="14"/>
  <c r="K149" i="14" s="1"/>
  <c r="L148" i="14"/>
  <c r="F148" i="14"/>
  <c r="K148" i="14" s="1"/>
  <c r="L147" i="14"/>
  <c r="F147" i="14"/>
  <c r="K147" i="14" s="1"/>
  <c r="I146" i="14"/>
  <c r="I145" i="14" s="1"/>
  <c r="H146" i="14"/>
  <c r="H145" i="14" s="1"/>
  <c r="H144" i="14" s="1"/>
  <c r="H200" i="14" s="1"/>
  <c r="G146" i="14"/>
  <c r="G145" i="14" s="1"/>
  <c r="G144" i="14" s="1"/>
  <c r="G200" i="14" s="1"/>
  <c r="E146" i="14"/>
  <c r="E145" i="14" s="1"/>
  <c r="E144" i="14" s="1"/>
  <c r="E200" i="14" s="1"/>
  <c r="D146" i="14"/>
  <c r="D145" i="14" s="1"/>
  <c r="D144" i="14" s="1"/>
  <c r="D200" i="14" s="1"/>
  <c r="C146" i="14"/>
  <c r="C145" i="14" s="1"/>
  <c r="C144" i="14" s="1"/>
  <c r="C200" i="14" s="1"/>
  <c r="L143" i="14"/>
  <c r="F143" i="14"/>
  <c r="F142" i="14" s="1"/>
  <c r="I142" i="14"/>
  <c r="H142" i="14"/>
  <c r="G142" i="14"/>
  <c r="E142" i="14"/>
  <c r="D142" i="14"/>
  <c r="C142" i="14"/>
  <c r="L141" i="14"/>
  <c r="L140" i="14"/>
  <c r="F140" i="14"/>
  <c r="K140" i="14" s="1"/>
  <c r="L139" i="14"/>
  <c r="F139" i="14"/>
  <c r="L138" i="14"/>
  <c r="F138" i="14"/>
  <c r="K138" i="14" s="1"/>
  <c r="J137" i="14"/>
  <c r="J136" i="14" s="1"/>
  <c r="J135" i="14" s="1"/>
  <c r="I137" i="14"/>
  <c r="I136" i="14" s="1"/>
  <c r="I135" i="14" s="1"/>
  <c r="H137" i="14"/>
  <c r="H136" i="14" s="1"/>
  <c r="H135" i="14" s="1"/>
  <c r="H128" i="14" s="1"/>
  <c r="H127" i="14" s="1"/>
  <c r="G137" i="14"/>
  <c r="G136" i="14" s="1"/>
  <c r="G135" i="14" s="1"/>
  <c r="G128" i="14" s="1"/>
  <c r="G127" i="14" s="1"/>
  <c r="E137" i="14"/>
  <c r="E136" i="14" s="1"/>
  <c r="E135" i="14" s="1"/>
  <c r="E128" i="14" s="1"/>
  <c r="E127" i="14" s="1"/>
  <c r="D137" i="14"/>
  <c r="D136" i="14" s="1"/>
  <c r="D135" i="14" s="1"/>
  <c r="C137" i="14"/>
  <c r="C136" i="14" s="1"/>
  <c r="C135" i="14" s="1"/>
  <c r="C128" i="14" s="1"/>
  <c r="C127" i="14" s="1"/>
  <c r="L134" i="14"/>
  <c r="F134" i="14"/>
  <c r="K134" i="14" s="1"/>
  <c r="L133" i="14"/>
  <c r="F133" i="14"/>
  <c r="K133" i="14" s="1"/>
  <c r="L132" i="14"/>
  <c r="F132" i="14"/>
  <c r="K132" i="14" s="1"/>
  <c r="AJ131" i="14"/>
  <c r="L131" i="14"/>
  <c r="F131" i="14"/>
  <c r="J131" i="14" s="1"/>
  <c r="L130" i="14"/>
  <c r="D130" i="14"/>
  <c r="D190" i="14" s="1"/>
  <c r="AJ129" i="14"/>
  <c r="AJ130" i="14" s="1"/>
  <c r="L129" i="14"/>
  <c r="F129" i="14"/>
  <c r="K129" i="14" s="1"/>
  <c r="L125" i="14"/>
  <c r="F125" i="14"/>
  <c r="J125" i="14" s="1"/>
  <c r="L124" i="14"/>
  <c r="F124" i="14"/>
  <c r="J124" i="14" s="1"/>
  <c r="L123" i="14"/>
  <c r="F123" i="14"/>
  <c r="J123" i="14" s="1"/>
  <c r="L122" i="14"/>
  <c r="F122" i="14"/>
  <c r="J122" i="14" s="1"/>
  <c r="L121" i="14"/>
  <c r="F121" i="14"/>
  <c r="J121" i="14" s="1"/>
  <c r="L120" i="14"/>
  <c r="F120" i="14"/>
  <c r="J120" i="14" s="1"/>
  <c r="L119" i="14"/>
  <c r="F119" i="14"/>
  <c r="K119" i="14" s="1"/>
  <c r="L118" i="14"/>
  <c r="F118" i="14"/>
  <c r="J118" i="14" s="1"/>
  <c r="L117" i="14"/>
  <c r="F117" i="14"/>
  <c r="J117" i="14" s="1"/>
  <c r="L116" i="14"/>
  <c r="F116" i="14"/>
  <c r="J116" i="14" s="1"/>
  <c r="L115" i="14"/>
  <c r="F115" i="14"/>
  <c r="K115" i="14" s="1"/>
  <c r="L114" i="14"/>
  <c r="F114" i="14"/>
  <c r="K114" i="14" s="1"/>
  <c r="L113" i="14"/>
  <c r="F113" i="14"/>
  <c r="K113" i="14" s="1"/>
  <c r="I112" i="14"/>
  <c r="I110" i="14" s="1"/>
  <c r="I109" i="14" s="1"/>
  <c r="H112" i="14"/>
  <c r="H110" i="14" s="1"/>
  <c r="H109" i="14" s="1"/>
  <c r="H107" i="14" s="1"/>
  <c r="G112" i="14"/>
  <c r="G110" i="14" s="1"/>
  <c r="G109" i="14" s="1"/>
  <c r="G107" i="14" s="1"/>
  <c r="E112" i="14"/>
  <c r="E110" i="14" s="1"/>
  <c r="E109" i="14" s="1"/>
  <c r="E107" i="14" s="1"/>
  <c r="D112" i="14"/>
  <c r="D110" i="14" s="1"/>
  <c r="D109" i="14" s="1"/>
  <c r="D107" i="14" s="1"/>
  <c r="C112" i="14"/>
  <c r="C110" i="14" s="1"/>
  <c r="L111" i="14"/>
  <c r="F111" i="14"/>
  <c r="K111" i="14" s="1"/>
  <c r="L108" i="14"/>
  <c r="F108" i="14"/>
  <c r="K108" i="14" s="1"/>
  <c r="L106" i="14"/>
  <c r="F106" i="14"/>
  <c r="J106" i="14" s="1"/>
  <c r="J105" i="14" s="1"/>
  <c r="I105" i="14"/>
  <c r="H105" i="14"/>
  <c r="G105" i="14"/>
  <c r="E105" i="14"/>
  <c r="D105" i="14"/>
  <c r="C105" i="14"/>
  <c r="L104" i="14"/>
  <c r="F104" i="14"/>
  <c r="K104" i="14" s="1"/>
  <c r="J103" i="14"/>
  <c r="I103" i="14"/>
  <c r="H103" i="14"/>
  <c r="G103" i="14"/>
  <c r="E103" i="14"/>
  <c r="D103" i="14"/>
  <c r="C103" i="14"/>
  <c r="L102" i="14"/>
  <c r="F102" i="14"/>
  <c r="K102" i="14" s="1"/>
  <c r="L101" i="14"/>
  <c r="F101" i="14"/>
  <c r="K101" i="14" s="1"/>
  <c r="L100" i="14"/>
  <c r="F100" i="14"/>
  <c r="J100" i="14" s="1"/>
  <c r="L99" i="14"/>
  <c r="F99" i="14"/>
  <c r="K99" i="14" s="1"/>
  <c r="L98" i="14"/>
  <c r="F98" i="14"/>
  <c r="K98" i="14" s="1"/>
  <c r="L97" i="14"/>
  <c r="F97" i="14"/>
  <c r="J97" i="14" s="1"/>
  <c r="L96" i="14"/>
  <c r="F96" i="14"/>
  <c r="K96" i="14" s="1"/>
  <c r="I95" i="14"/>
  <c r="H95" i="14"/>
  <c r="H94" i="14" s="1"/>
  <c r="G95" i="14"/>
  <c r="G94" i="14" s="1"/>
  <c r="E95" i="14"/>
  <c r="E94" i="14" s="1"/>
  <c r="D95" i="14"/>
  <c r="D94" i="14" s="1"/>
  <c r="C95" i="14"/>
  <c r="C94" i="14" s="1"/>
  <c r="L93" i="14"/>
  <c r="F93" i="14"/>
  <c r="K93" i="14" s="1"/>
  <c r="L92" i="14"/>
  <c r="F92" i="14"/>
  <c r="K92" i="14" s="1"/>
  <c r="L91" i="14"/>
  <c r="F91" i="14"/>
  <c r="K91" i="14" s="1"/>
  <c r="L90" i="14"/>
  <c r="F90" i="14"/>
  <c r="L89" i="14"/>
  <c r="F89" i="14"/>
  <c r="K89" i="14" s="1"/>
  <c r="I88" i="14"/>
  <c r="H88" i="14"/>
  <c r="G88" i="14"/>
  <c r="E88" i="14"/>
  <c r="D88" i="14"/>
  <c r="C88" i="14"/>
  <c r="L86" i="14"/>
  <c r="F86" i="14"/>
  <c r="F85" i="14" s="1"/>
  <c r="K85" i="14"/>
  <c r="J85" i="14"/>
  <c r="I85" i="14"/>
  <c r="H85" i="14"/>
  <c r="G85" i="14"/>
  <c r="E85" i="14"/>
  <c r="D85" i="14"/>
  <c r="C85" i="14"/>
  <c r="L83" i="14"/>
  <c r="F83" i="14"/>
  <c r="J83" i="14" s="1"/>
  <c r="J82" i="14" s="1"/>
  <c r="J81" i="14" s="1"/>
  <c r="I82" i="14"/>
  <c r="H82" i="14"/>
  <c r="H81" i="14" s="1"/>
  <c r="G82" i="14"/>
  <c r="G81" i="14" s="1"/>
  <c r="E82" i="14"/>
  <c r="E81" i="14" s="1"/>
  <c r="D82" i="14"/>
  <c r="D81" i="14" s="1"/>
  <c r="C82" i="14"/>
  <c r="C81" i="14" s="1"/>
  <c r="L80" i="14"/>
  <c r="F80" i="14"/>
  <c r="J80" i="14" s="1"/>
  <c r="L79" i="14"/>
  <c r="F79" i="14"/>
  <c r="K79" i="14" s="1"/>
  <c r="L78" i="14"/>
  <c r="F78" i="14"/>
  <c r="J78" i="14" s="1"/>
  <c r="L77" i="14"/>
  <c r="F77" i="14"/>
  <c r="K77" i="14" s="1"/>
  <c r="L76" i="14"/>
  <c r="F76" i="14"/>
  <c r="J76" i="14" s="1"/>
  <c r="L75" i="14"/>
  <c r="F75" i="14"/>
  <c r="K75" i="14" s="1"/>
  <c r="L74" i="14"/>
  <c r="F74" i="14"/>
  <c r="J74" i="14" s="1"/>
  <c r="L73" i="14"/>
  <c r="F73" i="14"/>
  <c r="K73" i="14" s="1"/>
  <c r="L72" i="14"/>
  <c r="F72" i="14"/>
  <c r="J72" i="14" s="1"/>
  <c r="L71" i="14"/>
  <c r="F71" i="14"/>
  <c r="K71" i="14" s="1"/>
  <c r="L70" i="14"/>
  <c r="F70" i="14"/>
  <c r="J70" i="14" s="1"/>
  <c r="L69" i="14"/>
  <c r="F69" i="14"/>
  <c r="K69" i="14" s="1"/>
  <c r="L68" i="14"/>
  <c r="F68" i="14"/>
  <c r="J68" i="14" s="1"/>
  <c r="L67" i="14"/>
  <c r="F67" i="14"/>
  <c r="K67" i="14" s="1"/>
  <c r="L66" i="14"/>
  <c r="F66" i="14"/>
  <c r="J66" i="14" s="1"/>
  <c r="L65" i="14"/>
  <c r="F65" i="14"/>
  <c r="K65" i="14" s="1"/>
  <c r="L64" i="14"/>
  <c r="F64" i="14"/>
  <c r="J64" i="14" s="1"/>
  <c r="L63" i="14"/>
  <c r="F63" i="14"/>
  <c r="K63" i="14" s="1"/>
  <c r="L62" i="14"/>
  <c r="F62" i="14"/>
  <c r="J62" i="14" s="1"/>
  <c r="L61" i="14"/>
  <c r="F61" i="14"/>
  <c r="J61" i="14" s="1"/>
  <c r="L60" i="14"/>
  <c r="F60" i="14"/>
  <c r="J60" i="14" s="1"/>
  <c r="L59" i="14"/>
  <c r="F59" i="14"/>
  <c r="J59" i="14" s="1"/>
  <c r="L58" i="14"/>
  <c r="F58" i="14"/>
  <c r="J58" i="14" s="1"/>
  <c r="L57" i="14"/>
  <c r="F57" i="14"/>
  <c r="J57" i="14" s="1"/>
  <c r="L56" i="14"/>
  <c r="F56" i="14"/>
  <c r="J56" i="14" s="1"/>
  <c r="L55" i="14"/>
  <c r="F55" i="14"/>
  <c r="K55" i="14" s="1"/>
  <c r="L54" i="14"/>
  <c r="F54" i="14"/>
  <c r="J54" i="14" s="1"/>
  <c r="L53" i="14"/>
  <c r="F53" i="14"/>
  <c r="K53" i="14" s="1"/>
  <c r="L52" i="14"/>
  <c r="F52" i="14"/>
  <c r="J52" i="14" s="1"/>
  <c r="L51" i="14"/>
  <c r="F51" i="14"/>
  <c r="K51" i="14" s="1"/>
  <c r="L50" i="14"/>
  <c r="F50" i="14"/>
  <c r="J50" i="14" s="1"/>
  <c r="L49" i="14"/>
  <c r="F49" i="14"/>
  <c r="K49" i="14" s="1"/>
  <c r="L48" i="14"/>
  <c r="F48" i="14"/>
  <c r="J48" i="14" s="1"/>
  <c r="L47" i="14"/>
  <c r="F47" i="14"/>
  <c r="K47" i="14" s="1"/>
  <c r="L46" i="14"/>
  <c r="F46" i="14"/>
  <c r="J46" i="14" s="1"/>
  <c r="I45" i="14"/>
  <c r="H45" i="14"/>
  <c r="G45" i="14"/>
  <c r="E45" i="14"/>
  <c r="D45" i="14"/>
  <c r="C45" i="14"/>
  <c r="L44" i="14"/>
  <c r="F44" i="14"/>
  <c r="K44" i="14" s="1"/>
  <c r="L43" i="14"/>
  <c r="F43" i="14"/>
  <c r="J43" i="14" s="1"/>
  <c r="L42" i="14"/>
  <c r="F42" i="14"/>
  <c r="J42" i="14" s="1"/>
  <c r="L41" i="14"/>
  <c r="F41" i="14"/>
  <c r="K41" i="14" s="1"/>
  <c r="L40" i="14"/>
  <c r="F40" i="14"/>
  <c r="J40" i="14" s="1"/>
  <c r="I39" i="14"/>
  <c r="H39" i="14"/>
  <c r="G39" i="14"/>
  <c r="E39" i="14"/>
  <c r="D39" i="14"/>
  <c r="C39" i="14"/>
  <c r="L38" i="14"/>
  <c r="F38" i="14"/>
  <c r="K38" i="14" s="1"/>
  <c r="L37" i="14"/>
  <c r="F37" i="14"/>
  <c r="K37" i="14" s="1"/>
  <c r="L36" i="14"/>
  <c r="F36" i="14"/>
  <c r="K36" i="14" s="1"/>
  <c r="L35" i="14"/>
  <c r="F35" i="14"/>
  <c r="K35" i="14" s="1"/>
  <c r="J34" i="14"/>
  <c r="I34" i="14"/>
  <c r="H34" i="14"/>
  <c r="G34" i="14"/>
  <c r="E34" i="14"/>
  <c r="D34" i="14"/>
  <c r="C34" i="14"/>
  <c r="L33" i="14"/>
  <c r="F33" i="14"/>
  <c r="K33" i="14" s="1"/>
  <c r="L32" i="14"/>
  <c r="F32" i="14"/>
  <c r="K32" i="14" s="1"/>
  <c r="L31" i="14"/>
  <c r="F31" i="14"/>
  <c r="K31" i="14" s="1"/>
  <c r="L30" i="14"/>
  <c r="F30" i="14"/>
  <c r="K30" i="14" s="1"/>
  <c r="L29" i="14"/>
  <c r="F29" i="14"/>
  <c r="K29" i="14" s="1"/>
  <c r="J28" i="14"/>
  <c r="I28" i="14"/>
  <c r="H28" i="14"/>
  <c r="G28" i="14"/>
  <c r="E28" i="14"/>
  <c r="D28" i="14"/>
  <c r="C28" i="14"/>
  <c r="L26" i="14"/>
  <c r="F26" i="14"/>
  <c r="K26" i="14" s="1"/>
  <c r="L25" i="14"/>
  <c r="F25" i="14"/>
  <c r="K25" i="14" s="1"/>
  <c r="L24" i="14"/>
  <c r="F24" i="14"/>
  <c r="K24" i="14" s="1"/>
  <c r="L23" i="14"/>
  <c r="F23" i="14"/>
  <c r="K23" i="14" s="1"/>
  <c r="L22" i="14"/>
  <c r="F22" i="14"/>
  <c r="K22" i="14" s="1"/>
  <c r="L21" i="14"/>
  <c r="F21" i="14"/>
  <c r="K21" i="14" s="1"/>
  <c r="L20" i="14"/>
  <c r="F20" i="14"/>
  <c r="K20" i="14" s="1"/>
  <c r="L19" i="14"/>
  <c r="F19" i="14"/>
  <c r="K19" i="14" s="1"/>
  <c r="L18" i="14"/>
  <c r="F18" i="14"/>
  <c r="K18" i="14" s="1"/>
  <c r="L17" i="14"/>
  <c r="F17" i="14"/>
  <c r="K17" i="14" s="1"/>
  <c r="L16" i="14"/>
  <c r="F16" i="14"/>
  <c r="L15" i="14"/>
  <c r="F15" i="14"/>
  <c r="K15" i="14" s="1"/>
  <c r="I14" i="14"/>
  <c r="I13" i="14" s="1"/>
  <c r="H14" i="14"/>
  <c r="H13" i="14" s="1"/>
  <c r="G14" i="14"/>
  <c r="G13" i="14" s="1"/>
  <c r="E14" i="14"/>
  <c r="E13" i="14" s="1"/>
  <c r="D14" i="14"/>
  <c r="D13" i="14" s="1"/>
  <c r="C14" i="14"/>
  <c r="C13" i="14" s="1"/>
  <c r="C27" i="14" l="1"/>
  <c r="C12" i="14" s="1"/>
  <c r="C11" i="14" s="1"/>
  <c r="H87" i="14"/>
  <c r="H84" i="14" s="1"/>
  <c r="H188" i="14" s="1"/>
  <c r="L103" i="14"/>
  <c r="I189" i="14"/>
  <c r="F195" i="14"/>
  <c r="F193" i="14" s="1"/>
  <c r="L28" i="14"/>
  <c r="L85" i="14"/>
  <c r="J41" i="14"/>
  <c r="G87" i="14"/>
  <c r="G84" i="14" s="1"/>
  <c r="G188" i="14" s="1"/>
  <c r="K177" i="14"/>
  <c r="K97" i="14"/>
  <c r="L39" i="14"/>
  <c r="G203" i="14"/>
  <c r="L34" i="14"/>
  <c r="L142" i="14"/>
  <c r="J44" i="14"/>
  <c r="I199" i="14"/>
  <c r="L45" i="14"/>
  <c r="E87" i="14"/>
  <c r="E84" i="14" s="1"/>
  <c r="E188" i="14" s="1"/>
  <c r="I27" i="14"/>
  <c r="I12" i="14" s="1"/>
  <c r="H27" i="14"/>
  <c r="H12" i="14" s="1"/>
  <c r="H11" i="14" s="1"/>
  <c r="F88" i="14"/>
  <c r="K88" i="14" s="1"/>
  <c r="L95" i="14"/>
  <c r="K122" i="14"/>
  <c r="E166" i="14"/>
  <c r="E160" i="14" s="1"/>
  <c r="G189" i="14"/>
  <c r="C189" i="14"/>
  <c r="H189" i="14"/>
  <c r="K43" i="14"/>
  <c r="K64" i="14"/>
  <c r="K142" i="14"/>
  <c r="G201" i="14"/>
  <c r="G193" i="14"/>
  <c r="H126" i="14"/>
  <c r="G27" i="14"/>
  <c r="G12" i="14" s="1"/>
  <c r="G11" i="14" s="1"/>
  <c r="G10" i="14" s="1"/>
  <c r="G9" i="14" s="1"/>
  <c r="D87" i="14"/>
  <c r="D84" i="14" s="1"/>
  <c r="D188" i="14" s="1"/>
  <c r="H166" i="14"/>
  <c r="H160" i="14" s="1"/>
  <c r="J168" i="14"/>
  <c r="J199" i="14"/>
  <c r="C166" i="14"/>
  <c r="C160" i="14" s="1"/>
  <c r="C87" i="14"/>
  <c r="C84" i="14" s="1"/>
  <c r="C188" i="14" s="1"/>
  <c r="I166" i="14"/>
  <c r="I160" i="14" s="1"/>
  <c r="K168" i="14"/>
  <c r="D189" i="14"/>
  <c r="J55" i="14"/>
  <c r="D199" i="14"/>
  <c r="E189" i="14"/>
  <c r="I94" i="14"/>
  <c r="L94" i="14" s="1"/>
  <c r="C199" i="14"/>
  <c r="C196" i="14" s="1"/>
  <c r="E199" i="14"/>
  <c r="E196" i="14" s="1"/>
  <c r="K100" i="14"/>
  <c r="G199" i="14"/>
  <c r="L167" i="14"/>
  <c r="H199" i="14"/>
  <c r="H196" i="14" s="1"/>
  <c r="K52" i="14"/>
  <c r="F112" i="14"/>
  <c r="K112" i="14" s="1"/>
  <c r="K58" i="14"/>
  <c r="J133" i="14"/>
  <c r="K165" i="14"/>
  <c r="J115" i="14"/>
  <c r="K121" i="14"/>
  <c r="J113" i="14"/>
  <c r="J119" i="14"/>
  <c r="J143" i="14"/>
  <c r="K57" i="14"/>
  <c r="K143" i="14"/>
  <c r="F192" i="14"/>
  <c r="E126" i="14"/>
  <c r="F137" i="14"/>
  <c r="F199" i="14" s="1"/>
  <c r="F161" i="14"/>
  <c r="F201" i="14" s="1"/>
  <c r="K169" i="14"/>
  <c r="F198" i="14"/>
  <c r="F197" i="14" s="1"/>
  <c r="F191" i="14"/>
  <c r="D167" i="14"/>
  <c r="D203" i="14" s="1"/>
  <c r="F14" i="14"/>
  <c r="F13" i="14" s="1"/>
  <c r="K13" i="14" s="1"/>
  <c r="L105" i="14"/>
  <c r="K117" i="14"/>
  <c r="K162" i="14"/>
  <c r="K175" i="14"/>
  <c r="J180" i="14"/>
  <c r="J98" i="14"/>
  <c r="K125" i="14"/>
  <c r="J170" i="14"/>
  <c r="J178" i="14"/>
  <c r="J96" i="14"/>
  <c r="K118" i="14"/>
  <c r="L164" i="14"/>
  <c r="J174" i="14"/>
  <c r="J176" i="14"/>
  <c r="J90" i="14"/>
  <c r="D27" i="14"/>
  <c r="D12" i="14" s="1"/>
  <c r="D11" i="14" s="1"/>
  <c r="K40" i="14"/>
  <c r="K106" i="14"/>
  <c r="E27" i="14"/>
  <c r="E12" i="14" s="1"/>
  <c r="E11" i="14" s="1"/>
  <c r="F34" i="14"/>
  <c r="K34" i="14" s="1"/>
  <c r="F39" i="14"/>
  <c r="K39" i="14" s="1"/>
  <c r="K50" i="14"/>
  <c r="L82" i="14"/>
  <c r="J101" i="14"/>
  <c r="J114" i="14"/>
  <c r="K116" i="14"/>
  <c r="K123" i="14"/>
  <c r="K42" i="14"/>
  <c r="K131" i="14"/>
  <c r="K59" i="14"/>
  <c r="J99" i="14"/>
  <c r="F105" i="14"/>
  <c r="K105" i="14" s="1"/>
  <c r="L161" i="14"/>
  <c r="K179" i="14"/>
  <c r="K61" i="14"/>
  <c r="K120" i="14"/>
  <c r="L112" i="14"/>
  <c r="F95" i="14"/>
  <c r="F94" i="14" s="1"/>
  <c r="F45" i="14"/>
  <c r="K45" i="14" s="1"/>
  <c r="J92" i="14"/>
  <c r="K124" i="14"/>
  <c r="D128" i="14"/>
  <c r="D127" i="14" s="1"/>
  <c r="D126" i="14" s="1"/>
  <c r="K171" i="14"/>
  <c r="J171" i="14"/>
  <c r="F167" i="14"/>
  <c r="F203" i="14" s="1"/>
  <c r="C109" i="14"/>
  <c r="C107" i="14" s="1"/>
  <c r="I128" i="14"/>
  <c r="L135" i="14"/>
  <c r="L13" i="14"/>
  <c r="C126" i="14"/>
  <c r="J173" i="14"/>
  <c r="K173" i="14"/>
  <c r="I144" i="14"/>
  <c r="I200" i="14" s="1"/>
  <c r="L145" i="14"/>
  <c r="L109" i="14"/>
  <c r="I107" i="14"/>
  <c r="G126" i="14"/>
  <c r="G160" i="14"/>
  <c r="K46" i="14"/>
  <c r="K48" i="14"/>
  <c r="K54" i="14"/>
  <c r="K56" i="14"/>
  <c r="K60" i="14"/>
  <c r="K62" i="14"/>
  <c r="K66" i="14"/>
  <c r="K68" i="14"/>
  <c r="K70" i="14"/>
  <c r="K72" i="14"/>
  <c r="K74" i="14"/>
  <c r="K76" i="14"/>
  <c r="K78" i="14"/>
  <c r="K80" i="14"/>
  <c r="I81" i="14"/>
  <c r="K83" i="14"/>
  <c r="J16" i="14"/>
  <c r="J18" i="14"/>
  <c r="J20" i="14"/>
  <c r="J22" i="14"/>
  <c r="J24" i="14"/>
  <c r="J26" i="14"/>
  <c r="F28" i="14"/>
  <c r="K90" i="14"/>
  <c r="F130" i="14"/>
  <c r="F190" i="14" s="1"/>
  <c r="K139" i="14"/>
  <c r="J172" i="14"/>
  <c r="K16" i="14"/>
  <c r="J47" i="14"/>
  <c r="J49" i="14"/>
  <c r="J51" i="14"/>
  <c r="J53" i="14"/>
  <c r="J63" i="14"/>
  <c r="J65" i="14"/>
  <c r="J67" i="14"/>
  <c r="J69" i="14"/>
  <c r="J71" i="14"/>
  <c r="J73" i="14"/>
  <c r="J75" i="14"/>
  <c r="J77" i="14"/>
  <c r="J79" i="14"/>
  <c r="L88" i="14"/>
  <c r="F103" i="14"/>
  <c r="K103" i="14" s="1"/>
  <c r="L110" i="14"/>
  <c r="L136" i="14"/>
  <c r="L146" i="14"/>
  <c r="L14" i="14"/>
  <c r="J89" i="14"/>
  <c r="J91" i="14"/>
  <c r="J93" i="14"/>
  <c r="J102" i="14"/>
  <c r="J111" i="14"/>
  <c r="J129" i="14"/>
  <c r="J132" i="14"/>
  <c r="J134" i="14"/>
  <c r="J191" i="14" s="1"/>
  <c r="L137" i="14"/>
  <c r="F146" i="14"/>
  <c r="F145" i="14" s="1"/>
  <c r="F144" i="14" s="1"/>
  <c r="F200" i="14" s="1"/>
  <c r="J147" i="14"/>
  <c r="J146" i="14" s="1"/>
  <c r="J145" i="14" s="1"/>
  <c r="J144" i="14" s="1"/>
  <c r="J200" i="14" s="1"/>
  <c r="J15" i="14"/>
  <c r="J17" i="14"/>
  <c r="J19" i="14"/>
  <c r="J21" i="14"/>
  <c r="J23" i="14"/>
  <c r="J25" i="14"/>
  <c r="K164" i="14"/>
  <c r="F82" i="14"/>
  <c r="F81" i="14" s="1"/>
  <c r="I70" i="13"/>
  <c r="I69" i="13" s="1"/>
  <c r="H69" i="13"/>
  <c r="G69" i="13"/>
  <c r="F69" i="13"/>
  <c r="E69" i="13"/>
  <c r="D69" i="13"/>
  <c r="I68" i="13"/>
  <c r="I67" i="13"/>
  <c r="I66" i="13"/>
  <c r="I65" i="13"/>
  <c r="H64" i="13"/>
  <c r="G64" i="13"/>
  <c r="F64" i="13"/>
  <c r="E64" i="13"/>
  <c r="D64" i="13"/>
  <c r="I62" i="13"/>
  <c r="I61" i="13" s="1"/>
  <c r="H61" i="13"/>
  <c r="G61" i="13"/>
  <c r="F61" i="13"/>
  <c r="E61" i="13"/>
  <c r="D61" i="13"/>
  <c r="I60" i="13"/>
  <c r="I59" i="13" s="1"/>
  <c r="H59" i="13"/>
  <c r="G59" i="13"/>
  <c r="F59" i="13"/>
  <c r="E59" i="13"/>
  <c r="D59" i="13"/>
  <c r="I57" i="13"/>
  <c r="I56" i="13" s="1"/>
  <c r="H56" i="13"/>
  <c r="G56" i="13"/>
  <c r="F56" i="13"/>
  <c r="E56" i="13"/>
  <c r="D56" i="13"/>
  <c r="I55" i="13"/>
  <c r="I54" i="13"/>
  <c r="H53" i="13"/>
  <c r="G53" i="13"/>
  <c r="F53" i="13"/>
  <c r="E53" i="13"/>
  <c r="D53" i="13"/>
  <c r="I52" i="13"/>
  <c r="I51" i="13"/>
  <c r="I50" i="13"/>
  <c r="I49" i="13"/>
  <c r="H48" i="13"/>
  <c r="G48" i="13"/>
  <c r="F48" i="13"/>
  <c r="E48" i="13"/>
  <c r="D48" i="13"/>
  <c r="I47" i="13"/>
  <c r="I46" i="13"/>
  <c r="I45" i="13"/>
  <c r="I44" i="13"/>
  <c r="H43" i="13"/>
  <c r="G43" i="13"/>
  <c r="F43" i="13"/>
  <c r="E43" i="13"/>
  <c r="D43" i="13"/>
  <c r="I42" i="13"/>
  <c r="I41" i="13"/>
  <c r="K40" i="13"/>
  <c r="I40" i="13"/>
  <c r="H39" i="13"/>
  <c r="G39" i="13"/>
  <c r="F39" i="13"/>
  <c r="E39" i="13"/>
  <c r="D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H26" i="13"/>
  <c r="G26" i="13"/>
  <c r="F26" i="13"/>
  <c r="E26" i="13"/>
  <c r="D26" i="13"/>
  <c r="I23" i="13"/>
  <c r="I22" i="13" s="1"/>
  <c r="H22" i="13"/>
  <c r="G22" i="13"/>
  <c r="F22" i="13"/>
  <c r="E22" i="13"/>
  <c r="D22" i="13"/>
  <c r="I21" i="13"/>
  <c r="I20" i="13" s="1"/>
  <c r="I19" i="13" s="1"/>
  <c r="H20" i="13"/>
  <c r="H19" i="13" s="1"/>
  <c r="G20" i="13"/>
  <c r="G19" i="13" s="1"/>
  <c r="F20" i="13"/>
  <c r="F19" i="13" s="1"/>
  <c r="E20" i="13"/>
  <c r="E19" i="13" s="1"/>
  <c r="D20" i="13"/>
  <c r="D19" i="13" s="1"/>
  <c r="I18" i="13"/>
  <c r="I17" i="13" s="1"/>
  <c r="H17" i="13"/>
  <c r="G17" i="13"/>
  <c r="F17" i="13"/>
  <c r="E17" i="13"/>
  <c r="D17" i="13"/>
  <c r="I16" i="13"/>
  <c r="I15" i="13"/>
  <c r="I14" i="13" s="1"/>
  <c r="H14" i="13"/>
  <c r="H13" i="13" s="1"/>
  <c r="G14" i="13"/>
  <c r="G13" i="13" s="1"/>
  <c r="F14" i="13"/>
  <c r="F13" i="13" s="1"/>
  <c r="E14" i="13"/>
  <c r="E13" i="13" s="1"/>
  <c r="D14" i="13"/>
  <c r="D13" i="13" s="1"/>
  <c r="I12" i="13"/>
  <c r="I11" i="13"/>
  <c r="I10" i="13"/>
  <c r="H9" i="13"/>
  <c r="H7" i="13" s="1"/>
  <c r="G9" i="13"/>
  <c r="G7" i="13" s="1"/>
  <c r="F9" i="13"/>
  <c r="F7" i="13" s="1"/>
  <c r="E9" i="13"/>
  <c r="E7" i="13" s="1"/>
  <c r="D9" i="13"/>
  <c r="D7" i="13" s="1"/>
  <c r="I8" i="13"/>
  <c r="I1" i="13"/>
  <c r="K161" i="14" l="1"/>
  <c r="L27" i="14"/>
  <c r="D58" i="13"/>
  <c r="H6" i="13"/>
  <c r="H63" i="13"/>
  <c r="D63" i="13"/>
  <c r="I9" i="13"/>
  <c r="I7" i="13" s="1"/>
  <c r="E63" i="13"/>
  <c r="G63" i="13"/>
  <c r="I64" i="13"/>
  <c r="I63" i="13" s="1"/>
  <c r="E6" i="13"/>
  <c r="I53" i="13"/>
  <c r="F63" i="13"/>
  <c r="J39" i="14"/>
  <c r="J27" i="14" s="1"/>
  <c r="G25" i="13"/>
  <c r="G24" i="13" s="1"/>
  <c r="E58" i="13"/>
  <c r="E25" i="13"/>
  <c r="E24" i="13" s="1"/>
  <c r="F58" i="13"/>
  <c r="I39" i="13"/>
  <c r="I87" i="14"/>
  <c r="L87" i="14" s="1"/>
  <c r="D6" i="13"/>
  <c r="I13" i="13"/>
  <c r="D25" i="13"/>
  <c r="D24" i="13" s="1"/>
  <c r="G6" i="13"/>
  <c r="I26" i="13"/>
  <c r="F25" i="13"/>
  <c r="F24" i="13" s="1"/>
  <c r="H58" i="13"/>
  <c r="G58" i="13"/>
  <c r="I58" i="13"/>
  <c r="F6" i="13"/>
  <c r="I43" i="13"/>
  <c r="H25" i="13"/>
  <c r="H24" i="13" s="1"/>
  <c r="I48" i="13"/>
  <c r="L160" i="14"/>
  <c r="F87" i="14"/>
  <c r="F110" i="14"/>
  <c r="F109" i="14" s="1"/>
  <c r="K109" i="14" s="1"/>
  <c r="J195" i="14"/>
  <c r="J193" i="14" s="1"/>
  <c r="I196" i="14"/>
  <c r="F136" i="14"/>
  <c r="F135" i="14" s="1"/>
  <c r="K135" i="14" s="1"/>
  <c r="G187" i="14"/>
  <c r="G186" i="14" s="1"/>
  <c r="G185" i="14" s="1"/>
  <c r="G196" i="14"/>
  <c r="J112" i="14"/>
  <c r="J110" i="14" s="1"/>
  <c r="J109" i="14" s="1"/>
  <c r="J107" i="14" s="1"/>
  <c r="F196" i="14"/>
  <c r="L166" i="14"/>
  <c r="K137" i="14"/>
  <c r="K95" i="14"/>
  <c r="D166" i="14"/>
  <c r="D160" i="14" s="1"/>
  <c r="D196" i="14"/>
  <c r="F189" i="14"/>
  <c r="J95" i="14"/>
  <c r="J94" i="14" s="1"/>
  <c r="J45" i="14"/>
  <c r="J142" i="14"/>
  <c r="J192" i="14"/>
  <c r="J198" i="14"/>
  <c r="J197" i="14" s="1"/>
  <c r="C10" i="14"/>
  <c r="C9" i="14" s="1"/>
  <c r="C8" i="14" s="1"/>
  <c r="C187" i="14"/>
  <c r="C186" i="14" s="1"/>
  <c r="C185" i="14" s="1"/>
  <c r="C184" i="14" s="1"/>
  <c r="H10" i="14"/>
  <c r="H9" i="14" s="1"/>
  <c r="H8" i="14" s="1"/>
  <c r="H187" i="14"/>
  <c r="H186" i="14" s="1"/>
  <c r="H185" i="14" s="1"/>
  <c r="H184" i="14" s="1"/>
  <c r="J88" i="14"/>
  <c r="J167" i="14"/>
  <c r="J203" i="14" s="1"/>
  <c r="D10" i="14"/>
  <c r="D9" i="14" s="1"/>
  <c r="D8" i="14" s="1"/>
  <c r="D187" i="14"/>
  <c r="D186" i="14" s="1"/>
  <c r="D185" i="14" s="1"/>
  <c r="G8" i="14"/>
  <c r="E10" i="14"/>
  <c r="E9" i="14" s="1"/>
  <c r="E8" i="14" s="1"/>
  <c r="E187" i="14"/>
  <c r="E186" i="14" s="1"/>
  <c r="E185" i="14" s="1"/>
  <c r="E184" i="14" s="1"/>
  <c r="K14" i="14"/>
  <c r="K94" i="14"/>
  <c r="K146" i="14"/>
  <c r="K28" i="14"/>
  <c r="F27" i="14"/>
  <c r="L81" i="14"/>
  <c r="K81" i="14"/>
  <c r="K145" i="14"/>
  <c r="L107" i="14"/>
  <c r="K130" i="14"/>
  <c r="J130" i="14"/>
  <c r="J190" i="14" s="1"/>
  <c r="I11" i="14"/>
  <c r="I187" i="14" s="1"/>
  <c r="L12" i="14"/>
  <c r="F166" i="14"/>
  <c r="K167" i="14"/>
  <c r="J14" i="14"/>
  <c r="J13" i="14" s="1"/>
  <c r="I127" i="14"/>
  <c r="L128" i="14"/>
  <c r="L144" i="14"/>
  <c r="K144" i="14"/>
  <c r="K82" i="14"/>
  <c r="D5" i="13" l="1"/>
  <c r="K110" i="14"/>
  <c r="E5" i="13"/>
  <c r="E2" i="13" s="1"/>
  <c r="J12" i="14"/>
  <c r="J11" i="14" s="1"/>
  <c r="J187" i="14" s="1"/>
  <c r="I6" i="13"/>
  <c r="F107" i="14"/>
  <c r="K107" i="14" s="1"/>
  <c r="I84" i="14"/>
  <c r="I188" i="14" s="1"/>
  <c r="I186" i="14" s="1"/>
  <c r="I185" i="14" s="1"/>
  <c r="I184" i="14" s="1"/>
  <c r="I25" i="13"/>
  <c r="I24" i="13" s="1"/>
  <c r="F5" i="13"/>
  <c r="F2" i="13" s="1"/>
  <c r="F84" i="14"/>
  <c r="F188" i="14" s="1"/>
  <c r="H5" i="13"/>
  <c r="H2" i="13" s="1"/>
  <c r="K87" i="14"/>
  <c r="G5" i="13"/>
  <c r="G184" i="14"/>
  <c r="K136" i="14"/>
  <c r="F128" i="14"/>
  <c r="J128" i="14"/>
  <c r="J127" i="14" s="1"/>
  <c r="J126" i="14" s="1"/>
  <c r="D184" i="14"/>
  <c r="J166" i="14"/>
  <c r="J160" i="14" s="1"/>
  <c r="J196" i="14"/>
  <c r="J189" i="14"/>
  <c r="J87" i="14"/>
  <c r="J84" i="14" s="1"/>
  <c r="J188" i="14" s="1"/>
  <c r="C7" i="14"/>
  <c r="C6" i="14" s="1"/>
  <c r="C5" i="14" s="1"/>
  <c r="C205" i="14" s="1"/>
  <c r="C206" i="14" s="1"/>
  <c r="E7" i="14"/>
  <c r="E6" i="14" s="1"/>
  <c r="E5" i="14" s="1"/>
  <c r="E205" i="14" s="1"/>
  <c r="E206" i="14" s="1"/>
  <c r="D7" i="14"/>
  <c r="D6" i="14" s="1"/>
  <c r="D5" i="14" s="1"/>
  <c r="D205" i="14" s="1"/>
  <c r="H7" i="14"/>
  <c r="H6" i="14" s="1"/>
  <c r="H5" i="14" s="1"/>
  <c r="H205" i="14" s="1"/>
  <c r="H206" i="14" s="1"/>
  <c r="G7" i="14"/>
  <c r="G6" i="14" s="1"/>
  <c r="G5" i="14" s="1"/>
  <c r="G205" i="14" s="1"/>
  <c r="I126" i="14"/>
  <c r="L127" i="14"/>
  <c r="L11" i="14"/>
  <c r="I10" i="14"/>
  <c r="F12" i="14"/>
  <c r="K27" i="14"/>
  <c r="F160" i="14"/>
  <c r="K160" i="14" s="1"/>
  <c r="K166" i="14"/>
  <c r="I5" i="13" l="1"/>
  <c r="J10" i="14"/>
  <c r="J9" i="14" s="1"/>
  <c r="J8" i="14" s="1"/>
  <c r="J7" i="14" s="1"/>
  <c r="J6" i="14" s="1"/>
  <c r="J5" i="14" s="1"/>
  <c r="J205" i="14" s="1"/>
  <c r="L84" i="14"/>
  <c r="K84" i="14"/>
  <c r="K5" i="13"/>
  <c r="AE436" i="12" s="1"/>
  <c r="G2" i="13"/>
  <c r="I2" i="13" s="1"/>
  <c r="F127" i="14"/>
  <c r="K128" i="14"/>
  <c r="G206" i="14"/>
  <c r="D206" i="14"/>
  <c r="J186" i="14"/>
  <c r="J185" i="14" s="1"/>
  <c r="J184" i="14" s="1"/>
  <c r="L126" i="14"/>
  <c r="F11" i="14"/>
  <c r="F187" i="14" s="1"/>
  <c r="F186" i="14" s="1"/>
  <c r="F185" i="14" s="1"/>
  <c r="F184" i="14" s="1"/>
  <c r="K12" i="14"/>
  <c r="I9" i="14"/>
  <c r="L10" i="14"/>
  <c r="F126" i="14" l="1"/>
  <c r="K126" i="14" s="1"/>
  <c r="K127" i="14"/>
  <c r="J206" i="14"/>
  <c r="I8" i="14"/>
  <c r="L9" i="14"/>
  <c r="F10" i="14"/>
  <c r="K11" i="14"/>
  <c r="F9" i="14" l="1"/>
  <c r="K10" i="14"/>
  <c r="I7" i="14"/>
  <c r="L8" i="14"/>
  <c r="U27" i="10"/>
  <c r="T27" i="10"/>
  <c r="T23" i="10"/>
  <c r="T21" i="10"/>
  <c r="L7" i="14" l="1"/>
  <c r="I6" i="14"/>
  <c r="F8" i="14"/>
  <c r="K9" i="14"/>
  <c r="K15" i="10"/>
  <c r="F7" i="14" l="1"/>
  <c r="K8" i="14"/>
  <c r="I5" i="14"/>
  <c r="I205" i="14" s="1"/>
  <c r="I206" i="14" s="1"/>
  <c r="L6" i="14"/>
  <c r="Q419" i="12"/>
  <c r="N419" i="12"/>
  <c r="I419" i="12"/>
  <c r="M419" i="12" s="1"/>
  <c r="J419" i="12" l="1"/>
  <c r="O419" i="12"/>
  <c r="P419" i="12"/>
  <c r="AC419" i="12" s="1"/>
  <c r="L5" i="14"/>
  <c r="F6" i="14"/>
  <c r="K7" i="14"/>
  <c r="N436" i="12"/>
  <c r="L436" i="12"/>
  <c r="K436" i="12"/>
  <c r="I436" i="12"/>
  <c r="H436" i="12"/>
  <c r="Y434" i="12"/>
  <c r="X434" i="12"/>
  <c r="W434" i="12"/>
  <c r="V434" i="12"/>
  <c r="U434" i="12"/>
  <c r="T434" i="12"/>
  <c r="S434" i="12"/>
  <c r="R434" i="12"/>
  <c r="Y433" i="12"/>
  <c r="X433" i="12"/>
  <c r="W433" i="12"/>
  <c r="V433" i="12"/>
  <c r="U433" i="12"/>
  <c r="T433" i="12"/>
  <c r="S433" i="12"/>
  <c r="R433" i="12"/>
  <c r="Y432" i="12"/>
  <c r="X432" i="12"/>
  <c r="W432" i="12"/>
  <c r="V432" i="12"/>
  <c r="U432" i="12"/>
  <c r="T432" i="12"/>
  <c r="S432" i="12"/>
  <c r="R432" i="12"/>
  <c r="N432" i="12"/>
  <c r="L432" i="12"/>
  <c r="K432" i="12"/>
  <c r="I432" i="12"/>
  <c r="H432" i="12"/>
  <c r="Y431" i="12"/>
  <c r="X431" i="12"/>
  <c r="W431" i="12"/>
  <c r="V431" i="12"/>
  <c r="U431" i="12"/>
  <c r="T431" i="12"/>
  <c r="S431" i="12"/>
  <c r="R431" i="12"/>
  <c r="Y430" i="12"/>
  <c r="X430" i="12"/>
  <c r="W430" i="12"/>
  <c r="V430" i="12"/>
  <c r="U430" i="12"/>
  <c r="T430" i="12"/>
  <c r="S430" i="12"/>
  <c r="R430" i="12"/>
  <c r="Y429" i="12"/>
  <c r="X429" i="12"/>
  <c r="W429" i="12"/>
  <c r="V429" i="12"/>
  <c r="U429" i="12"/>
  <c r="T429" i="12"/>
  <c r="S429" i="12"/>
  <c r="R429" i="12"/>
  <c r="N429" i="12"/>
  <c r="L429" i="12"/>
  <c r="K429" i="12"/>
  <c r="I429" i="12"/>
  <c r="H429" i="12"/>
  <c r="AA429" i="12" s="1"/>
  <c r="Y428" i="12"/>
  <c r="X428" i="12"/>
  <c r="W428" i="12"/>
  <c r="V428" i="12"/>
  <c r="U428" i="12"/>
  <c r="T428" i="12"/>
  <c r="S428" i="12"/>
  <c r="R428" i="12"/>
  <c r="N428" i="12"/>
  <c r="L428" i="12"/>
  <c r="K428" i="12"/>
  <c r="I428" i="12"/>
  <c r="H428" i="12"/>
  <c r="AA428" i="12" s="1"/>
  <c r="Y435" i="12"/>
  <c r="X435" i="12"/>
  <c r="W435" i="12"/>
  <c r="V435" i="12"/>
  <c r="U435" i="12"/>
  <c r="T435" i="12"/>
  <c r="S435" i="12"/>
  <c r="R435" i="12"/>
  <c r="Y427" i="12"/>
  <c r="X427" i="12"/>
  <c r="W427" i="12"/>
  <c r="V427" i="12"/>
  <c r="U427" i="12"/>
  <c r="T427" i="12"/>
  <c r="S427" i="12"/>
  <c r="R427" i="12"/>
  <c r="Y426" i="12"/>
  <c r="X426" i="12"/>
  <c r="W426" i="12"/>
  <c r="V426" i="12"/>
  <c r="U426" i="12"/>
  <c r="T426" i="12"/>
  <c r="S426" i="12"/>
  <c r="R426" i="12"/>
  <c r="Y425" i="12"/>
  <c r="X425" i="12"/>
  <c r="W425" i="12"/>
  <c r="V425" i="12"/>
  <c r="U425" i="12"/>
  <c r="T425" i="12"/>
  <c r="S425" i="12"/>
  <c r="R425" i="12"/>
  <c r="N425" i="12"/>
  <c r="L425" i="12"/>
  <c r="K425" i="12"/>
  <c r="I425" i="12"/>
  <c r="H425" i="12"/>
  <c r="AA425" i="12" s="1"/>
  <c r="Y424" i="12"/>
  <c r="X424" i="12"/>
  <c r="W424" i="12"/>
  <c r="V424" i="12"/>
  <c r="U424" i="12"/>
  <c r="T424" i="12"/>
  <c r="S424" i="12"/>
  <c r="R424" i="12"/>
  <c r="N424" i="12"/>
  <c r="L424" i="12"/>
  <c r="K424" i="12"/>
  <c r="I424" i="12"/>
  <c r="H424" i="12"/>
  <c r="Y423" i="12"/>
  <c r="X423" i="12"/>
  <c r="W423" i="12"/>
  <c r="V423" i="12"/>
  <c r="U423" i="12"/>
  <c r="T423" i="12"/>
  <c r="S423" i="12"/>
  <c r="R423" i="12"/>
  <c r="Y422" i="12"/>
  <c r="X422" i="12"/>
  <c r="W422" i="12"/>
  <c r="V422" i="12"/>
  <c r="U422" i="12"/>
  <c r="T422" i="12"/>
  <c r="S422" i="12"/>
  <c r="R422" i="12"/>
  <c r="Y421" i="12"/>
  <c r="X421" i="12"/>
  <c r="W421" i="12"/>
  <c r="V421" i="12"/>
  <c r="U421" i="12"/>
  <c r="T421" i="12"/>
  <c r="S421" i="12"/>
  <c r="R421" i="12"/>
  <c r="G202" i="12"/>
  <c r="J202" i="12" s="1"/>
  <c r="G197" i="12"/>
  <c r="B433" i="12"/>
  <c r="Q412" i="12"/>
  <c r="P412" i="12"/>
  <c r="O412" i="12"/>
  <c r="N412" i="12"/>
  <c r="M412" i="12"/>
  <c r="L412" i="12"/>
  <c r="K412" i="12"/>
  <c r="J412" i="12"/>
  <c r="I412" i="12"/>
  <c r="H412" i="12"/>
  <c r="G412" i="12"/>
  <c r="F412" i="12"/>
  <c r="E412" i="12"/>
  <c r="D412" i="12"/>
  <c r="C412" i="12"/>
  <c r="B412" i="12"/>
  <c r="B420" i="12"/>
  <c r="B417" i="12"/>
  <c r="B416" i="12"/>
  <c r="B415" i="12"/>
  <c r="B414" i="12"/>
  <c r="B413" i="12"/>
  <c r="Q408" i="12"/>
  <c r="O408" i="12"/>
  <c r="M408" i="12"/>
  <c r="G408" i="12"/>
  <c r="P408" i="12" s="1"/>
  <c r="Q407" i="12"/>
  <c r="O407" i="12"/>
  <c r="M407" i="12"/>
  <c r="G407" i="12"/>
  <c r="J407" i="12" s="1"/>
  <c r="Q406" i="12"/>
  <c r="O406" i="12"/>
  <c r="M406" i="12"/>
  <c r="G406" i="12"/>
  <c r="P406" i="12" s="1"/>
  <c r="Q405" i="12"/>
  <c r="O405" i="12"/>
  <c r="M405" i="12"/>
  <c r="G405" i="12"/>
  <c r="P405" i="12" s="1"/>
  <c r="Q404" i="12"/>
  <c r="O404" i="12"/>
  <c r="M404" i="12"/>
  <c r="G404" i="12"/>
  <c r="P404" i="12" s="1"/>
  <c r="Q403" i="12"/>
  <c r="O403" i="12"/>
  <c r="M403" i="12"/>
  <c r="G403" i="12"/>
  <c r="J403" i="12" s="1"/>
  <c r="Q402" i="12"/>
  <c r="O402" i="12"/>
  <c r="M402" i="12"/>
  <c r="G402" i="12"/>
  <c r="J402" i="12" s="1"/>
  <c r="Q401" i="12"/>
  <c r="O401" i="12"/>
  <c r="M401" i="12"/>
  <c r="G401" i="12"/>
  <c r="P401" i="12" s="1"/>
  <c r="Q400" i="12"/>
  <c r="O400" i="12"/>
  <c r="M400" i="12"/>
  <c r="G400" i="12"/>
  <c r="P400" i="12" s="1"/>
  <c r="Q399" i="12"/>
  <c r="O399" i="12"/>
  <c r="M399" i="12"/>
  <c r="G399" i="12"/>
  <c r="J399" i="12" s="1"/>
  <c r="Q398" i="12"/>
  <c r="O398" i="12"/>
  <c r="M398" i="12"/>
  <c r="G398" i="12"/>
  <c r="P398" i="12" s="1"/>
  <c r="Q397" i="12"/>
  <c r="O397" i="12"/>
  <c r="M397" i="12"/>
  <c r="G397" i="12"/>
  <c r="P397" i="12" s="1"/>
  <c r="Q396" i="12"/>
  <c r="O396" i="12"/>
  <c r="M396" i="12"/>
  <c r="G396" i="12"/>
  <c r="P396" i="12" s="1"/>
  <c r="Q395" i="12"/>
  <c r="O395" i="12"/>
  <c r="M395" i="12"/>
  <c r="G395" i="12"/>
  <c r="J395" i="12" s="1"/>
  <c r="Q394" i="12"/>
  <c r="O394" i="12"/>
  <c r="M394" i="12"/>
  <c r="G394" i="12"/>
  <c r="P394" i="12" s="1"/>
  <c r="Q393" i="12"/>
  <c r="O393" i="12"/>
  <c r="M393" i="12"/>
  <c r="G393" i="12"/>
  <c r="J393" i="12" s="1"/>
  <c r="Q392" i="12"/>
  <c r="O392" i="12"/>
  <c r="M392" i="12"/>
  <c r="G392" i="12"/>
  <c r="P392" i="12" s="1"/>
  <c r="Q391" i="12"/>
  <c r="O391" i="12"/>
  <c r="M391" i="12"/>
  <c r="G391" i="12"/>
  <c r="J391" i="12" s="1"/>
  <c r="Q390" i="12"/>
  <c r="O390" i="12"/>
  <c r="M390" i="12"/>
  <c r="G390" i="12"/>
  <c r="J390" i="12" s="1"/>
  <c r="Q389" i="12"/>
  <c r="O389" i="12"/>
  <c r="M389" i="12"/>
  <c r="G389" i="12"/>
  <c r="P389" i="12" s="1"/>
  <c r="Q388" i="12"/>
  <c r="O388" i="12"/>
  <c r="M388" i="12"/>
  <c r="G388" i="12"/>
  <c r="P388" i="12" s="1"/>
  <c r="Q387" i="12"/>
  <c r="O387" i="12"/>
  <c r="M387" i="12"/>
  <c r="G387" i="12"/>
  <c r="J387" i="12" s="1"/>
  <c r="Q386" i="12"/>
  <c r="O386" i="12"/>
  <c r="M386" i="12"/>
  <c r="G386" i="12"/>
  <c r="P386" i="12" s="1"/>
  <c r="Q385" i="12"/>
  <c r="O385" i="12"/>
  <c r="M385" i="12"/>
  <c r="G385" i="12"/>
  <c r="G384" i="12" s="1"/>
  <c r="Q384" i="12"/>
  <c r="O384" i="12"/>
  <c r="M384" i="12"/>
  <c r="F384" i="12"/>
  <c r="E384" i="12"/>
  <c r="D384" i="12"/>
  <c r="C384" i="12"/>
  <c r="Q383" i="12"/>
  <c r="O383" i="12"/>
  <c r="M383" i="12"/>
  <c r="G383" i="12"/>
  <c r="J383" i="12" s="1"/>
  <c r="Q382" i="12"/>
  <c r="O382" i="12"/>
  <c r="M382" i="12"/>
  <c r="G382" i="12"/>
  <c r="P382" i="12" s="1"/>
  <c r="Q381" i="12"/>
  <c r="O381" i="12"/>
  <c r="M381" i="12"/>
  <c r="G381" i="12"/>
  <c r="J381" i="12" s="1"/>
  <c r="Q380" i="12"/>
  <c r="O380" i="12"/>
  <c r="M380" i="12"/>
  <c r="G380" i="12"/>
  <c r="P380" i="12" s="1"/>
  <c r="Q379" i="12"/>
  <c r="O379" i="12"/>
  <c r="M379" i="12"/>
  <c r="G379" i="12"/>
  <c r="P379" i="12" s="1"/>
  <c r="Q378" i="12"/>
  <c r="O378" i="12"/>
  <c r="M378" i="12"/>
  <c r="G378" i="12"/>
  <c r="P378" i="12" s="1"/>
  <c r="Q377" i="12"/>
  <c r="O377" i="12"/>
  <c r="M377" i="12"/>
  <c r="G377" i="12"/>
  <c r="Q376" i="12"/>
  <c r="O376" i="12"/>
  <c r="M376" i="12"/>
  <c r="F376" i="12"/>
  <c r="E376" i="12"/>
  <c r="D376" i="12"/>
  <c r="C376" i="12"/>
  <c r="Q375" i="12"/>
  <c r="O375" i="12"/>
  <c r="M375" i="12"/>
  <c r="G375" i="12"/>
  <c r="J375" i="12" s="1"/>
  <c r="Q374" i="12"/>
  <c r="O374" i="12"/>
  <c r="M374" i="12"/>
  <c r="G374" i="12"/>
  <c r="P374" i="12" s="1"/>
  <c r="Q373" i="12"/>
  <c r="O373" i="12"/>
  <c r="M373" i="12"/>
  <c r="G373" i="12"/>
  <c r="P373" i="12" s="1"/>
  <c r="Q372" i="12"/>
  <c r="O372" i="12"/>
  <c r="M372" i="12"/>
  <c r="G372" i="12"/>
  <c r="P372" i="12" s="1"/>
  <c r="Q371" i="12"/>
  <c r="O371" i="12"/>
  <c r="M371" i="12"/>
  <c r="G371" i="12"/>
  <c r="J371" i="12" s="1"/>
  <c r="Q370" i="12"/>
  <c r="O370" i="12"/>
  <c r="M370" i="12"/>
  <c r="G370" i="12"/>
  <c r="P370" i="12" s="1"/>
  <c r="Q369" i="12"/>
  <c r="O369" i="12"/>
  <c r="M369" i="12"/>
  <c r="G369" i="12"/>
  <c r="P369" i="12" s="1"/>
  <c r="Q368" i="12"/>
  <c r="O368" i="12"/>
  <c r="M368" i="12"/>
  <c r="G368" i="12"/>
  <c r="P368" i="12" s="1"/>
  <c r="Q367" i="12"/>
  <c r="O367" i="12"/>
  <c r="M367" i="12"/>
  <c r="G367" i="12"/>
  <c r="Q366" i="12"/>
  <c r="O366" i="12"/>
  <c r="M366" i="12"/>
  <c r="G366" i="12"/>
  <c r="P366" i="12" s="1"/>
  <c r="Q365" i="12"/>
  <c r="O365" i="12"/>
  <c r="M365" i="12"/>
  <c r="G365" i="12"/>
  <c r="P365" i="12" s="1"/>
  <c r="Q364" i="12"/>
  <c r="O364" i="12"/>
  <c r="M364" i="12"/>
  <c r="F364" i="12"/>
  <c r="E364" i="12"/>
  <c r="D364" i="12"/>
  <c r="C364" i="12"/>
  <c r="Q363" i="12"/>
  <c r="O363" i="12"/>
  <c r="M363" i="12"/>
  <c r="G363" i="12"/>
  <c r="P363" i="12" s="1"/>
  <c r="Q362" i="12"/>
  <c r="O362" i="12"/>
  <c r="M362" i="12"/>
  <c r="G362" i="12"/>
  <c r="P362" i="12" s="1"/>
  <c r="Q361" i="12"/>
  <c r="O361" i="12"/>
  <c r="M361" i="12"/>
  <c r="G361" i="12"/>
  <c r="Q360" i="12"/>
  <c r="O360" i="12"/>
  <c r="M360" i="12"/>
  <c r="G360" i="12"/>
  <c r="P360" i="12" s="1"/>
  <c r="Q359" i="12"/>
  <c r="O359" i="12"/>
  <c r="M359" i="12"/>
  <c r="G359" i="12"/>
  <c r="P359" i="12" s="1"/>
  <c r="Q358" i="12"/>
  <c r="O358" i="12"/>
  <c r="M358" i="12"/>
  <c r="G358" i="12"/>
  <c r="P358" i="12" s="1"/>
  <c r="Q357" i="12"/>
  <c r="O357" i="12"/>
  <c r="M357" i="12"/>
  <c r="G357" i="12"/>
  <c r="Q356" i="12"/>
  <c r="O356" i="12"/>
  <c r="M356" i="12"/>
  <c r="G356" i="12"/>
  <c r="J356" i="12" s="1"/>
  <c r="Q355" i="12"/>
  <c r="O355" i="12"/>
  <c r="M355" i="12"/>
  <c r="G355" i="12"/>
  <c r="J355" i="12" s="1"/>
  <c r="Q354" i="12"/>
  <c r="O354" i="12"/>
  <c r="M354" i="12"/>
  <c r="G354" i="12"/>
  <c r="P354" i="12" s="1"/>
  <c r="Q353" i="12"/>
  <c r="O353" i="12"/>
  <c r="M353" i="12"/>
  <c r="G353" i="12"/>
  <c r="Q352" i="12"/>
  <c r="O352" i="12"/>
  <c r="M352" i="12"/>
  <c r="F352" i="12"/>
  <c r="E352" i="12"/>
  <c r="D352" i="12"/>
  <c r="C352" i="12"/>
  <c r="Q351" i="12"/>
  <c r="O351" i="12"/>
  <c r="M351" i="12"/>
  <c r="G351" i="12"/>
  <c r="Q350" i="12"/>
  <c r="O350" i="12"/>
  <c r="M350" i="12"/>
  <c r="G350" i="12"/>
  <c r="P350" i="12" s="1"/>
  <c r="Q349" i="12"/>
  <c r="O349" i="12"/>
  <c r="M349" i="12"/>
  <c r="G349" i="12"/>
  <c r="J349" i="12" s="1"/>
  <c r="Q348" i="12"/>
  <c r="O348" i="12"/>
  <c r="M348" i="12"/>
  <c r="G348" i="12"/>
  <c r="P348" i="12" s="1"/>
  <c r="Q347" i="12"/>
  <c r="O347" i="12"/>
  <c r="M347" i="12"/>
  <c r="F347" i="12"/>
  <c r="E347" i="12"/>
  <c r="D347" i="12"/>
  <c r="C347" i="12"/>
  <c r="Q346" i="12"/>
  <c r="O346" i="12"/>
  <c r="M346" i="12"/>
  <c r="G346" i="12"/>
  <c r="P346" i="12" s="1"/>
  <c r="Q345" i="12"/>
  <c r="O345" i="12"/>
  <c r="M345" i="12"/>
  <c r="G345" i="12"/>
  <c r="Q344" i="12"/>
  <c r="O344" i="12"/>
  <c r="M344" i="12"/>
  <c r="G344" i="12"/>
  <c r="J344" i="12" s="1"/>
  <c r="Q343" i="12"/>
  <c r="O343" i="12"/>
  <c r="M343" i="12"/>
  <c r="G343" i="12"/>
  <c r="J343" i="12" s="1"/>
  <c r="Q342" i="12"/>
  <c r="O342" i="12"/>
  <c r="M342" i="12"/>
  <c r="G342" i="12"/>
  <c r="P342" i="12" s="1"/>
  <c r="Q341" i="12"/>
  <c r="O341" i="12"/>
  <c r="M341" i="12"/>
  <c r="G341" i="12"/>
  <c r="Q340" i="12"/>
  <c r="O340" i="12"/>
  <c r="M340" i="12"/>
  <c r="G340" i="12"/>
  <c r="J340" i="12" s="1"/>
  <c r="Q339" i="12"/>
  <c r="O339" i="12"/>
  <c r="M339" i="12"/>
  <c r="G339" i="12"/>
  <c r="P339" i="12" s="1"/>
  <c r="Q338" i="12"/>
  <c r="O338" i="12"/>
  <c r="M338" i="12"/>
  <c r="G338" i="12"/>
  <c r="P338" i="12" s="1"/>
  <c r="Q337" i="12"/>
  <c r="O337" i="12"/>
  <c r="M337" i="12"/>
  <c r="G337" i="12"/>
  <c r="Q336" i="12"/>
  <c r="O336" i="12"/>
  <c r="M336" i="12"/>
  <c r="G336" i="12"/>
  <c r="J336" i="12" s="1"/>
  <c r="N335" i="12"/>
  <c r="L335" i="12"/>
  <c r="Q335" i="12" s="1"/>
  <c r="K335" i="12"/>
  <c r="I335" i="12"/>
  <c r="H335" i="12"/>
  <c r="F335" i="12"/>
  <c r="E335" i="12"/>
  <c r="D335" i="12"/>
  <c r="C335" i="12"/>
  <c r="Q334" i="12"/>
  <c r="O334" i="12"/>
  <c r="M334" i="12"/>
  <c r="Q333" i="12"/>
  <c r="P333" i="12"/>
  <c r="O333" i="12"/>
  <c r="M333" i="12"/>
  <c r="J333" i="12"/>
  <c r="Q332" i="12"/>
  <c r="O332" i="12"/>
  <c r="M332" i="12"/>
  <c r="G332" i="12"/>
  <c r="P332" i="12" s="1"/>
  <c r="F332" i="12"/>
  <c r="E332" i="12"/>
  <c r="D332" i="12"/>
  <c r="C332" i="12"/>
  <c r="Q331" i="12"/>
  <c r="O331" i="12"/>
  <c r="M331" i="12"/>
  <c r="G331" i="12"/>
  <c r="P331" i="12" s="1"/>
  <c r="Q330" i="12"/>
  <c r="O330" i="12"/>
  <c r="M330" i="12"/>
  <c r="G330" i="12"/>
  <c r="P330" i="12" s="1"/>
  <c r="Q329" i="12"/>
  <c r="O329" i="12"/>
  <c r="M329" i="12"/>
  <c r="G329" i="12"/>
  <c r="Q328" i="12"/>
  <c r="O328" i="12"/>
  <c r="M328" i="12"/>
  <c r="G328" i="12"/>
  <c r="J328" i="12" s="1"/>
  <c r="Q327" i="12"/>
  <c r="O327" i="12"/>
  <c r="M327" i="12"/>
  <c r="G327" i="12"/>
  <c r="J327" i="12" s="1"/>
  <c r="Q326" i="12"/>
  <c r="O326" i="12"/>
  <c r="M326" i="12"/>
  <c r="G326" i="12"/>
  <c r="P326" i="12" s="1"/>
  <c r="Q325" i="12"/>
  <c r="O325" i="12"/>
  <c r="M325" i="12"/>
  <c r="G325" i="12"/>
  <c r="Q324" i="12"/>
  <c r="O324" i="12"/>
  <c r="M324" i="12"/>
  <c r="G324" i="12"/>
  <c r="J324" i="12" s="1"/>
  <c r="Q323" i="12"/>
  <c r="O323" i="12"/>
  <c r="M323" i="12"/>
  <c r="F323" i="12"/>
  <c r="E323" i="12"/>
  <c r="D323" i="12"/>
  <c r="C323" i="12"/>
  <c r="Q322" i="12"/>
  <c r="O322" i="12"/>
  <c r="M322" i="12"/>
  <c r="Q321" i="12"/>
  <c r="O321" i="12"/>
  <c r="M321" i="12"/>
  <c r="G321" i="12"/>
  <c r="Q320" i="12"/>
  <c r="O320" i="12"/>
  <c r="M320" i="12"/>
  <c r="F320" i="12"/>
  <c r="E320" i="12"/>
  <c r="D320" i="12"/>
  <c r="C320" i="12"/>
  <c r="Q319" i="12"/>
  <c r="P319" i="12"/>
  <c r="O319" i="12"/>
  <c r="M319" i="12"/>
  <c r="J319" i="12"/>
  <c r="Q318" i="12"/>
  <c r="O318" i="12"/>
  <c r="M318" i="12"/>
  <c r="G318" i="12"/>
  <c r="P318" i="12" s="1"/>
  <c r="F318" i="12"/>
  <c r="E318" i="12"/>
  <c r="D318" i="12"/>
  <c r="C318" i="12"/>
  <c r="Q317" i="12"/>
  <c r="O317" i="12"/>
  <c r="M317" i="12"/>
  <c r="Q316" i="12"/>
  <c r="O316" i="12"/>
  <c r="M316" i="12"/>
  <c r="G316" i="12"/>
  <c r="P316" i="12" s="1"/>
  <c r="Q315" i="12"/>
  <c r="O315" i="12"/>
  <c r="M315" i="12"/>
  <c r="F315" i="12"/>
  <c r="E315" i="12"/>
  <c r="D315" i="12"/>
  <c r="C315" i="12"/>
  <c r="Q314" i="12"/>
  <c r="O314" i="12"/>
  <c r="M314" i="12"/>
  <c r="G314" i="12"/>
  <c r="P314" i="12" s="1"/>
  <c r="Q313" i="12"/>
  <c r="O313" i="12"/>
  <c r="M313" i="12"/>
  <c r="G313" i="12"/>
  <c r="P313" i="12" s="1"/>
  <c r="Q312" i="12"/>
  <c r="O312" i="12"/>
  <c r="M312" i="12"/>
  <c r="F312" i="12"/>
  <c r="E312" i="12"/>
  <c r="D312" i="12"/>
  <c r="C312" i="12"/>
  <c r="Q311" i="12"/>
  <c r="O311" i="12"/>
  <c r="M311" i="12"/>
  <c r="G311" i="12"/>
  <c r="J311" i="12" s="1"/>
  <c r="Q310" i="12"/>
  <c r="O310" i="12"/>
  <c r="M310" i="12"/>
  <c r="G310" i="12"/>
  <c r="P310" i="12" s="1"/>
  <c r="Q309" i="12"/>
  <c r="O309" i="12"/>
  <c r="M309" i="12"/>
  <c r="G309" i="12"/>
  <c r="Q308" i="12"/>
  <c r="O308" i="12"/>
  <c r="M308" i="12"/>
  <c r="F308" i="12"/>
  <c r="E308" i="12"/>
  <c r="D308" i="12"/>
  <c r="C308" i="12"/>
  <c r="Q307" i="12"/>
  <c r="O307" i="12"/>
  <c r="M307" i="12"/>
  <c r="G307" i="12"/>
  <c r="Q306" i="12"/>
  <c r="O306" i="12"/>
  <c r="M306" i="12"/>
  <c r="G306" i="12"/>
  <c r="P306" i="12" s="1"/>
  <c r="Q305" i="12"/>
  <c r="O305" i="12"/>
  <c r="M305" i="12"/>
  <c r="G305" i="12"/>
  <c r="J305" i="12" s="1"/>
  <c r="Q304" i="12"/>
  <c r="O304" i="12"/>
  <c r="M304" i="12"/>
  <c r="G304" i="12"/>
  <c r="J304" i="12" s="1"/>
  <c r="Q303" i="12"/>
  <c r="O303" i="12"/>
  <c r="M303" i="12"/>
  <c r="F303" i="12"/>
  <c r="E303" i="12"/>
  <c r="D303" i="12"/>
  <c r="C303" i="12"/>
  <c r="Q302" i="12"/>
  <c r="O302" i="12"/>
  <c r="M302" i="12"/>
  <c r="G302" i="12"/>
  <c r="P302" i="12" s="1"/>
  <c r="Q301" i="12"/>
  <c r="O301" i="12"/>
  <c r="M301" i="12"/>
  <c r="G301" i="12"/>
  <c r="Q300" i="12"/>
  <c r="O300" i="12"/>
  <c r="M300" i="12"/>
  <c r="G300" i="12"/>
  <c r="P300" i="12" s="1"/>
  <c r="Q299" i="12"/>
  <c r="O299" i="12"/>
  <c r="M299" i="12"/>
  <c r="G299" i="12"/>
  <c r="J299" i="12" s="1"/>
  <c r="Q298" i="12"/>
  <c r="O298" i="12"/>
  <c r="M298" i="12"/>
  <c r="F298" i="12"/>
  <c r="E298" i="12"/>
  <c r="D298" i="12"/>
  <c r="C298" i="12"/>
  <c r="Q297" i="12"/>
  <c r="O297" i="12"/>
  <c r="M297" i="12"/>
  <c r="G297" i="12"/>
  <c r="J297" i="12" s="1"/>
  <c r="Q296" i="12"/>
  <c r="O296" i="12"/>
  <c r="M296" i="12"/>
  <c r="G296" i="12"/>
  <c r="P296" i="12" s="1"/>
  <c r="Q295" i="12"/>
  <c r="O295" i="12"/>
  <c r="M295" i="12"/>
  <c r="G295" i="12"/>
  <c r="Q294" i="12"/>
  <c r="O294" i="12"/>
  <c r="M294" i="12"/>
  <c r="F294" i="12"/>
  <c r="E294" i="12"/>
  <c r="D294" i="12"/>
  <c r="C294" i="12"/>
  <c r="Q293" i="12"/>
  <c r="O293" i="12"/>
  <c r="M293" i="12"/>
  <c r="G293" i="12"/>
  <c r="Q292" i="12"/>
  <c r="O292" i="12"/>
  <c r="M292" i="12"/>
  <c r="G292" i="12"/>
  <c r="P292" i="12" s="1"/>
  <c r="Q291" i="12"/>
  <c r="O291" i="12"/>
  <c r="M291" i="12"/>
  <c r="G291" i="12"/>
  <c r="J291" i="12" s="1"/>
  <c r="Q290" i="12"/>
  <c r="O290" i="12"/>
  <c r="M290" i="12"/>
  <c r="G290" i="12"/>
  <c r="P290" i="12" s="1"/>
  <c r="Q289" i="12"/>
  <c r="O289" i="12"/>
  <c r="M289" i="12"/>
  <c r="G289" i="12"/>
  <c r="Q288" i="12"/>
  <c r="O288" i="12"/>
  <c r="M288" i="12"/>
  <c r="G288" i="12"/>
  <c r="P288" i="12" s="1"/>
  <c r="Q287" i="12"/>
  <c r="O287" i="12"/>
  <c r="M287" i="12"/>
  <c r="G287" i="12"/>
  <c r="J287" i="12" s="1"/>
  <c r="Q286" i="12"/>
  <c r="O286" i="12"/>
  <c r="M286" i="12"/>
  <c r="G286" i="12"/>
  <c r="P286" i="12" s="1"/>
  <c r="Q285" i="12"/>
  <c r="O285" i="12"/>
  <c r="M285" i="12"/>
  <c r="G285" i="12"/>
  <c r="Q284" i="12"/>
  <c r="O284" i="12"/>
  <c r="M284" i="12"/>
  <c r="G284" i="12"/>
  <c r="P284" i="12" s="1"/>
  <c r="Q283" i="12"/>
  <c r="O283" i="12"/>
  <c r="M283" i="12"/>
  <c r="G283" i="12"/>
  <c r="J283" i="12" s="1"/>
  <c r="Q282" i="12"/>
  <c r="O282" i="12"/>
  <c r="M282" i="12"/>
  <c r="G282" i="12"/>
  <c r="P282" i="12" s="1"/>
  <c r="Q281" i="12"/>
  <c r="O281" i="12"/>
  <c r="M281" i="12"/>
  <c r="F281" i="12"/>
  <c r="E281" i="12"/>
  <c r="D281" i="12"/>
  <c r="C281" i="12"/>
  <c r="Q280" i="12"/>
  <c r="O280" i="12"/>
  <c r="M280" i="12"/>
  <c r="Q279" i="12"/>
  <c r="O279" i="12"/>
  <c r="M279" i="12"/>
  <c r="Q278" i="12"/>
  <c r="O278" i="12"/>
  <c r="M278" i="12"/>
  <c r="G278" i="12"/>
  <c r="P278" i="12" s="1"/>
  <c r="Q277" i="12"/>
  <c r="O277" i="12"/>
  <c r="M277" i="12"/>
  <c r="F277" i="12"/>
  <c r="E277" i="12"/>
  <c r="D277" i="12"/>
  <c r="C277" i="12"/>
  <c r="Q276" i="12"/>
  <c r="O276" i="12"/>
  <c r="M276" i="12"/>
  <c r="G276" i="12"/>
  <c r="P276" i="12" s="1"/>
  <c r="Q275" i="12"/>
  <c r="O275" i="12"/>
  <c r="M275" i="12"/>
  <c r="F275" i="12"/>
  <c r="F274" i="12" s="1"/>
  <c r="E275" i="12"/>
  <c r="E274" i="12" s="1"/>
  <c r="D275" i="12"/>
  <c r="D274" i="12" s="1"/>
  <c r="C275" i="12"/>
  <c r="C274" i="12" s="1"/>
  <c r="Q274" i="12"/>
  <c r="O274" i="12"/>
  <c r="M274" i="12"/>
  <c r="Q273" i="12"/>
  <c r="O273" i="12"/>
  <c r="M273" i="12"/>
  <c r="G273" i="12"/>
  <c r="Q272" i="12"/>
  <c r="O272" i="12"/>
  <c r="M272" i="12"/>
  <c r="G272" i="12"/>
  <c r="P272" i="12" s="1"/>
  <c r="Q271" i="12"/>
  <c r="O271" i="12"/>
  <c r="M271" i="12"/>
  <c r="G271" i="12"/>
  <c r="J271" i="12" s="1"/>
  <c r="Q270" i="12"/>
  <c r="O270" i="12"/>
  <c r="M270" i="12"/>
  <c r="G270" i="12"/>
  <c r="P270" i="12" s="1"/>
  <c r="Q269" i="12"/>
  <c r="O269" i="12"/>
  <c r="M269" i="12"/>
  <c r="G269" i="12"/>
  <c r="Q268" i="12"/>
  <c r="O268" i="12"/>
  <c r="M268" i="12"/>
  <c r="G268" i="12"/>
  <c r="P268" i="12" s="1"/>
  <c r="Q267" i="12"/>
  <c r="O267" i="12"/>
  <c r="M267" i="12"/>
  <c r="G267" i="12"/>
  <c r="P267" i="12" s="1"/>
  <c r="Q266" i="12"/>
  <c r="O266" i="12"/>
  <c r="M266" i="12"/>
  <c r="G266" i="12"/>
  <c r="P266" i="12" s="1"/>
  <c r="Q265" i="12"/>
  <c r="O265" i="12"/>
  <c r="M265" i="12"/>
  <c r="G265" i="12"/>
  <c r="Q264" i="12"/>
  <c r="O264" i="12"/>
  <c r="M264" i="12"/>
  <c r="G264" i="12"/>
  <c r="P264" i="12" s="1"/>
  <c r="Q263" i="12"/>
  <c r="O263" i="12"/>
  <c r="M263" i="12"/>
  <c r="G263" i="12"/>
  <c r="P263" i="12" s="1"/>
  <c r="Q262" i="12"/>
  <c r="O262" i="12"/>
  <c r="M262" i="12"/>
  <c r="G262" i="12"/>
  <c r="P262" i="12" s="1"/>
  <c r="Q261" i="12"/>
  <c r="O261" i="12"/>
  <c r="M261" i="12"/>
  <c r="G261" i="12"/>
  <c r="Q260" i="12"/>
  <c r="O260" i="12"/>
  <c r="M260" i="12"/>
  <c r="G260" i="12"/>
  <c r="P260" i="12" s="1"/>
  <c r="Q259" i="12"/>
  <c r="O259" i="12"/>
  <c r="M259" i="12"/>
  <c r="F259" i="12"/>
  <c r="Q258" i="12"/>
  <c r="O258" i="12"/>
  <c r="M258" i="12"/>
  <c r="E258" i="12"/>
  <c r="D258" i="12"/>
  <c r="C258" i="12"/>
  <c r="Q257" i="12"/>
  <c r="O257" i="12"/>
  <c r="M257" i="12"/>
  <c r="G257" i="12"/>
  <c r="Q256" i="12"/>
  <c r="O256" i="12"/>
  <c r="M256" i="12"/>
  <c r="G256" i="12"/>
  <c r="P256" i="12" s="1"/>
  <c r="Q255" i="12"/>
  <c r="O255" i="12"/>
  <c r="M255" i="12"/>
  <c r="F255" i="12"/>
  <c r="F254" i="12" s="1"/>
  <c r="E255" i="12"/>
  <c r="E254" i="12" s="1"/>
  <c r="D255" i="12"/>
  <c r="D254" i="12" s="1"/>
  <c r="C255" i="12"/>
  <c r="C254" i="12" s="1"/>
  <c r="Q254" i="12"/>
  <c r="O254" i="12"/>
  <c r="M254" i="12"/>
  <c r="Q253" i="12"/>
  <c r="O253" i="12"/>
  <c r="M253" i="12"/>
  <c r="G253" i="12"/>
  <c r="Q252" i="12"/>
  <c r="O252" i="12"/>
  <c r="M252" i="12"/>
  <c r="G252" i="12"/>
  <c r="J252" i="12" s="1"/>
  <c r="Q251" i="12"/>
  <c r="O251" i="12"/>
  <c r="M251" i="12"/>
  <c r="F251" i="12"/>
  <c r="E251" i="12"/>
  <c r="D251" i="12"/>
  <c r="C251" i="12"/>
  <c r="Q250" i="12"/>
  <c r="O250" i="12"/>
  <c r="M250" i="12"/>
  <c r="Q249" i="12"/>
  <c r="Q436" i="12" s="1"/>
  <c r="O249" i="12"/>
  <c r="O436" i="12" s="1"/>
  <c r="M249" i="12"/>
  <c r="M436" i="12" s="1"/>
  <c r="Q248" i="12"/>
  <c r="O248" i="12"/>
  <c r="M248" i="12"/>
  <c r="G248" i="12"/>
  <c r="P248" i="12" s="1"/>
  <c r="Q247" i="12"/>
  <c r="O247" i="12"/>
  <c r="M247" i="12"/>
  <c r="G247" i="12"/>
  <c r="Q246" i="12"/>
  <c r="O246" i="12"/>
  <c r="M246" i="12"/>
  <c r="G246" i="12"/>
  <c r="J246" i="12" s="1"/>
  <c r="Q245" i="12"/>
  <c r="O245" i="12"/>
  <c r="M245" i="12"/>
  <c r="F245" i="12"/>
  <c r="E245" i="12"/>
  <c r="D245" i="12"/>
  <c r="C245" i="12"/>
  <c r="Q244" i="12"/>
  <c r="O244" i="12"/>
  <c r="M244" i="12"/>
  <c r="G244" i="12"/>
  <c r="J244" i="12" s="1"/>
  <c r="Q243" i="12"/>
  <c r="O243" i="12"/>
  <c r="M243" i="12"/>
  <c r="F243" i="12"/>
  <c r="E243" i="12"/>
  <c r="D243" i="12"/>
  <c r="C243" i="12"/>
  <c r="Q242" i="12"/>
  <c r="O242" i="12"/>
  <c r="M242" i="12"/>
  <c r="Q241" i="12"/>
  <c r="Q435" i="12" s="1"/>
  <c r="O241" i="12"/>
  <c r="M241" i="12"/>
  <c r="Q240" i="12"/>
  <c r="O240" i="12"/>
  <c r="M240" i="12"/>
  <c r="G240" i="12"/>
  <c r="J240" i="12" s="1"/>
  <c r="Q239" i="12"/>
  <c r="O239" i="12"/>
  <c r="M239" i="12"/>
  <c r="F239" i="12"/>
  <c r="E239" i="12"/>
  <c r="D239" i="12"/>
  <c r="C239" i="12"/>
  <c r="Q238" i="12"/>
  <c r="O238" i="12"/>
  <c r="M238" i="12"/>
  <c r="F238" i="12"/>
  <c r="N237" i="12"/>
  <c r="N236" i="12" s="1"/>
  <c r="L237" i="12"/>
  <c r="Q237" i="12" s="1"/>
  <c r="K237" i="12"/>
  <c r="K236" i="12" s="1"/>
  <c r="K235" i="12" s="1"/>
  <c r="I237" i="12"/>
  <c r="H237" i="12"/>
  <c r="H236" i="12" s="1"/>
  <c r="H235" i="12" s="1"/>
  <c r="E237" i="12"/>
  <c r="E236" i="12" s="1"/>
  <c r="E235" i="12" s="1"/>
  <c r="D237" i="12"/>
  <c r="D236" i="12" s="1"/>
  <c r="D235" i="12" s="1"/>
  <c r="C237" i="12"/>
  <c r="C236" i="12" s="1"/>
  <c r="C235" i="12" s="1"/>
  <c r="Q234" i="12"/>
  <c r="O234" i="12"/>
  <c r="M234" i="12"/>
  <c r="G234" i="12"/>
  <c r="J234" i="12" s="1"/>
  <c r="Q233" i="12"/>
  <c r="O233" i="12"/>
  <c r="M233" i="12"/>
  <c r="G233" i="12"/>
  <c r="J233" i="12" s="1"/>
  <c r="Q232" i="12"/>
  <c r="O232" i="12"/>
  <c r="M232" i="12"/>
  <c r="G232" i="12"/>
  <c r="J232" i="12" s="1"/>
  <c r="Q231" i="12"/>
  <c r="O231" i="12"/>
  <c r="M231" i="12"/>
  <c r="G231" i="12"/>
  <c r="N230" i="12"/>
  <c r="N434" i="12" s="1"/>
  <c r="L230" i="12"/>
  <c r="Q230" i="12" s="1"/>
  <c r="K230" i="12"/>
  <c r="K434" i="12" s="1"/>
  <c r="I230" i="12"/>
  <c r="I434" i="12" s="1"/>
  <c r="H230" i="12"/>
  <c r="H434" i="12" s="1"/>
  <c r="AA434" i="12" s="1"/>
  <c r="F230" i="12"/>
  <c r="E230" i="12"/>
  <c r="D230" i="12"/>
  <c r="C230" i="12"/>
  <c r="Q229" i="12"/>
  <c r="O229" i="12"/>
  <c r="M229" i="12"/>
  <c r="G229" i="12"/>
  <c r="P229" i="12" s="1"/>
  <c r="Q228" i="12"/>
  <c r="O228" i="12"/>
  <c r="M228" i="12"/>
  <c r="G228" i="12"/>
  <c r="N227" i="12"/>
  <c r="L227" i="12"/>
  <c r="Q227" i="12" s="1"/>
  <c r="K227" i="12"/>
  <c r="I227" i="12"/>
  <c r="H227" i="12"/>
  <c r="F227" i="12"/>
  <c r="E227" i="12"/>
  <c r="D227" i="12"/>
  <c r="C227" i="12"/>
  <c r="Q226" i="12"/>
  <c r="O226" i="12"/>
  <c r="M226" i="12"/>
  <c r="G226" i="12"/>
  <c r="Q225" i="12"/>
  <c r="O225" i="12"/>
  <c r="M225" i="12"/>
  <c r="G225" i="12"/>
  <c r="J225" i="12" s="1"/>
  <c r="N224" i="12"/>
  <c r="L224" i="12"/>
  <c r="Q224" i="12" s="1"/>
  <c r="K224" i="12"/>
  <c r="I224" i="12"/>
  <c r="H224" i="12"/>
  <c r="F224" i="12"/>
  <c r="E224" i="12"/>
  <c r="D224" i="12"/>
  <c r="C224" i="12"/>
  <c r="Q223" i="12"/>
  <c r="O223" i="12"/>
  <c r="M223" i="12"/>
  <c r="G223" i="12"/>
  <c r="Q222" i="12"/>
  <c r="O222" i="12"/>
  <c r="M222" i="12"/>
  <c r="G222" i="12"/>
  <c r="P222" i="12" s="1"/>
  <c r="N221" i="12"/>
  <c r="L221" i="12"/>
  <c r="Q221" i="12" s="1"/>
  <c r="K221" i="12"/>
  <c r="I221" i="12"/>
  <c r="H221" i="12"/>
  <c r="F221" i="12"/>
  <c r="E221" i="12"/>
  <c r="D221" i="12"/>
  <c r="C221" i="12"/>
  <c r="Q219" i="12"/>
  <c r="O219" i="12"/>
  <c r="M219" i="12"/>
  <c r="G219" i="12"/>
  <c r="P219" i="12" s="1"/>
  <c r="N218" i="12"/>
  <c r="L218" i="12"/>
  <c r="Q218" i="12" s="1"/>
  <c r="K218" i="12"/>
  <c r="I218" i="12"/>
  <c r="H218" i="12"/>
  <c r="F218" i="12"/>
  <c r="E218" i="12"/>
  <c r="D218" i="12"/>
  <c r="C218" i="12"/>
  <c r="Q217" i="12"/>
  <c r="O217" i="12"/>
  <c r="M217" i="12"/>
  <c r="G217" i="12"/>
  <c r="J217" i="12" s="1"/>
  <c r="Q216" i="12"/>
  <c r="O216" i="12"/>
  <c r="M216" i="12"/>
  <c r="G216" i="12"/>
  <c r="Q215" i="12"/>
  <c r="O215" i="12"/>
  <c r="M215" i="12"/>
  <c r="G215" i="12"/>
  <c r="J215" i="12" s="1"/>
  <c r="N214" i="12"/>
  <c r="L214" i="12"/>
  <c r="Q214" i="12" s="1"/>
  <c r="K214" i="12"/>
  <c r="K213" i="12" s="1"/>
  <c r="K426" i="12" s="1"/>
  <c r="I214" i="12"/>
  <c r="H214" i="12"/>
  <c r="H213" i="12" s="1"/>
  <c r="H426" i="12" s="1"/>
  <c r="AA426" i="12" s="1"/>
  <c r="F214" i="12"/>
  <c r="F213" i="12" s="1"/>
  <c r="E214" i="12"/>
  <c r="E213" i="12" s="1"/>
  <c r="D214" i="12"/>
  <c r="D213" i="12" s="1"/>
  <c r="C214" i="12"/>
  <c r="C213" i="12" s="1"/>
  <c r="Q212" i="12"/>
  <c r="O212" i="12"/>
  <c r="M212" i="12"/>
  <c r="G212" i="12"/>
  <c r="J212" i="12" s="1"/>
  <c r="Q211" i="12"/>
  <c r="O211" i="12"/>
  <c r="M211" i="12"/>
  <c r="G211" i="12"/>
  <c r="Q210" i="12"/>
  <c r="O210" i="12"/>
  <c r="M210" i="12"/>
  <c r="C210" i="12"/>
  <c r="G210" i="12" s="1"/>
  <c r="J210" i="12" s="1"/>
  <c r="Q209" i="12"/>
  <c r="O209" i="12"/>
  <c r="M209" i="12"/>
  <c r="G209" i="12"/>
  <c r="P209" i="12" s="1"/>
  <c r="Q208" i="12"/>
  <c r="O208" i="12"/>
  <c r="M208" i="12"/>
  <c r="G208" i="12"/>
  <c r="N207" i="12"/>
  <c r="N206" i="12" s="1"/>
  <c r="L207" i="12"/>
  <c r="Q207" i="12" s="1"/>
  <c r="K207" i="12"/>
  <c r="K206" i="12" s="1"/>
  <c r="I207" i="12"/>
  <c r="I206" i="12" s="1"/>
  <c r="H207" i="12"/>
  <c r="H206" i="12" s="1"/>
  <c r="F207" i="12"/>
  <c r="F206" i="12" s="1"/>
  <c r="E207" i="12"/>
  <c r="E206" i="12" s="1"/>
  <c r="D207" i="12"/>
  <c r="D206" i="12" s="1"/>
  <c r="C207" i="12"/>
  <c r="Q205" i="12"/>
  <c r="Q429" i="12" s="1"/>
  <c r="O205" i="12"/>
  <c r="M205" i="12"/>
  <c r="M429" i="12" s="1"/>
  <c r="G205" i="12"/>
  <c r="P205" i="12" s="1"/>
  <c r="N204" i="12"/>
  <c r="L204" i="12"/>
  <c r="Q204" i="12" s="1"/>
  <c r="K204" i="12"/>
  <c r="I204" i="12"/>
  <c r="H204" i="12"/>
  <c r="F204" i="12"/>
  <c r="E204" i="12"/>
  <c r="D204" i="12"/>
  <c r="C204" i="12"/>
  <c r="Q203" i="12"/>
  <c r="O203" i="12"/>
  <c r="M203" i="12"/>
  <c r="G203" i="12"/>
  <c r="J203" i="12" s="1"/>
  <c r="Q202" i="12"/>
  <c r="O202" i="12"/>
  <c r="M202" i="12"/>
  <c r="Q201" i="12"/>
  <c r="O201" i="12"/>
  <c r="M201" i="12"/>
  <c r="G201" i="12"/>
  <c r="N200" i="12"/>
  <c r="L200" i="12"/>
  <c r="Q200" i="12" s="1"/>
  <c r="K200" i="12"/>
  <c r="I200" i="12"/>
  <c r="H200" i="12"/>
  <c r="F200" i="12"/>
  <c r="E200" i="12"/>
  <c r="D200" i="12"/>
  <c r="C200" i="12"/>
  <c r="Q199" i="12"/>
  <c r="O199" i="12"/>
  <c r="M199" i="12"/>
  <c r="G199" i="12"/>
  <c r="P199" i="12" s="1"/>
  <c r="Q198" i="12"/>
  <c r="O198" i="12"/>
  <c r="M198" i="12"/>
  <c r="G198" i="12"/>
  <c r="Q197" i="12"/>
  <c r="O197" i="12"/>
  <c r="M197" i="12"/>
  <c r="P197" i="12"/>
  <c r="Q196" i="12"/>
  <c r="O196" i="12"/>
  <c r="M196" i="12"/>
  <c r="G196" i="12"/>
  <c r="J196" i="12" s="1"/>
  <c r="N195" i="12"/>
  <c r="L195" i="12"/>
  <c r="L194" i="12" s="1"/>
  <c r="K195" i="12"/>
  <c r="K194" i="12" s="1"/>
  <c r="I195" i="12"/>
  <c r="H195" i="12"/>
  <c r="H194" i="12" s="1"/>
  <c r="F195" i="12"/>
  <c r="F194" i="12" s="1"/>
  <c r="E195" i="12"/>
  <c r="E194" i="12" s="1"/>
  <c r="D195" i="12"/>
  <c r="D194" i="12" s="1"/>
  <c r="C195" i="12"/>
  <c r="C194" i="12" s="1"/>
  <c r="Q193" i="12"/>
  <c r="O193" i="12"/>
  <c r="M193" i="12"/>
  <c r="G193" i="12"/>
  <c r="P193" i="12" s="1"/>
  <c r="N192" i="12"/>
  <c r="L192" i="12"/>
  <c r="Q192" i="12" s="1"/>
  <c r="K192" i="12"/>
  <c r="I192" i="12"/>
  <c r="H192" i="12"/>
  <c r="F192" i="12"/>
  <c r="E192" i="12"/>
  <c r="D192" i="12"/>
  <c r="C192" i="12"/>
  <c r="Q190" i="12"/>
  <c r="O190" i="12"/>
  <c r="M190" i="12"/>
  <c r="G190" i="12"/>
  <c r="P190" i="12" s="1"/>
  <c r="Q189" i="12"/>
  <c r="O189" i="12"/>
  <c r="M189" i="12"/>
  <c r="G189" i="12"/>
  <c r="Q188" i="12"/>
  <c r="O188" i="12"/>
  <c r="M188" i="12"/>
  <c r="G188" i="12"/>
  <c r="P188" i="12" s="1"/>
  <c r="N187" i="12"/>
  <c r="L187" i="12"/>
  <c r="Q187" i="12" s="1"/>
  <c r="K187" i="12"/>
  <c r="I187" i="12"/>
  <c r="H187" i="12"/>
  <c r="F187" i="12"/>
  <c r="E187" i="12"/>
  <c r="D187" i="12"/>
  <c r="C187" i="12"/>
  <c r="Q186" i="12"/>
  <c r="O186" i="12"/>
  <c r="M186" i="12"/>
  <c r="G186" i="12"/>
  <c r="J186" i="12" s="1"/>
  <c r="N185" i="12"/>
  <c r="L185" i="12"/>
  <c r="K185" i="12"/>
  <c r="I185" i="12"/>
  <c r="H185" i="12"/>
  <c r="F185" i="12"/>
  <c r="E185" i="12"/>
  <c r="D185" i="12"/>
  <c r="C185" i="12"/>
  <c r="Q183" i="12"/>
  <c r="O183" i="12"/>
  <c r="M183" i="12"/>
  <c r="G183" i="12"/>
  <c r="P183" i="12" s="1"/>
  <c r="Q182" i="12"/>
  <c r="O182" i="12"/>
  <c r="M182" i="12"/>
  <c r="G182" i="12"/>
  <c r="G181" i="12" s="1"/>
  <c r="N181" i="12"/>
  <c r="L181" i="12"/>
  <c r="Q181" i="12" s="1"/>
  <c r="K181" i="12"/>
  <c r="I181" i="12"/>
  <c r="H181" i="12"/>
  <c r="F181" i="12"/>
  <c r="E181" i="12"/>
  <c r="D181" i="12"/>
  <c r="C181" i="12"/>
  <c r="Q180" i="12"/>
  <c r="O180" i="12"/>
  <c r="M180" i="12"/>
  <c r="G180" i="12"/>
  <c r="G179" i="12" s="1"/>
  <c r="N179" i="12"/>
  <c r="L179" i="12"/>
  <c r="Q179" i="12" s="1"/>
  <c r="K179" i="12"/>
  <c r="I179" i="12"/>
  <c r="H179" i="12"/>
  <c r="F179" i="12"/>
  <c r="E179" i="12"/>
  <c r="D179" i="12"/>
  <c r="C179" i="12"/>
  <c r="Q178" i="12"/>
  <c r="O178" i="12"/>
  <c r="M178" i="12"/>
  <c r="G178" i="12"/>
  <c r="G177" i="12" s="1"/>
  <c r="N177" i="12"/>
  <c r="L177" i="12"/>
  <c r="Q177" i="12" s="1"/>
  <c r="K177" i="12"/>
  <c r="I177" i="12"/>
  <c r="H177" i="12"/>
  <c r="F177" i="12"/>
  <c r="E177" i="12"/>
  <c r="D177" i="12"/>
  <c r="C177" i="12"/>
  <c r="Q174" i="12"/>
  <c r="O174" i="12"/>
  <c r="M174" i="12"/>
  <c r="G174" i="12"/>
  <c r="P174" i="12" s="1"/>
  <c r="Q173" i="12"/>
  <c r="O173" i="12"/>
  <c r="M173" i="12"/>
  <c r="G173" i="12"/>
  <c r="J173" i="12" s="1"/>
  <c r="Q172" i="12"/>
  <c r="O172" i="12"/>
  <c r="M172" i="12"/>
  <c r="G172" i="12"/>
  <c r="P172" i="12" s="1"/>
  <c r="Q171" i="12"/>
  <c r="O171" i="12"/>
  <c r="M171" i="12"/>
  <c r="G171" i="12"/>
  <c r="J171" i="12" s="1"/>
  <c r="Q170" i="12"/>
  <c r="O170" i="12"/>
  <c r="M170" i="12"/>
  <c r="G170" i="12"/>
  <c r="P170" i="12" s="1"/>
  <c r="N169" i="12"/>
  <c r="L169" i="12"/>
  <c r="Q169" i="12" s="1"/>
  <c r="K169" i="12"/>
  <c r="K168" i="12" s="1"/>
  <c r="K431" i="12" s="1"/>
  <c r="I169" i="12"/>
  <c r="H169" i="12"/>
  <c r="H168" i="12" s="1"/>
  <c r="H431" i="12" s="1"/>
  <c r="AA431" i="12" s="1"/>
  <c r="F169" i="12"/>
  <c r="F168" i="12" s="1"/>
  <c r="E169" i="12"/>
  <c r="E168" i="12" s="1"/>
  <c r="D169" i="12"/>
  <c r="D168" i="12" s="1"/>
  <c r="C169" i="12"/>
  <c r="C168" i="12" s="1"/>
  <c r="Q167" i="12"/>
  <c r="O167" i="12"/>
  <c r="M167" i="12"/>
  <c r="G167" i="12"/>
  <c r="P167" i="12" s="1"/>
  <c r="Q166" i="12"/>
  <c r="O166" i="12"/>
  <c r="M166" i="12"/>
  <c r="C166" i="12"/>
  <c r="C165" i="12" s="1"/>
  <c r="N165" i="12"/>
  <c r="N433" i="12" s="1"/>
  <c r="L165" i="12"/>
  <c r="Q165" i="12" s="1"/>
  <c r="Q433" i="12" s="1"/>
  <c r="K165" i="12"/>
  <c r="K433" i="12" s="1"/>
  <c r="I165" i="12"/>
  <c r="I433" i="12" s="1"/>
  <c r="H165" i="12"/>
  <c r="H433" i="12" s="1"/>
  <c r="F165" i="12"/>
  <c r="E165" i="12"/>
  <c r="D165" i="12"/>
  <c r="Q164" i="12"/>
  <c r="Q425" i="12" s="1"/>
  <c r="O164" i="12"/>
  <c r="M164" i="12"/>
  <c r="M425" i="12" s="1"/>
  <c r="G164" i="12"/>
  <c r="G163" i="12" s="1"/>
  <c r="N163" i="12"/>
  <c r="L163" i="12"/>
  <c r="Q163" i="12" s="1"/>
  <c r="K163" i="12"/>
  <c r="I163" i="12"/>
  <c r="H163" i="12"/>
  <c r="F163" i="12"/>
  <c r="E163" i="12"/>
  <c r="D163" i="12"/>
  <c r="C163" i="12"/>
  <c r="Q161" i="12"/>
  <c r="O161" i="12"/>
  <c r="M161" i="12"/>
  <c r="G161" i="12"/>
  <c r="P161" i="12" s="1"/>
  <c r="Q160" i="12"/>
  <c r="O160" i="12"/>
  <c r="M160" i="12"/>
  <c r="G160" i="12"/>
  <c r="J160" i="12" s="1"/>
  <c r="N159" i="12"/>
  <c r="L159" i="12"/>
  <c r="Q159" i="12" s="1"/>
  <c r="K159" i="12"/>
  <c r="I159" i="12"/>
  <c r="H159" i="12"/>
  <c r="F159" i="12"/>
  <c r="E159" i="12"/>
  <c r="D159" i="12"/>
  <c r="C159" i="12"/>
  <c r="Q158" i="12"/>
  <c r="O158" i="12"/>
  <c r="M158" i="12"/>
  <c r="G158" i="12"/>
  <c r="Q157" i="12"/>
  <c r="O157" i="12"/>
  <c r="M157" i="12"/>
  <c r="G157" i="12"/>
  <c r="N156" i="12"/>
  <c r="L156" i="12"/>
  <c r="Q156" i="12" s="1"/>
  <c r="K156" i="12"/>
  <c r="I156" i="12"/>
  <c r="H156" i="12"/>
  <c r="F156" i="12"/>
  <c r="E156" i="12"/>
  <c r="D156" i="12"/>
  <c r="C156" i="12"/>
  <c r="Q155" i="12"/>
  <c r="O155" i="12"/>
  <c r="M155" i="12"/>
  <c r="G155" i="12"/>
  <c r="J155" i="12" s="1"/>
  <c r="Q154" i="12"/>
  <c r="O154" i="12"/>
  <c r="M154" i="12"/>
  <c r="G154" i="12"/>
  <c r="J154" i="12" s="1"/>
  <c r="Q152" i="12"/>
  <c r="O152" i="12"/>
  <c r="M152" i="12"/>
  <c r="G152" i="12"/>
  <c r="P152" i="12" s="1"/>
  <c r="Q151" i="12"/>
  <c r="O151" i="12"/>
  <c r="M151" i="12"/>
  <c r="G151" i="12"/>
  <c r="P151" i="12" s="1"/>
  <c r="Q150" i="12"/>
  <c r="O150" i="12"/>
  <c r="M150" i="12"/>
  <c r="G150" i="12"/>
  <c r="P150" i="12" s="1"/>
  <c r="Q149" i="12"/>
  <c r="O149" i="12"/>
  <c r="M149" i="12"/>
  <c r="G149" i="12"/>
  <c r="Q147" i="12"/>
  <c r="O147" i="12"/>
  <c r="M147" i="12"/>
  <c r="G147" i="12"/>
  <c r="P147" i="12" s="1"/>
  <c r="N146" i="12"/>
  <c r="L146" i="12"/>
  <c r="Q146" i="12" s="1"/>
  <c r="K146" i="12"/>
  <c r="I146" i="12"/>
  <c r="H146" i="12"/>
  <c r="F146" i="12"/>
  <c r="E146" i="12"/>
  <c r="D146" i="12"/>
  <c r="C146" i="12"/>
  <c r="Q145" i="12"/>
  <c r="O145" i="12"/>
  <c r="M145" i="12"/>
  <c r="G145" i="12"/>
  <c r="P145" i="12" s="1"/>
  <c r="Q144" i="12"/>
  <c r="O144" i="12"/>
  <c r="M144" i="12"/>
  <c r="G144" i="12"/>
  <c r="Q143" i="12"/>
  <c r="O143" i="12"/>
  <c r="M143" i="12"/>
  <c r="G143" i="12"/>
  <c r="P143" i="12" s="1"/>
  <c r="Q142" i="12"/>
  <c r="O142" i="12"/>
  <c r="M142" i="12"/>
  <c r="G142" i="12"/>
  <c r="P142" i="12" s="1"/>
  <c r="Q141" i="12"/>
  <c r="O141" i="12"/>
  <c r="M141" i="12"/>
  <c r="G141" i="12"/>
  <c r="J141" i="12" s="1"/>
  <c r="Q140" i="12"/>
  <c r="O140" i="12"/>
  <c r="M140" i="12"/>
  <c r="G140" i="12"/>
  <c r="Q139" i="12"/>
  <c r="O139" i="12"/>
  <c r="M139" i="12"/>
  <c r="G139" i="12"/>
  <c r="N138" i="12"/>
  <c r="L138" i="12"/>
  <c r="Q138" i="12" s="1"/>
  <c r="K138" i="12"/>
  <c r="I138" i="12"/>
  <c r="H138" i="12"/>
  <c r="F138" i="12"/>
  <c r="E138" i="12"/>
  <c r="D138" i="12"/>
  <c r="C138" i="12"/>
  <c r="Q136" i="12"/>
  <c r="O136" i="12"/>
  <c r="M136" i="12"/>
  <c r="G136" i="12"/>
  <c r="P136" i="12" s="1"/>
  <c r="N135" i="12"/>
  <c r="L135" i="12"/>
  <c r="Q135" i="12" s="1"/>
  <c r="K135" i="12"/>
  <c r="I135" i="12"/>
  <c r="H135" i="12"/>
  <c r="F135" i="12"/>
  <c r="E135" i="12"/>
  <c r="D135" i="12"/>
  <c r="C135" i="12"/>
  <c r="Q134" i="12"/>
  <c r="O134" i="12"/>
  <c r="M134" i="12"/>
  <c r="G134" i="12"/>
  <c r="P134" i="12" s="1"/>
  <c r="Q133" i="12"/>
  <c r="O133" i="12"/>
  <c r="M133" i="12"/>
  <c r="G133" i="12"/>
  <c r="P133" i="12" s="1"/>
  <c r="Q132" i="12"/>
  <c r="O132" i="12"/>
  <c r="M132" i="12"/>
  <c r="G132" i="12"/>
  <c r="J132" i="12" s="1"/>
  <c r="N131" i="12"/>
  <c r="L131" i="12"/>
  <c r="Q131" i="12" s="1"/>
  <c r="K131" i="12"/>
  <c r="I131" i="12"/>
  <c r="H131" i="12"/>
  <c r="F131" i="12"/>
  <c r="E131" i="12"/>
  <c r="D131" i="12"/>
  <c r="C131" i="12"/>
  <c r="Q129" i="12"/>
  <c r="O129" i="12"/>
  <c r="M129" i="12"/>
  <c r="G129" i="12"/>
  <c r="J129" i="12" s="1"/>
  <c r="Q128" i="12"/>
  <c r="O128" i="12"/>
  <c r="M128" i="12"/>
  <c r="G128" i="12"/>
  <c r="P128" i="12" s="1"/>
  <c r="N127" i="12"/>
  <c r="N126" i="12" s="1"/>
  <c r="L127" i="12"/>
  <c r="L126" i="12" s="1"/>
  <c r="Q126" i="12" s="1"/>
  <c r="K127" i="12"/>
  <c r="I127" i="12"/>
  <c r="H127" i="12"/>
  <c r="H126" i="12" s="1"/>
  <c r="F127" i="12"/>
  <c r="F126" i="12" s="1"/>
  <c r="E127" i="12"/>
  <c r="E126" i="12" s="1"/>
  <c r="D127" i="12"/>
  <c r="D126" i="12" s="1"/>
  <c r="C127" i="12"/>
  <c r="C126" i="12" s="1"/>
  <c r="Q125" i="12"/>
  <c r="O125" i="12"/>
  <c r="M125" i="12"/>
  <c r="G125" i="12"/>
  <c r="P125" i="12" s="1"/>
  <c r="Q124" i="12"/>
  <c r="O124" i="12"/>
  <c r="M124" i="12"/>
  <c r="G124" i="12"/>
  <c r="P124" i="12" s="1"/>
  <c r="Q123" i="12"/>
  <c r="O123" i="12"/>
  <c r="M123" i="12"/>
  <c r="G123" i="12"/>
  <c r="P123" i="12" s="1"/>
  <c r="Q122" i="12"/>
  <c r="O122" i="12"/>
  <c r="M122" i="12"/>
  <c r="G122" i="12"/>
  <c r="J122" i="12" s="1"/>
  <c r="Q121" i="12"/>
  <c r="O121" i="12"/>
  <c r="M121" i="12"/>
  <c r="G121" i="12"/>
  <c r="P121" i="12" s="1"/>
  <c r="Q120" i="12"/>
  <c r="O120" i="12"/>
  <c r="M120" i="12"/>
  <c r="G120" i="12"/>
  <c r="P120" i="12" s="1"/>
  <c r="Q119" i="12"/>
  <c r="O119" i="12"/>
  <c r="M119" i="12"/>
  <c r="G119" i="12"/>
  <c r="Q118" i="12"/>
  <c r="O118" i="12"/>
  <c r="M118" i="12"/>
  <c r="G118" i="12"/>
  <c r="J118" i="12" s="1"/>
  <c r="N117" i="12"/>
  <c r="L117" i="12"/>
  <c r="Q117" i="12" s="1"/>
  <c r="K117" i="12"/>
  <c r="K111" i="12" s="1"/>
  <c r="K110" i="12" s="1"/>
  <c r="I117" i="12"/>
  <c r="H117" i="12"/>
  <c r="H111" i="12" s="1"/>
  <c r="H110" i="12" s="1"/>
  <c r="F117" i="12"/>
  <c r="F111" i="12" s="1"/>
  <c r="F110" i="12" s="1"/>
  <c r="E117" i="12"/>
  <c r="E111" i="12" s="1"/>
  <c r="E110" i="12" s="1"/>
  <c r="D117" i="12"/>
  <c r="D111" i="12" s="1"/>
  <c r="D110" i="12" s="1"/>
  <c r="C117" i="12"/>
  <c r="C111" i="12" s="1"/>
  <c r="C110" i="12" s="1"/>
  <c r="Q116" i="12"/>
  <c r="O116" i="12"/>
  <c r="M116" i="12"/>
  <c r="G116" i="12"/>
  <c r="Q115" i="12"/>
  <c r="O115" i="12"/>
  <c r="M115" i="12"/>
  <c r="G115" i="12"/>
  <c r="Q114" i="12"/>
  <c r="O114" i="12"/>
  <c r="M114" i="12"/>
  <c r="G114" i="12"/>
  <c r="P114" i="12" s="1"/>
  <c r="Q113" i="12"/>
  <c r="O113" i="12"/>
  <c r="M113" i="12"/>
  <c r="G113" i="12"/>
  <c r="J113" i="12" s="1"/>
  <c r="Q112" i="12"/>
  <c r="O112" i="12"/>
  <c r="M112" i="12"/>
  <c r="G112" i="12"/>
  <c r="Q107" i="12"/>
  <c r="O107" i="12"/>
  <c r="M107" i="12"/>
  <c r="G107" i="12"/>
  <c r="P107" i="12" s="1"/>
  <c r="N106" i="12"/>
  <c r="L106" i="12"/>
  <c r="Q106" i="12" s="1"/>
  <c r="K106" i="12"/>
  <c r="I106" i="12"/>
  <c r="H106" i="12"/>
  <c r="F106" i="12"/>
  <c r="E106" i="12"/>
  <c r="D106" i="12"/>
  <c r="C106" i="12"/>
  <c r="Q105" i="12"/>
  <c r="O105" i="12"/>
  <c r="M105" i="12"/>
  <c r="G105" i="12"/>
  <c r="P105" i="12" s="1"/>
  <c r="Q104" i="12"/>
  <c r="O104" i="12"/>
  <c r="M104" i="12"/>
  <c r="G104" i="12"/>
  <c r="Q103" i="12"/>
  <c r="O103" i="12"/>
  <c r="M103" i="12"/>
  <c r="G103" i="12"/>
  <c r="J103" i="12" s="1"/>
  <c r="N102" i="12"/>
  <c r="N101" i="12" s="1"/>
  <c r="L102" i="12"/>
  <c r="Q102" i="12" s="1"/>
  <c r="K102" i="12"/>
  <c r="K101" i="12" s="1"/>
  <c r="K100" i="12" s="1"/>
  <c r="I102" i="12"/>
  <c r="I101" i="12" s="1"/>
  <c r="I100" i="12" s="1"/>
  <c r="H102" i="12"/>
  <c r="H101" i="12" s="1"/>
  <c r="H100" i="12" s="1"/>
  <c r="F102" i="12"/>
  <c r="F101" i="12" s="1"/>
  <c r="F100" i="12" s="1"/>
  <c r="E102" i="12"/>
  <c r="E101" i="12" s="1"/>
  <c r="E100" i="12" s="1"/>
  <c r="D102" i="12"/>
  <c r="D101" i="12" s="1"/>
  <c r="D100" i="12" s="1"/>
  <c r="C102" i="12"/>
  <c r="C101" i="12" s="1"/>
  <c r="C100" i="12" s="1"/>
  <c r="Q99" i="12"/>
  <c r="O99" i="12"/>
  <c r="M99" i="12"/>
  <c r="G99" i="12"/>
  <c r="J99" i="12" s="1"/>
  <c r="N98" i="12"/>
  <c r="L98" i="12"/>
  <c r="Q98" i="12" s="1"/>
  <c r="K98" i="12"/>
  <c r="K97" i="12" s="1"/>
  <c r="K96" i="12" s="1"/>
  <c r="I98" i="12"/>
  <c r="I97" i="12" s="1"/>
  <c r="H98" i="12"/>
  <c r="H97" i="12" s="1"/>
  <c r="H96" i="12" s="1"/>
  <c r="F98" i="12"/>
  <c r="F97" i="12" s="1"/>
  <c r="F96" i="12" s="1"/>
  <c r="E98" i="12"/>
  <c r="E97" i="12" s="1"/>
  <c r="E96" i="12" s="1"/>
  <c r="D98" i="12"/>
  <c r="D97" i="12" s="1"/>
  <c r="D96" i="12" s="1"/>
  <c r="C98" i="12"/>
  <c r="C97" i="12" s="1"/>
  <c r="C96" i="12" s="1"/>
  <c r="Q94" i="12"/>
  <c r="O94" i="12"/>
  <c r="M94" i="12"/>
  <c r="G94" i="12"/>
  <c r="G93" i="12" s="1"/>
  <c r="N93" i="12"/>
  <c r="L93" i="12"/>
  <c r="Q93" i="12" s="1"/>
  <c r="K93" i="12"/>
  <c r="I93" i="12"/>
  <c r="H93" i="12"/>
  <c r="F93" i="12"/>
  <c r="E93" i="12"/>
  <c r="D93" i="12"/>
  <c r="C93" i="12"/>
  <c r="Q92" i="12"/>
  <c r="O92" i="12"/>
  <c r="M92" i="12"/>
  <c r="G92" i="12"/>
  <c r="J92" i="12" s="1"/>
  <c r="N91" i="12"/>
  <c r="L91" i="12"/>
  <c r="Q91" i="12" s="1"/>
  <c r="K91" i="12"/>
  <c r="I91" i="12"/>
  <c r="H91" i="12"/>
  <c r="F91" i="12"/>
  <c r="E91" i="12"/>
  <c r="D91" i="12"/>
  <c r="C91" i="12"/>
  <c r="Q90" i="12"/>
  <c r="O90" i="12"/>
  <c r="M90" i="12"/>
  <c r="G90" i="12"/>
  <c r="J90" i="12" s="1"/>
  <c r="Q89" i="12"/>
  <c r="O89" i="12"/>
  <c r="M89" i="12"/>
  <c r="G89" i="12"/>
  <c r="Q88" i="12"/>
  <c r="O88" i="12"/>
  <c r="M88" i="12"/>
  <c r="G88" i="12"/>
  <c r="P88" i="12" s="1"/>
  <c r="N87" i="12"/>
  <c r="L87" i="12"/>
  <c r="Q87" i="12" s="1"/>
  <c r="K87" i="12"/>
  <c r="I87" i="12"/>
  <c r="H87" i="12"/>
  <c r="F87" i="12"/>
  <c r="E87" i="12"/>
  <c r="D87" i="12"/>
  <c r="C87" i="12"/>
  <c r="Q86" i="12"/>
  <c r="O86" i="12"/>
  <c r="M86" i="12"/>
  <c r="G86" i="12"/>
  <c r="Q85" i="12"/>
  <c r="O85" i="12"/>
  <c r="M85" i="12"/>
  <c r="G85" i="12"/>
  <c r="P85" i="12" s="1"/>
  <c r="Q84" i="12"/>
  <c r="O84" i="12"/>
  <c r="M84" i="12"/>
  <c r="G84" i="12"/>
  <c r="P84" i="12" s="1"/>
  <c r="Q83" i="12"/>
  <c r="O83" i="12"/>
  <c r="M83" i="12"/>
  <c r="G83" i="12"/>
  <c r="P83" i="12" s="1"/>
  <c r="Q82" i="12"/>
  <c r="O82" i="12"/>
  <c r="M82" i="12"/>
  <c r="G82" i="12"/>
  <c r="N81" i="12"/>
  <c r="L81" i="12"/>
  <c r="Q81" i="12" s="1"/>
  <c r="K81" i="12"/>
  <c r="I81" i="12"/>
  <c r="H81" i="12"/>
  <c r="F81" i="12"/>
  <c r="E81" i="12"/>
  <c r="D81" i="12"/>
  <c r="C81" i="12"/>
  <c r="Q80" i="12"/>
  <c r="O80" i="12"/>
  <c r="M80" i="12"/>
  <c r="G80" i="12"/>
  <c r="J80" i="12" s="1"/>
  <c r="Q79" i="12"/>
  <c r="O79" i="12"/>
  <c r="M79" i="12"/>
  <c r="G79" i="12"/>
  <c r="P79" i="12" s="1"/>
  <c r="N78" i="12"/>
  <c r="L78" i="12"/>
  <c r="Q78" i="12" s="1"/>
  <c r="K78" i="12"/>
  <c r="I78" i="12"/>
  <c r="H78" i="12"/>
  <c r="F78" i="12"/>
  <c r="E78" i="12"/>
  <c r="D78" i="12"/>
  <c r="C78" i="12"/>
  <c r="Q77" i="12"/>
  <c r="O77" i="12"/>
  <c r="M77" i="12"/>
  <c r="G77" i="12"/>
  <c r="Q76" i="12"/>
  <c r="O76" i="12"/>
  <c r="M76" i="12"/>
  <c r="G76" i="12"/>
  <c r="J76" i="12" s="1"/>
  <c r="Q75" i="12"/>
  <c r="O75" i="12"/>
  <c r="M75" i="12"/>
  <c r="G75" i="12"/>
  <c r="P75" i="12" s="1"/>
  <c r="N74" i="12"/>
  <c r="L74" i="12"/>
  <c r="Q74" i="12" s="1"/>
  <c r="K74" i="12"/>
  <c r="I74" i="12"/>
  <c r="H74" i="12"/>
  <c r="F74" i="12"/>
  <c r="E74" i="12"/>
  <c r="D74" i="12"/>
  <c r="C74" i="12"/>
  <c r="Q73" i="12"/>
  <c r="O73" i="12"/>
  <c r="M73" i="12"/>
  <c r="G73" i="12"/>
  <c r="J73" i="12" s="1"/>
  <c r="N72" i="12"/>
  <c r="L72" i="12"/>
  <c r="Q72" i="12" s="1"/>
  <c r="K72" i="12"/>
  <c r="I72" i="12"/>
  <c r="H72" i="12"/>
  <c r="F72" i="12"/>
  <c r="E72" i="12"/>
  <c r="D72" i="12"/>
  <c r="C72" i="12"/>
  <c r="Q69" i="12"/>
  <c r="O69" i="12"/>
  <c r="M69" i="12"/>
  <c r="G69" i="12"/>
  <c r="J69" i="12" s="1"/>
  <c r="Q68" i="12"/>
  <c r="O68" i="12"/>
  <c r="M68" i="12"/>
  <c r="G68" i="12"/>
  <c r="J68" i="12" s="1"/>
  <c r="N67" i="12"/>
  <c r="N66" i="12" s="1"/>
  <c r="L67" i="12"/>
  <c r="K67" i="12"/>
  <c r="K66" i="12" s="1"/>
  <c r="I67" i="12"/>
  <c r="I66" i="12" s="1"/>
  <c r="H67" i="12"/>
  <c r="H66" i="12" s="1"/>
  <c r="F67" i="12"/>
  <c r="F66" i="12" s="1"/>
  <c r="E67" i="12"/>
  <c r="E66" i="12" s="1"/>
  <c r="D67" i="12"/>
  <c r="D66" i="12" s="1"/>
  <c r="C67" i="12"/>
  <c r="C66" i="12" s="1"/>
  <c r="S62" i="12"/>
  <c r="Q62" i="12"/>
  <c r="O62" i="12"/>
  <c r="M62" i="12"/>
  <c r="G62" i="12"/>
  <c r="P62" i="12" s="1"/>
  <c r="S61" i="12"/>
  <c r="Q61" i="12"/>
  <c r="O61" i="12"/>
  <c r="M61" i="12"/>
  <c r="G61" i="12"/>
  <c r="P61" i="12" s="1"/>
  <c r="S60" i="12"/>
  <c r="Q60" i="12"/>
  <c r="O60" i="12"/>
  <c r="M60" i="12"/>
  <c r="G60" i="12"/>
  <c r="P60" i="12" s="1"/>
  <c r="S59" i="12"/>
  <c r="Q59" i="12"/>
  <c r="O59" i="12"/>
  <c r="M59" i="12"/>
  <c r="G59" i="12"/>
  <c r="P59" i="12" s="1"/>
  <c r="S58" i="12"/>
  <c r="Q58" i="12"/>
  <c r="O58" i="12"/>
  <c r="M58" i="12"/>
  <c r="G58" i="12"/>
  <c r="P58" i="12" s="1"/>
  <c r="S57" i="12"/>
  <c r="Q57" i="12"/>
  <c r="O57" i="12"/>
  <c r="M57" i="12"/>
  <c r="G57" i="12"/>
  <c r="P57" i="12" s="1"/>
  <c r="N56" i="12"/>
  <c r="L56" i="12"/>
  <c r="Q56" i="12" s="1"/>
  <c r="K56" i="12"/>
  <c r="I56" i="12"/>
  <c r="H56" i="12"/>
  <c r="F56" i="12"/>
  <c r="E56" i="12"/>
  <c r="D56" i="12"/>
  <c r="C56" i="12"/>
  <c r="S55" i="12"/>
  <c r="Q55" i="12"/>
  <c r="O55" i="12"/>
  <c r="M55" i="12"/>
  <c r="G55" i="12"/>
  <c r="J55" i="12" s="1"/>
  <c r="S54" i="12"/>
  <c r="Q54" i="12"/>
  <c r="O54" i="12"/>
  <c r="M54" i="12"/>
  <c r="G54" i="12"/>
  <c r="J54" i="12" s="1"/>
  <c r="S53" i="12"/>
  <c r="Q53" i="12"/>
  <c r="O53" i="12"/>
  <c r="M53" i="12"/>
  <c r="G53" i="12"/>
  <c r="P53" i="12" s="1"/>
  <c r="N52" i="12"/>
  <c r="L52" i="12"/>
  <c r="L45" i="12" s="1"/>
  <c r="K52" i="12"/>
  <c r="K45" i="12" s="1"/>
  <c r="K44" i="12" s="1"/>
  <c r="I52" i="12"/>
  <c r="H52" i="12"/>
  <c r="H45" i="12" s="1"/>
  <c r="H44" i="12" s="1"/>
  <c r="F52" i="12"/>
  <c r="F45" i="12" s="1"/>
  <c r="F44" i="12" s="1"/>
  <c r="E52" i="12"/>
  <c r="E45" i="12" s="1"/>
  <c r="E44" i="12" s="1"/>
  <c r="D52" i="12"/>
  <c r="D45" i="12" s="1"/>
  <c r="D44" i="12" s="1"/>
  <c r="C52" i="12"/>
  <c r="C45" i="12" s="1"/>
  <c r="C44" i="12" s="1"/>
  <c r="S51" i="12"/>
  <c r="Q51" i="12"/>
  <c r="O51" i="12"/>
  <c r="M51" i="12"/>
  <c r="G51" i="12"/>
  <c r="P51" i="12" s="1"/>
  <c r="S50" i="12"/>
  <c r="Q50" i="12"/>
  <c r="O50" i="12"/>
  <c r="M50" i="12"/>
  <c r="G50" i="12"/>
  <c r="P50" i="12" s="1"/>
  <c r="S49" i="12"/>
  <c r="Q49" i="12"/>
  <c r="O49" i="12"/>
  <c r="M49" i="12"/>
  <c r="G49" i="12"/>
  <c r="P49" i="12" s="1"/>
  <c r="S48" i="12"/>
  <c r="Q48" i="12"/>
  <c r="O48" i="12"/>
  <c r="M48" i="12"/>
  <c r="G48" i="12"/>
  <c r="P48" i="12" s="1"/>
  <c r="S47" i="12"/>
  <c r="Q47" i="12"/>
  <c r="O47" i="12"/>
  <c r="M47" i="12"/>
  <c r="G47" i="12"/>
  <c r="P47" i="12" s="1"/>
  <c r="S46" i="12"/>
  <c r="Q46" i="12"/>
  <c r="O46" i="12"/>
  <c r="M46" i="12"/>
  <c r="G46" i="12"/>
  <c r="P46" i="12" s="1"/>
  <c r="S42" i="12"/>
  <c r="Q42" i="12"/>
  <c r="O42" i="12"/>
  <c r="M42" i="12"/>
  <c r="G42" i="12"/>
  <c r="S41" i="12"/>
  <c r="Q41" i="12"/>
  <c r="O41" i="12"/>
  <c r="M41" i="12"/>
  <c r="G41" i="12"/>
  <c r="J41" i="12" s="1"/>
  <c r="S40" i="12"/>
  <c r="Q40" i="12"/>
  <c r="O40" i="12"/>
  <c r="M40" i="12"/>
  <c r="G40" i="12"/>
  <c r="P40" i="12" s="1"/>
  <c r="N39" i="12"/>
  <c r="L39" i="12"/>
  <c r="Q39" i="12" s="1"/>
  <c r="K39" i="12"/>
  <c r="I39" i="12"/>
  <c r="H39" i="12"/>
  <c r="F39" i="12"/>
  <c r="E39" i="12"/>
  <c r="D39" i="12"/>
  <c r="C39" i="12"/>
  <c r="S38" i="12"/>
  <c r="Q38" i="12"/>
  <c r="O38" i="12"/>
  <c r="M38" i="12"/>
  <c r="G38" i="12"/>
  <c r="P38" i="12" s="1"/>
  <c r="S37" i="12"/>
  <c r="Q37" i="12"/>
  <c r="O37" i="12"/>
  <c r="M37" i="12"/>
  <c r="G37" i="12"/>
  <c r="N36" i="12"/>
  <c r="L36" i="12"/>
  <c r="Q36" i="12" s="1"/>
  <c r="K36" i="12"/>
  <c r="I36" i="12"/>
  <c r="H36" i="12"/>
  <c r="F36" i="12"/>
  <c r="E36" i="12"/>
  <c r="D36" i="12"/>
  <c r="C36" i="12"/>
  <c r="S33" i="12"/>
  <c r="Q33" i="12"/>
  <c r="O33" i="12"/>
  <c r="M33" i="12"/>
  <c r="G33" i="12"/>
  <c r="S32" i="12"/>
  <c r="Q32" i="12"/>
  <c r="O32" i="12"/>
  <c r="M32" i="12"/>
  <c r="G32" i="12"/>
  <c r="S31" i="12"/>
  <c r="Q31" i="12"/>
  <c r="O31" i="12"/>
  <c r="M31" i="12"/>
  <c r="G31" i="12"/>
  <c r="S30" i="12"/>
  <c r="Q30" i="12"/>
  <c r="O30" i="12"/>
  <c r="M30" i="12"/>
  <c r="G30" i="12"/>
  <c r="J30" i="12" s="1"/>
  <c r="S29" i="12"/>
  <c r="Q29" i="12"/>
  <c r="O29" i="12"/>
  <c r="M29" i="12"/>
  <c r="G29" i="12"/>
  <c r="P29" i="12" s="1"/>
  <c r="S28" i="12"/>
  <c r="Q28" i="12"/>
  <c r="O28" i="12"/>
  <c r="M28" i="12"/>
  <c r="G28" i="12"/>
  <c r="P28" i="12" s="1"/>
  <c r="N27" i="12"/>
  <c r="L27" i="12"/>
  <c r="Q27" i="12" s="1"/>
  <c r="K27" i="12"/>
  <c r="I27" i="12"/>
  <c r="H27" i="12"/>
  <c r="F27" i="12"/>
  <c r="E27" i="12"/>
  <c r="D27" i="12"/>
  <c r="C27" i="12"/>
  <c r="S26" i="12"/>
  <c r="Q26" i="12"/>
  <c r="O26" i="12"/>
  <c r="M26" i="12"/>
  <c r="G26" i="12"/>
  <c r="J26" i="12" s="1"/>
  <c r="S25" i="12"/>
  <c r="Q25" i="12"/>
  <c r="O25" i="12"/>
  <c r="M25" i="12"/>
  <c r="G25" i="12"/>
  <c r="J25" i="12" s="1"/>
  <c r="S24" i="12"/>
  <c r="Q24" i="12"/>
  <c r="O24" i="12"/>
  <c r="M24" i="12"/>
  <c r="G24" i="12"/>
  <c r="J24" i="12" s="1"/>
  <c r="N23" i="12"/>
  <c r="L23" i="12"/>
  <c r="Q23" i="12" s="1"/>
  <c r="K23" i="12"/>
  <c r="I23" i="12"/>
  <c r="H23" i="12"/>
  <c r="F23" i="12"/>
  <c r="E23" i="12"/>
  <c r="D23" i="12"/>
  <c r="C23" i="12"/>
  <c r="S22" i="12"/>
  <c r="Q22" i="12"/>
  <c r="O22" i="12"/>
  <c r="M22" i="12"/>
  <c r="G22" i="12"/>
  <c r="P22" i="12" s="1"/>
  <c r="S21" i="12"/>
  <c r="Q21" i="12"/>
  <c r="O21" i="12"/>
  <c r="M21" i="12"/>
  <c r="G21" i="12"/>
  <c r="P21" i="12" s="1"/>
  <c r="S20" i="12"/>
  <c r="Q20" i="12"/>
  <c r="O20" i="12"/>
  <c r="M20" i="12"/>
  <c r="G20" i="12"/>
  <c r="N19" i="12"/>
  <c r="N11" i="12" s="1"/>
  <c r="L19" i="12"/>
  <c r="Q19" i="12" s="1"/>
  <c r="K19" i="12"/>
  <c r="K11" i="12" s="1"/>
  <c r="I19" i="12"/>
  <c r="I11" i="12" s="1"/>
  <c r="H19" i="12"/>
  <c r="H11" i="12" s="1"/>
  <c r="F19" i="12"/>
  <c r="F11" i="12" s="1"/>
  <c r="E19" i="12"/>
  <c r="E11" i="12" s="1"/>
  <c r="D19" i="12"/>
  <c r="D11" i="12" s="1"/>
  <c r="C19" i="12"/>
  <c r="C11" i="12" s="1"/>
  <c r="S18" i="12"/>
  <c r="Q18" i="12"/>
  <c r="O18" i="12"/>
  <c r="M18" i="12"/>
  <c r="G18" i="12"/>
  <c r="S17" i="12"/>
  <c r="Q17" i="12"/>
  <c r="O17" i="12"/>
  <c r="M17" i="12"/>
  <c r="G17" i="12"/>
  <c r="P17" i="12" s="1"/>
  <c r="S16" i="12"/>
  <c r="Q16" i="12"/>
  <c r="O16" i="12"/>
  <c r="M16" i="12"/>
  <c r="G16" i="12"/>
  <c r="P16" i="12" s="1"/>
  <c r="S15" i="12"/>
  <c r="Q15" i="12"/>
  <c r="O15" i="12"/>
  <c r="M15" i="12"/>
  <c r="G15" i="12"/>
  <c r="P15" i="12" s="1"/>
  <c r="S14" i="12"/>
  <c r="Q14" i="12"/>
  <c r="O14" i="12"/>
  <c r="M14" i="12"/>
  <c r="G14" i="12"/>
  <c r="P14" i="12" s="1"/>
  <c r="S13" i="12"/>
  <c r="Q13" i="12"/>
  <c r="O13" i="12"/>
  <c r="M13" i="12"/>
  <c r="G13" i="12"/>
  <c r="P13" i="12" s="1"/>
  <c r="S12" i="12"/>
  <c r="Q12" i="12"/>
  <c r="O12" i="12"/>
  <c r="M12" i="12"/>
  <c r="G12" i="12"/>
  <c r="P12" i="12" s="1"/>
  <c r="F43" i="12" l="1"/>
  <c r="K43" i="12"/>
  <c r="K417" i="12" s="1"/>
  <c r="K418" i="12" s="1"/>
  <c r="K10" i="12"/>
  <c r="F10" i="12"/>
  <c r="C43" i="12"/>
  <c r="E43" i="12"/>
  <c r="D10" i="12"/>
  <c r="H43" i="12"/>
  <c r="H417" i="12" s="1"/>
  <c r="H418" i="12" s="1"/>
  <c r="C10" i="12"/>
  <c r="D43" i="12"/>
  <c r="L213" i="12"/>
  <c r="Q213" i="12" s="1"/>
  <c r="Q426" i="12" s="1"/>
  <c r="T61" i="12"/>
  <c r="L101" i="12"/>
  <c r="L100" i="12" s="1"/>
  <c r="Q100" i="12" s="1"/>
  <c r="L111" i="12"/>
  <c r="Q111" i="12" s="1"/>
  <c r="I423" i="12"/>
  <c r="L236" i="12"/>
  <c r="L235" i="12" s="1"/>
  <c r="Q235" i="12" s="1"/>
  <c r="E322" i="12"/>
  <c r="I130" i="12"/>
  <c r="E184" i="12"/>
  <c r="O425" i="12"/>
  <c r="AE425" i="12" s="1"/>
  <c r="M435" i="12"/>
  <c r="E242" i="12"/>
  <c r="E241" i="12" s="1"/>
  <c r="G376" i="12"/>
  <c r="J376" i="12" s="1"/>
  <c r="M117" i="12"/>
  <c r="O435" i="12"/>
  <c r="AE435" i="12" s="1"/>
  <c r="K423" i="12"/>
  <c r="C317" i="12"/>
  <c r="K130" i="12"/>
  <c r="C130" i="12"/>
  <c r="N130" i="12"/>
  <c r="I184" i="12"/>
  <c r="I430" i="12" s="1"/>
  <c r="G19" i="12"/>
  <c r="J19" i="12" s="1"/>
  <c r="K184" i="12"/>
  <c r="K430" i="12" s="1"/>
  <c r="F317" i="12"/>
  <c r="F35" i="12"/>
  <c r="F34" i="12" s="1"/>
  <c r="M36" i="12"/>
  <c r="M146" i="12"/>
  <c r="F153" i="12"/>
  <c r="F148" i="12" s="1"/>
  <c r="F137" i="12" s="1"/>
  <c r="J370" i="12"/>
  <c r="L11" i="12"/>
  <c r="M11" i="12" s="1"/>
  <c r="O192" i="12"/>
  <c r="O429" i="12"/>
  <c r="AE429" i="12" s="1"/>
  <c r="P177" i="12"/>
  <c r="O335" i="12"/>
  <c r="M159" i="12"/>
  <c r="M192" i="12"/>
  <c r="O200" i="12"/>
  <c r="D35" i="12"/>
  <c r="D34" i="12" s="1"/>
  <c r="I111" i="12"/>
  <c r="I110" i="12" s="1"/>
  <c r="O218" i="12"/>
  <c r="P402" i="12"/>
  <c r="O432" i="12"/>
  <c r="AE432" i="12" s="1"/>
  <c r="M52" i="12"/>
  <c r="M335" i="12"/>
  <c r="M19" i="12"/>
  <c r="D322" i="12"/>
  <c r="P407" i="12"/>
  <c r="J38" i="12"/>
  <c r="J40" i="12"/>
  <c r="P129" i="12"/>
  <c r="F334" i="12"/>
  <c r="N35" i="12"/>
  <c r="N34" i="12" s="1"/>
  <c r="T53" i="12"/>
  <c r="O39" i="12"/>
  <c r="J401" i="12"/>
  <c r="H423" i="12"/>
  <c r="AA423" i="12" s="1"/>
  <c r="E280" i="12"/>
  <c r="E279" i="12" s="1"/>
  <c r="F280" i="12"/>
  <c r="F279" i="12" s="1"/>
  <c r="P30" i="12"/>
  <c r="O214" i="12"/>
  <c r="K427" i="12"/>
  <c r="P343" i="12"/>
  <c r="O428" i="12"/>
  <c r="AE428" i="12" s="1"/>
  <c r="P41" i="12"/>
  <c r="Q424" i="12"/>
  <c r="D242" i="12"/>
  <c r="D241" i="12" s="1"/>
  <c r="P355" i="12"/>
  <c r="C334" i="12"/>
  <c r="O23" i="12"/>
  <c r="O27" i="12"/>
  <c r="M135" i="12"/>
  <c r="O138" i="12"/>
  <c r="O187" i="12"/>
  <c r="T28" i="12"/>
  <c r="O91" i="12"/>
  <c r="O204" i="12"/>
  <c r="O106" i="12"/>
  <c r="O433" i="12"/>
  <c r="AE433" i="12" s="1"/>
  <c r="I176" i="12"/>
  <c r="O181" i="12"/>
  <c r="Q432" i="12"/>
  <c r="O237" i="12"/>
  <c r="J369" i="12"/>
  <c r="J404" i="12"/>
  <c r="T22" i="12"/>
  <c r="O67" i="12"/>
  <c r="O434" i="12"/>
  <c r="AE434" i="12" s="1"/>
  <c r="J272" i="12"/>
  <c r="J350" i="12"/>
  <c r="P356" i="12"/>
  <c r="P393" i="12"/>
  <c r="G106" i="12"/>
  <c r="J106" i="12" s="1"/>
  <c r="J125" i="12"/>
  <c r="O146" i="12"/>
  <c r="O424" i="12"/>
  <c r="Q434" i="12"/>
  <c r="J263" i="12"/>
  <c r="J292" i="12"/>
  <c r="J374" i="12"/>
  <c r="J386" i="12"/>
  <c r="P141" i="12"/>
  <c r="J276" i="12"/>
  <c r="P340" i="12"/>
  <c r="J363" i="12"/>
  <c r="P383" i="12"/>
  <c r="J406" i="12"/>
  <c r="P24" i="12"/>
  <c r="T24" i="12" s="1"/>
  <c r="T60" i="12"/>
  <c r="G87" i="12"/>
  <c r="J87" i="12" s="1"/>
  <c r="M428" i="12"/>
  <c r="J366" i="12"/>
  <c r="P390" i="12"/>
  <c r="J21" i="12"/>
  <c r="J124" i="12"/>
  <c r="M424" i="12"/>
  <c r="P240" i="12"/>
  <c r="P349" i="12"/>
  <c r="J396" i="12"/>
  <c r="T62" i="12"/>
  <c r="Q428" i="12"/>
  <c r="G239" i="12"/>
  <c r="J239" i="12" s="1"/>
  <c r="P291" i="12"/>
  <c r="J22" i="12"/>
  <c r="T29" i="12"/>
  <c r="J48" i="12"/>
  <c r="J51" i="12"/>
  <c r="J268" i="12"/>
  <c r="M432" i="12"/>
  <c r="F5" i="14"/>
  <c r="F205" i="14" s="1"/>
  <c r="F206" i="14" s="1"/>
  <c r="K6" i="14"/>
  <c r="G176" i="12"/>
  <c r="G156" i="12"/>
  <c r="P156" i="12" s="1"/>
  <c r="J180" i="12"/>
  <c r="P154" i="12"/>
  <c r="H427" i="12"/>
  <c r="L423" i="12"/>
  <c r="H10" i="12"/>
  <c r="J114" i="12"/>
  <c r="O159" i="12"/>
  <c r="G204" i="12"/>
  <c r="J204" i="12" s="1"/>
  <c r="J205" i="12"/>
  <c r="J429" i="12" s="1"/>
  <c r="G218" i="12"/>
  <c r="J218" i="12" s="1"/>
  <c r="J248" i="12"/>
  <c r="G432" i="12"/>
  <c r="P432" i="12" s="1"/>
  <c r="L433" i="12"/>
  <c r="J29" i="12"/>
  <c r="T59" i="12"/>
  <c r="O87" i="12"/>
  <c r="O93" i="12"/>
  <c r="F95" i="12"/>
  <c r="Q127" i="12"/>
  <c r="Q423" i="12" s="1"/>
  <c r="D176" i="12"/>
  <c r="I236" i="12"/>
  <c r="O236" i="12" s="1"/>
  <c r="P271" i="12"/>
  <c r="P297" i="12"/>
  <c r="P305" i="12"/>
  <c r="J339" i="12"/>
  <c r="N423" i="12"/>
  <c r="M56" i="12"/>
  <c r="O98" i="12"/>
  <c r="G146" i="12"/>
  <c r="J146" i="12" s="1"/>
  <c r="P196" i="12"/>
  <c r="M204" i="12"/>
  <c r="P217" i="12"/>
  <c r="P233" i="12"/>
  <c r="G428" i="12"/>
  <c r="P428" i="12" s="1"/>
  <c r="AC428" i="12" s="1"/>
  <c r="T14" i="12"/>
  <c r="T48" i="12"/>
  <c r="Q52" i="12"/>
  <c r="J88" i="12"/>
  <c r="J107" i="12"/>
  <c r="G127" i="12"/>
  <c r="J127" i="12" s="1"/>
  <c r="M156" i="12"/>
  <c r="K176" i="12"/>
  <c r="O221" i="12"/>
  <c r="J278" i="12"/>
  <c r="C280" i="12"/>
  <c r="C279" i="12" s="1"/>
  <c r="J314" i="12"/>
  <c r="P324" i="12"/>
  <c r="G429" i="12"/>
  <c r="P429" i="12" s="1"/>
  <c r="AC429" i="12" s="1"/>
  <c r="L427" i="12"/>
  <c r="L434" i="12"/>
  <c r="P344" i="12"/>
  <c r="F191" i="12"/>
  <c r="O36" i="12"/>
  <c r="G52" i="12"/>
  <c r="P52" i="12" s="1"/>
  <c r="J53" i="12"/>
  <c r="P54" i="12"/>
  <c r="T54" i="12" s="1"/>
  <c r="O56" i="12"/>
  <c r="K126" i="12"/>
  <c r="M138" i="12"/>
  <c r="K153" i="12"/>
  <c r="K148" i="12" s="1"/>
  <c r="K137" i="12" s="1"/>
  <c r="O165" i="12"/>
  <c r="O227" i="12"/>
  <c r="C242" i="12"/>
  <c r="C241" i="12" s="1"/>
  <c r="J256" i="12"/>
  <c r="J284" i="12"/>
  <c r="P299" i="12"/>
  <c r="G312" i="12"/>
  <c r="P312" i="12" s="1"/>
  <c r="E317" i="12"/>
  <c r="G424" i="12"/>
  <c r="P424" i="12" s="1"/>
  <c r="I10" i="12"/>
  <c r="F71" i="12"/>
  <c r="F70" i="12" s="1"/>
  <c r="D220" i="12"/>
  <c r="E35" i="12"/>
  <c r="E34" i="12" s="1"/>
  <c r="J47" i="12"/>
  <c r="H95" i="12"/>
  <c r="J120" i="12"/>
  <c r="F130" i="12"/>
  <c r="N153" i="12"/>
  <c r="N148" i="12" s="1"/>
  <c r="M163" i="12"/>
  <c r="H184" i="12"/>
  <c r="H430" i="12" s="1"/>
  <c r="AA430" i="12" s="1"/>
  <c r="D280" i="12"/>
  <c r="D279" i="12" s="1"/>
  <c r="P336" i="12"/>
  <c r="G425" i="12"/>
  <c r="P425" i="12" s="1"/>
  <c r="AC425" i="12" s="1"/>
  <c r="G67" i="12"/>
  <c r="J67" i="12" s="1"/>
  <c r="M102" i="12"/>
  <c r="G81" i="12"/>
  <c r="J81" i="12" s="1"/>
  <c r="J85" i="12"/>
  <c r="J84" i="12"/>
  <c r="E95" i="12"/>
  <c r="D71" i="12"/>
  <c r="D70" i="12" s="1"/>
  <c r="O78" i="12"/>
  <c r="L97" i="12"/>
  <c r="L96" i="12" s="1"/>
  <c r="Q96" i="12" s="1"/>
  <c r="E71" i="12"/>
  <c r="E70" i="12" s="1"/>
  <c r="O81" i="12"/>
  <c r="M87" i="12"/>
  <c r="N97" i="12"/>
  <c r="N96" i="12" s="1"/>
  <c r="M74" i="12"/>
  <c r="L168" i="12"/>
  <c r="O117" i="12"/>
  <c r="M131" i="12"/>
  <c r="M187" i="12"/>
  <c r="G195" i="12"/>
  <c r="J195" i="12" s="1"/>
  <c r="K220" i="12"/>
  <c r="M224" i="12"/>
  <c r="O156" i="12"/>
  <c r="H176" i="12"/>
  <c r="L176" i="12"/>
  <c r="Q176" i="12" s="1"/>
  <c r="F184" i="12"/>
  <c r="O207" i="12"/>
  <c r="P212" i="12"/>
  <c r="M214" i="12"/>
  <c r="M227" i="12"/>
  <c r="M169" i="12"/>
  <c r="M177" i="12"/>
  <c r="M230" i="12"/>
  <c r="M434" i="12" s="1"/>
  <c r="J182" i="12"/>
  <c r="P203" i="12"/>
  <c r="F220" i="12"/>
  <c r="G159" i="12"/>
  <c r="J159" i="12" s="1"/>
  <c r="O163" i="12"/>
  <c r="G169" i="12"/>
  <c r="J169" i="12" s="1"/>
  <c r="O177" i="12"/>
  <c r="C184" i="12"/>
  <c r="O185" i="12"/>
  <c r="O230" i="12"/>
  <c r="P232" i="12"/>
  <c r="P113" i="12"/>
  <c r="H130" i="12"/>
  <c r="C153" i="12"/>
  <c r="C148" i="12" s="1"/>
  <c r="C137" i="12" s="1"/>
  <c r="E176" i="12"/>
  <c r="D184" i="12"/>
  <c r="J360" i="12"/>
  <c r="J380" i="12"/>
  <c r="J389" i="12"/>
  <c r="J392" i="12"/>
  <c r="J398" i="12"/>
  <c r="J359" i="12"/>
  <c r="J379" i="12"/>
  <c r="J397" i="12"/>
  <c r="J400" i="12"/>
  <c r="J365" i="12"/>
  <c r="J373" i="12"/>
  <c r="J385" i="12"/>
  <c r="J388" i="12"/>
  <c r="J394" i="12"/>
  <c r="D334" i="12"/>
  <c r="J405" i="12"/>
  <c r="J408" i="12"/>
  <c r="P385" i="12"/>
  <c r="C322" i="12"/>
  <c r="P327" i="12"/>
  <c r="J331" i="12"/>
  <c r="F322" i="12"/>
  <c r="P328" i="12"/>
  <c r="D317" i="12"/>
  <c r="J288" i="12"/>
  <c r="J316" i="12"/>
  <c r="P304" i="12"/>
  <c r="J306" i="12"/>
  <c r="G281" i="12"/>
  <c r="P281" i="12" s="1"/>
  <c r="G315" i="12"/>
  <c r="P283" i="12"/>
  <c r="J300" i="12"/>
  <c r="P311" i="12"/>
  <c r="P287" i="12"/>
  <c r="E250" i="12"/>
  <c r="J260" i="12"/>
  <c r="J267" i="12"/>
  <c r="J264" i="12"/>
  <c r="D250" i="12"/>
  <c r="F242" i="12"/>
  <c r="F241" i="12" s="1"/>
  <c r="M237" i="12"/>
  <c r="H220" i="12"/>
  <c r="J222" i="12"/>
  <c r="I220" i="12"/>
  <c r="O224" i="12"/>
  <c r="G230" i="12"/>
  <c r="L220" i="12"/>
  <c r="Q220" i="12" s="1"/>
  <c r="C220" i="12"/>
  <c r="M221" i="12"/>
  <c r="I213" i="12"/>
  <c r="C206" i="12"/>
  <c r="C191" i="12" s="1"/>
  <c r="M207" i="12"/>
  <c r="L206" i="12"/>
  <c r="Q206" i="12" s="1"/>
  <c r="P202" i="12"/>
  <c r="E191" i="12"/>
  <c r="G200" i="12"/>
  <c r="P200" i="12" s="1"/>
  <c r="M200" i="12"/>
  <c r="Q195" i="12"/>
  <c r="J197" i="12"/>
  <c r="K191" i="12"/>
  <c r="G185" i="12"/>
  <c r="J185" i="12" s="1"/>
  <c r="G187" i="12"/>
  <c r="J187" i="12" s="1"/>
  <c r="J190" i="12"/>
  <c r="P186" i="12"/>
  <c r="M181" i="12"/>
  <c r="P182" i="12"/>
  <c r="P180" i="12"/>
  <c r="M179" i="12"/>
  <c r="C176" i="12"/>
  <c r="F176" i="12"/>
  <c r="J177" i="12"/>
  <c r="P173" i="12"/>
  <c r="I168" i="12"/>
  <c r="I431" i="12" s="1"/>
  <c r="J174" i="12"/>
  <c r="O169" i="12"/>
  <c r="J170" i="12"/>
  <c r="J164" i="12"/>
  <c r="J425" i="12" s="1"/>
  <c r="G166" i="12"/>
  <c r="J166" i="12" s="1"/>
  <c r="M165" i="12"/>
  <c r="M433" i="12" s="1"/>
  <c r="P164" i="12"/>
  <c r="J145" i="12"/>
  <c r="J151" i="12"/>
  <c r="D153" i="12"/>
  <c r="D148" i="12" s="1"/>
  <c r="D137" i="12" s="1"/>
  <c r="I153" i="12"/>
  <c r="J142" i="12"/>
  <c r="J150" i="12"/>
  <c r="G138" i="12"/>
  <c r="H153" i="12"/>
  <c r="H148" i="12" s="1"/>
  <c r="H137" i="12" s="1"/>
  <c r="E153" i="12"/>
  <c r="E148" i="12" s="1"/>
  <c r="E137" i="12" s="1"/>
  <c r="O131" i="12"/>
  <c r="D130" i="12"/>
  <c r="O135" i="12"/>
  <c r="J134" i="12"/>
  <c r="J136" i="12"/>
  <c r="L130" i="12"/>
  <c r="Q130" i="12" s="1"/>
  <c r="G135" i="12"/>
  <c r="J135" i="12" s="1"/>
  <c r="G131" i="12"/>
  <c r="J131" i="12" s="1"/>
  <c r="E130" i="12"/>
  <c r="N111" i="12"/>
  <c r="N110" i="12" s="1"/>
  <c r="J121" i="12"/>
  <c r="O101" i="12"/>
  <c r="N100" i="12"/>
  <c r="O100" i="12" s="1"/>
  <c r="I96" i="12"/>
  <c r="I95" i="12" s="1"/>
  <c r="M98" i="12"/>
  <c r="J105" i="12"/>
  <c r="K95" i="12"/>
  <c r="O102" i="12"/>
  <c r="I71" i="12"/>
  <c r="I70" i="12" s="1"/>
  <c r="M78" i="12"/>
  <c r="P90" i="12"/>
  <c r="K71" i="12"/>
  <c r="K70" i="12" s="1"/>
  <c r="G74" i="12"/>
  <c r="J74" i="12" s="1"/>
  <c r="O72" i="12"/>
  <c r="J75" i="12"/>
  <c r="H71" i="12"/>
  <c r="H70" i="12" s="1"/>
  <c r="P69" i="12"/>
  <c r="O66" i="12"/>
  <c r="J46" i="12"/>
  <c r="J50" i="12"/>
  <c r="P55" i="12"/>
  <c r="T55" i="12" s="1"/>
  <c r="T57" i="12"/>
  <c r="S45" i="12"/>
  <c r="S44" i="12" s="1"/>
  <c r="S43" i="12" s="1"/>
  <c r="J49" i="12"/>
  <c r="T58" i="12"/>
  <c r="G56" i="12"/>
  <c r="P56" i="12" s="1"/>
  <c r="J15" i="12"/>
  <c r="J20" i="12"/>
  <c r="J28" i="12"/>
  <c r="E10" i="12"/>
  <c r="I35" i="12"/>
  <c r="K35" i="12"/>
  <c r="K34" i="12" s="1"/>
  <c r="H35" i="12"/>
  <c r="H34" i="12" s="1"/>
  <c r="J14" i="12"/>
  <c r="M23" i="12"/>
  <c r="L35" i="12"/>
  <c r="L34" i="12" s="1"/>
  <c r="P20" i="12"/>
  <c r="T20" i="12" s="1"/>
  <c r="C35" i="12"/>
  <c r="C34" i="12" s="1"/>
  <c r="M39" i="12"/>
  <c r="T21" i="12"/>
  <c r="S11" i="12"/>
  <c r="S10" i="12" s="1"/>
  <c r="S9" i="12" s="1"/>
  <c r="N10" i="12"/>
  <c r="O11" i="12"/>
  <c r="P18" i="12"/>
  <c r="T18" i="12" s="1"/>
  <c r="J18" i="12"/>
  <c r="L44" i="12"/>
  <c r="Q45" i="12"/>
  <c r="P112" i="12"/>
  <c r="J112" i="12"/>
  <c r="P115" i="12"/>
  <c r="J115" i="12"/>
  <c r="P32" i="12"/>
  <c r="T32" i="12" s="1"/>
  <c r="J32" i="12"/>
  <c r="P31" i="12"/>
  <c r="T31" i="12" s="1"/>
  <c r="J31" i="12"/>
  <c r="G27" i="12"/>
  <c r="P42" i="12"/>
  <c r="J42" i="12"/>
  <c r="G39" i="12"/>
  <c r="N45" i="12"/>
  <c r="O52" i="12"/>
  <c r="P93" i="12"/>
  <c r="J93" i="12"/>
  <c r="T13" i="12"/>
  <c r="T17" i="12"/>
  <c r="T47" i="12"/>
  <c r="T51" i="12"/>
  <c r="C71" i="12"/>
  <c r="C70" i="12" s="1"/>
  <c r="J13" i="12"/>
  <c r="J17" i="12"/>
  <c r="T16" i="12"/>
  <c r="P26" i="12"/>
  <c r="M27" i="12"/>
  <c r="P33" i="12"/>
  <c r="T33" i="12" s="1"/>
  <c r="J33" i="12"/>
  <c r="G36" i="12"/>
  <c r="P37" i="12"/>
  <c r="J37" i="12"/>
  <c r="T46" i="12"/>
  <c r="T50" i="12"/>
  <c r="T12" i="12"/>
  <c r="J12" i="12"/>
  <c r="J16" i="12"/>
  <c r="G23" i="12"/>
  <c r="M67" i="12"/>
  <c r="Q67" i="12"/>
  <c r="L66" i="12"/>
  <c r="T15" i="12"/>
  <c r="O19" i="12"/>
  <c r="P25" i="12"/>
  <c r="T25" i="12" s="1"/>
  <c r="T49" i="12"/>
  <c r="P104" i="12"/>
  <c r="J104" i="12"/>
  <c r="M106" i="12"/>
  <c r="I45" i="12"/>
  <c r="P68" i="12"/>
  <c r="L71" i="12"/>
  <c r="M72" i="12"/>
  <c r="P73" i="12"/>
  <c r="P76" i="12"/>
  <c r="M81" i="12"/>
  <c r="G91" i="12"/>
  <c r="M93" i="12"/>
  <c r="P119" i="12"/>
  <c r="J119" i="12"/>
  <c r="P144" i="12"/>
  <c r="J144" i="12"/>
  <c r="J163" i="12"/>
  <c r="P163" i="12"/>
  <c r="M127" i="12"/>
  <c r="I126" i="12"/>
  <c r="M126" i="12" s="1"/>
  <c r="Q185" i="12"/>
  <c r="L184" i="12"/>
  <c r="J57" i="12"/>
  <c r="J58" i="12"/>
  <c r="J59" i="12"/>
  <c r="J60" i="12"/>
  <c r="J61" i="12"/>
  <c r="J62" i="12"/>
  <c r="N71" i="12"/>
  <c r="G72" i="12"/>
  <c r="J77" i="12"/>
  <c r="P77" i="12"/>
  <c r="G78" i="12"/>
  <c r="J83" i="12"/>
  <c r="P89" i="12"/>
  <c r="J89" i="12"/>
  <c r="M91" i="12"/>
  <c r="G98" i="12"/>
  <c r="P99" i="12"/>
  <c r="G102" i="12"/>
  <c r="N176" i="12"/>
  <c r="O74" i="12"/>
  <c r="J86" i="12"/>
  <c r="P86" i="12"/>
  <c r="P116" i="12"/>
  <c r="J116" i="12"/>
  <c r="G117" i="12"/>
  <c r="G111" i="12" s="1"/>
  <c r="P149" i="12"/>
  <c r="J149" i="12"/>
  <c r="J179" i="12"/>
  <c r="P179" i="12"/>
  <c r="J181" i="12"/>
  <c r="P181" i="12"/>
  <c r="P265" i="12"/>
  <c r="J265" i="12"/>
  <c r="P307" i="12"/>
  <c r="J307" i="12"/>
  <c r="G303" i="12"/>
  <c r="P80" i="12"/>
  <c r="P92" i="12"/>
  <c r="P94" i="12"/>
  <c r="J94" i="12"/>
  <c r="D95" i="12"/>
  <c r="P140" i="12"/>
  <c r="J140" i="12"/>
  <c r="D191" i="12"/>
  <c r="J79" i="12"/>
  <c r="J82" i="12"/>
  <c r="P82" i="12"/>
  <c r="C95" i="12"/>
  <c r="O127" i="12"/>
  <c r="P158" i="12"/>
  <c r="J158" i="12"/>
  <c r="Q194" i="12"/>
  <c r="Q427" i="12" s="1"/>
  <c r="P103" i="12"/>
  <c r="P118" i="12"/>
  <c r="P122" i="12"/>
  <c r="P132" i="12"/>
  <c r="L153" i="12"/>
  <c r="P155" i="12"/>
  <c r="P160" i="12"/>
  <c r="P171" i="12"/>
  <c r="M185" i="12"/>
  <c r="O195" i="12"/>
  <c r="N194" i="12"/>
  <c r="N427" i="12" s="1"/>
  <c r="J211" i="12"/>
  <c r="P211" i="12"/>
  <c r="J257" i="12"/>
  <c r="P257" i="12"/>
  <c r="G298" i="12"/>
  <c r="P301" i="12"/>
  <c r="J301" i="12"/>
  <c r="J325" i="12"/>
  <c r="P325" i="12"/>
  <c r="G323" i="12"/>
  <c r="J357" i="12"/>
  <c r="P357" i="12"/>
  <c r="J201" i="12"/>
  <c r="P201" i="12"/>
  <c r="J247" i="12"/>
  <c r="P247" i="12"/>
  <c r="J253" i="12"/>
  <c r="P253" i="12"/>
  <c r="G320" i="12"/>
  <c r="J321" i="12"/>
  <c r="P321" i="12"/>
  <c r="J345" i="12"/>
  <c r="P345" i="12"/>
  <c r="J351" i="12"/>
  <c r="P351" i="12"/>
  <c r="P384" i="12"/>
  <c r="J384" i="12"/>
  <c r="J139" i="12"/>
  <c r="J143" i="12"/>
  <c r="J152" i="12"/>
  <c r="J157" i="12"/>
  <c r="J178" i="12"/>
  <c r="J183" i="12"/>
  <c r="N184" i="12"/>
  <c r="J188" i="12"/>
  <c r="J231" i="12"/>
  <c r="P231" i="12"/>
  <c r="G259" i="12"/>
  <c r="F258" i="12"/>
  <c r="F250" i="12" s="1"/>
  <c r="P269" i="12"/>
  <c r="J269" i="12"/>
  <c r="P285" i="12"/>
  <c r="J285" i="12"/>
  <c r="P295" i="12"/>
  <c r="G294" i="12"/>
  <c r="J295" i="12"/>
  <c r="J123" i="12"/>
  <c r="J128" i="12"/>
  <c r="J133" i="12"/>
  <c r="J147" i="12"/>
  <c r="J161" i="12"/>
  <c r="J167" i="12"/>
  <c r="N168" i="12"/>
  <c r="J172" i="12"/>
  <c r="O179" i="12"/>
  <c r="G192" i="12"/>
  <c r="H191" i="12"/>
  <c r="G207" i="12"/>
  <c r="P208" i="12"/>
  <c r="J208" i="12"/>
  <c r="P223" i="12"/>
  <c r="J223" i="12"/>
  <c r="F237" i="12"/>
  <c r="F236" i="12" s="1"/>
  <c r="F235" i="12" s="1"/>
  <c r="G238" i="12"/>
  <c r="P309" i="12"/>
  <c r="G308" i="12"/>
  <c r="J309" i="12"/>
  <c r="J329" i="12"/>
  <c r="P329" i="12"/>
  <c r="J337" i="12"/>
  <c r="P337" i="12"/>
  <c r="M218" i="12"/>
  <c r="E220" i="12"/>
  <c r="C250" i="12"/>
  <c r="P261" i="12"/>
  <c r="J261" i="12"/>
  <c r="P289" i="12"/>
  <c r="J289" i="12"/>
  <c r="G352" i="12"/>
  <c r="J353" i="12"/>
  <c r="P353" i="12"/>
  <c r="J361" i="12"/>
  <c r="P361" i="12"/>
  <c r="P139" i="12"/>
  <c r="P157" i="12"/>
  <c r="P178" i="12"/>
  <c r="J193" i="12"/>
  <c r="I194" i="12"/>
  <c r="I427" i="12" s="1"/>
  <c r="M195" i="12"/>
  <c r="P198" i="12"/>
  <c r="J198" i="12"/>
  <c r="O206" i="12"/>
  <c r="J216" i="12"/>
  <c r="P216" i="12"/>
  <c r="P273" i="12"/>
  <c r="J273" i="12"/>
  <c r="E334" i="12"/>
  <c r="G347" i="12"/>
  <c r="J367" i="12"/>
  <c r="G364" i="12"/>
  <c r="P367" i="12"/>
  <c r="P189" i="12"/>
  <c r="J189" i="12"/>
  <c r="J226" i="12"/>
  <c r="P226" i="12"/>
  <c r="G227" i="12"/>
  <c r="P228" i="12"/>
  <c r="J228" i="12"/>
  <c r="P293" i="12"/>
  <c r="J293" i="12"/>
  <c r="J341" i="12"/>
  <c r="P341" i="12"/>
  <c r="J199" i="12"/>
  <c r="J209" i="12"/>
  <c r="J219" i="12"/>
  <c r="N220" i="12"/>
  <c r="G221" i="12"/>
  <c r="J229" i="12"/>
  <c r="G243" i="12"/>
  <c r="G245" i="12"/>
  <c r="G251" i="12"/>
  <c r="G255" i="12"/>
  <c r="J262" i="12"/>
  <c r="J266" i="12"/>
  <c r="J270" i="12"/>
  <c r="J282" i="12"/>
  <c r="J286" i="12"/>
  <c r="J290" i="12"/>
  <c r="J296" i="12"/>
  <c r="J302" i="12"/>
  <c r="J310" i="12"/>
  <c r="J318" i="12"/>
  <c r="P371" i="12"/>
  <c r="P375" i="12"/>
  <c r="P377" i="12"/>
  <c r="P381" i="12"/>
  <c r="P387" i="12"/>
  <c r="P391" i="12"/>
  <c r="P395" i="12"/>
  <c r="P399" i="12"/>
  <c r="P403" i="12"/>
  <c r="P210" i="12"/>
  <c r="P215" i="12"/>
  <c r="P225" i="12"/>
  <c r="P234" i="12"/>
  <c r="P244" i="12"/>
  <c r="P246" i="12"/>
  <c r="P252" i="12"/>
  <c r="N213" i="12"/>
  <c r="G214" i="12"/>
  <c r="G224" i="12"/>
  <c r="J326" i="12"/>
  <c r="J330" i="12"/>
  <c r="J332" i="12"/>
  <c r="G335" i="12"/>
  <c r="J338" i="12"/>
  <c r="J342" i="12"/>
  <c r="J346" i="12"/>
  <c r="J348" i="12"/>
  <c r="J354" i="12"/>
  <c r="J358" i="12"/>
  <c r="J362" i="12"/>
  <c r="J368" i="12"/>
  <c r="J372" i="12"/>
  <c r="J378" i="12"/>
  <c r="J382" i="12"/>
  <c r="G275" i="12"/>
  <c r="G277" i="12"/>
  <c r="J377" i="12"/>
  <c r="J313" i="12"/>
  <c r="N235" i="12"/>
  <c r="Q408" i="8"/>
  <c r="Q407" i="8"/>
  <c r="Q406" i="8"/>
  <c r="Q405" i="8"/>
  <c r="Q404" i="8"/>
  <c r="Q403" i="8"/>
  <c r="Q402" i="8"/>
  <c r="Q401" i="8"/>
  <c r="Q400" i="8"/>
  <c r="Q399" i="8"/>
  <c r="Q398" i="8"/>
  <c r="Q397" i="8"/>
  <c r="Q396" i="8"/>
  <c r="Q395" i="8"/>
  <c r="Q394" i="8"/>
  <c r="Q393" i="8"/>
  <c r="Q392" i="8"/>
  <c r="Q391" i="8"/>
  <c r="Q390" i="8"/>
  <c r="Q389" i="8"/>
  <c r="Q388" i="8"/>
  <c r="Q387" i="8"/>
  <c r="Q386" i="8"/>
  <c r="Q385" i="8"/>
  <c r="Q384" i="8"/>
  <c r="Q383" i="8"/>
  <c r="Q382" i="8"/>
  <c r="Q381" i="8"/>
  <c r="Q380" i="8"/>
  <c r="Q379" i="8"/>
  <c r="Q378" i="8"/>
  <c r="Q377" i="8"/>
  <c r="Q376" i="8"/>
  <c r="Q375" i="8"/>
  <c r="Q374" i="8"/>
  <c r="Q373" i="8"/>
  <c r="Q372" i="8"/>
  <c r="Q371" i="8"/>
  <c r="Q370" i="8"/>
  <c r="Q369" i="8"/>
  <c r="Q368" i="8"/>
  <c r="Q367" i="8"/>
  <c r="Q366" i="8"/>
  <c r="Q365" i="8"/>
  <c r="Q364" i="8"/>
  <c r="Q363" i="8"/>
  <c r="Q362" i="8"/>
  <c r="Q361" i="8"/>
  <c r="Q360" i="8"/>
  <c r="Q359" i="8"/>
  <c r="Q358" i="8"/>
  <c r="Q357" i="8"/>
  <c r="Q356" i="8"/>
  <c r="Q355" i="8"/>
  <c r="Q354" i="8"/>
  <c r="Q353" i="8"/>
  <c r="Q352" i="8"/>
  <c r="Q351" i="8"/>
  <c r="Q350" i="8"/>
  <c r="Q349" i="8"/>
  <c r="Q348" i="8"/>
  <c r="Q347" i="8"/>
  <c r="Q346" i="8"/>
  <c r="Q345" i="8"/>
  <c r="Q344" i="8"/>
  <c r="Q343" i="8"/>
  <c r="Q342" i="8"/>
  <c r="Q341" i="8"/>
  <c r="Q340" i="8"/>
  <c r="Q339" i="8"/>
  <c r="Q338" i="8"/>
  <c r="Q337" i="8"/>
  <c r="Q336" i="8"/>
  <c r="Q334" i="8"/>
  <c r="Q333" i="8"/>
  <c r="Q332" i="8"/>
  <c r="Q331" i="8"/>
  <c r="Q330" i="8"/>
  <c r="Q329" i="8"/>
  <c r="Q328" i="8"/>
  <c r="Q327" i="8"/>
  <c r="Q326" i="8"/>
  <c r="Q325" i="8"/>
  <c r="Q324" i="8"/>
  <c r="Q323" i="8"/>
  <c r="Q322" i="8"/>
  <c r="Q321" i="8"/>
  <c r="Q320" i="8"/>
  <c r="Q319" i="8"/>
  <c r="Q318" i="8"/>
  <c r="Q317" i="8"/>
  <c r="Q316" i="8"/>
  <c r="Q315" i="8"/>
  <c r="Q314" i="8"/>
  <c r="Q313" i="8"/>
  <c r="Q312" i="8"/>
  <c r="Q311" i="8"/>
  <c r="Q310" i="8"/>
  <c r="Q309" i="8"/>
  <c r="Q308" i="8"/>
  <c r="Q307" i="8"/>
  <c r="Q306" i="8"/>
  <c r="Q305" i="8"/>
  <c r="Q304" i="8"/>
  <c r="Q303" i="8"/>
  <c r="Q302" i="8"/>
  <c r="Q301" i="8"/>
  <c r="Q300" i="8"/>
  <c r="Q299" i="8"/>
  <c r="Q298" i="8"/>
  <c r="Q297" i="8"/>
  <c r="Q296" i="8"/>
  <c r="Q295" i="8"/>
  <c r="Q294" i="8"/>
  <c r="Q293" i="8"/>
  <c r="Q292" i="8"/>
  <c r="Q291" i="8"/>
  <c r="Q290" i="8"/>
  <c r="Q289" i="8"/>
  <c r="Q288" i="8"/>
  <c r="Q287" i="8"/>
  <c r="Q286" i="8"/>
  <c r="Q285" i="8"/>
  <c r="Q284" i="8"/>
  <c r="Q283" i="8"/>
  <c r="Q282" i="8"/>
  <c r="Q281" i="8"/>
  <c r="Q280" i="8"/>
  <c r="Q279" i="8"/>
  <c r="Q278" i="8"/>
  <c r="Q277" i="8"/>
  <c r="Q276" i="8"/>
  <c r="Q275" i="8"/>
  <c r="Q274" i="8"/>
  <c r="Q273" i="8"/>
  <c r="Q272" i="8"/>
  <c r="Q271" i="8"/>
  <c r="Q270" i="8"/>
  <c r="Q269" i="8"/>
  <c r="Q268" i="8"/>
  <c r="Q267" i="8"/>
  <c r="Q266" i="8"/>
  <c r="Q265" i="8"/>
  <c r="Q264" i="8"/>
  <c r="Q263" i="8"/>
  <c r="Q262" i="8"/>
  <c r="Q261" i="8"/>
  <c r="Q260" i="8"/>
  <c r="Q259" i="8"/>
  <c r="Q258" i="8"/>
  <c r="Q257" i="8"/>
  <c r="Q256" i="8"/>
  <c r="Q255" i="8"/>
  <c r="Q254" i="8"/>
  <c r="Q253" i="8"/>
  <c r="Q252" i="8"/>
  <c r="Q251" i="8"/>
  <c r="Q250" i="8"/>
  <c r="Q249" i="8"/>
  <c r="Q248" i="8"/>
  <c r="Q247" i="8"/>
  <c r="Q246" i="8"/>
  <c r="Q245" i="8"/>
  <c r="Q244" i="8"/>
  <c r="Q243" i="8"/>
  <c r="Q242" i="8"/>
  <c r="Q241" i="8"/>
  <c r="Q240" i="8"/>
  <c r="Q239" i="8"/>
  <c r="Q238" i="8"/>
  <c r="Q234" i="8"/>
  <c r="Q233" i="8"/>
  <c r="Q232" i="8"/>
  <c r="Q231" i="8"/>
  <c r="Q229" i="8"/>
  <c r="Q228" i="8"/>
  <c r="Q226" i="8"/>
  <c r="Q225" i="8"/>
  <c r="Q223" i="8"/>
  <c r="Q222" i="8"/>
  <c r="Q219" i="8"/>
  <c r="Q217" i="8"/>
  <c r="Q216" i="8"/>
  <c r="Q215" i="8"/>
  <c r="Q212" i="8"/>
  <c r="Q211" i="8"/>
  <c r="Q210" i="8"/>
  <c r="Q209" i="8"/>
  <c r="Q208" i="8"/>
  <c r="Q205" i="8"/>
  <c r="Q203" i="8"/>
  <c r="Q202" i="8"/>
  <c r="Q201" i="8"/>
  <c r="Q199" i="8"/>
  <c r="Q198" i="8"/>
  <c r="Q197" i="8"/>
  <c r="Q196" i="8"/>
  <c r="Q193" i="8"/>
  <c r="Q190" i="8"/>
  <c r="Q189" i="8"/>
  <c r="Q188" i="8"/>
  <c r="Q186" i="8"/>
  <c r="Q183" i="8"/>
  <c r="Q182" i="8"/>
  <c r="Q180" i="8"/>
  <c r="Q178" i="8"/>
  <c r="Q174" i="8"/>
  <c r="Q173" i="8"/>
  <c r="Q172" i="8"/>
  <c r="Q171" i="8"/>
  <c r="Q170" i="8"/>
  <c r="Q167" i="8"/>
  <c r="Q166" i="8"/>
  <c r="Q164" i="8"/>
  <c r="Q161" i="8"/>
  <c r="Q160" i="8"/>
  <c r="Q158" i="8"/>
  <c r="Q157" i="8"/>
  <c r="Q155" i="8"/>
  <c r="Q154" i="8"/>
  <c r="Q152" i="8"/>
  <c r="Q151" i="8"/>
  <c r="Q150" i="8"/>
  <c r="Q149" i="8"/>
  <c r="Q147" i="8"/>
  <c r="Q145" i="8"/>
  <c r="Q144" i="8"/>
  <c r="Q143" i="8"/>
  <c r="Q142" i="8"/>
  <c r="Q141" i="8"/>
  <c r="Q140" i="8"/>
  <c r="Q139" i="8"/>
  <c r="Q136" i="8"/>
  <c r="Q134" i="8"/>
  <c r="Q133" i="8"/>
  <c r="Q132" i="8"/>
  <c r="Q129" i="8"/>
  <c r="Q128" i="8"/>
  <c r="Q125" i="8"/>
  <c r="Q124" i="8"/>
  <c r="Q123" i="8"/>
  <c r="Q122" i="8"/>
  <c r="Q121" i="8"/>
  <c r="Q120" i="8"/>
  <c r="Q119" i="8"/>
  <c r="Q118" i="8"/>
  <c r="Q116" i="8"/>
  <c r="Q115" i="8"/>
  <c r="Q114" i="8"/>
  <c r="Q113" i="8"/>
  <c r="Q112" i="8"/>
  <c r="Q107" i="8"/>
  <c r="Q105" i="8"/>
  <c r="Q104" i="8"/>
  <c r="Q103" i="8"/>
  <c r="Q99" i="8"/>
  <c r="Q94" i="8"/>
  <c r="Q92" i="8"/>
  <c r="Q90" i="8"/>
  <c r="Q89" i="8"/>
  <c r="Q88" i="8"/>
  <c r="Q86" i="8"/>
  <c r="Q85" i="8"/>
  <c r="Q84" i="8"/>
  <c r="Q83" i="8"/>
  <c r="Q82" i="8"/>
  <c r="Q80" i="8"/>
  <c r="Q79" i="8"/>
  <c r="Q77" i="8"/>
  <c r="Q76" i="8"/>
  <c r="Q75" i="8"/>
  <c r="Q73" i="8"/>
  <c r="Q69" i="8"/>
  <c r="Q68" i="8"/>
  <c r="Q62" i="8"/>
  <c r="Q61" i="8"/>
  <c r="Q60" i="8"/>
  <c r="Q59" i="8"/>
  <c r="Q58" i="8"/>
  <c r="Q57" i="8"/>
  <c r="Q55" i="8"/>
  <c r="Q54" i="8"/>
  <c r="Q53" i="8"/>
  <c r="Q51" i="8"/>
  <c r="Q50" i="8"/>
  <c r="Q49" i="8"/>
  <c r="Q48" i="8"/>
  <c r="Q47" i="8"/>
  <c r="Q46" i="8"/>
  <c r="Q42" i="8"/>
  <c r="Q41" i="8"/>
  <c r="Q40" i="8"/>
  <c r="Q38" i="8"/>
  <c r="Q37" i="8"/>
  <c r="Q33" i="8"/>
  <c r="Q32" i="8"/>
  <c r="Q31" i="8"/>
  <c r="Q30" i="8"/>
  <c r="Q29" i="8"/>
  <c r="Q28" i="8"/>
  <c r="Q26" i="8"/>
  <c r="Q25" i="8"/>
  <c r="Q24" i="8"/>
  <c r="Q22" i="8"/>
  <c r="Q21" i="8"/>
  <c r="Q20" i="8"/>
  <c r="Q18" i="8"/>
  <c r="Q17" i="8"/>
  <c r="Q16" i="8"/>
  <c r="Q15" i="8"/>
  <c r="Q14" i="8"/>
  <c r="Q13" i="8"/>
  <c r="Q12" i="8"/>
  <c r="P333" i="8"/>
  <c r="P31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51" i="8"/>
  <c r="O350" i="8"/>
  <c r="O349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4" i="8"/>
  <c r="O333" i="8"/>
  <c r="O332" i="8"/>
  <c r="O331" i="8"/>
  <c r="O330" i="8"/>
  <c r="O329" i="8"/>
  <c r="O328" i="8"/>
  <c r="O327" i="8"/>
  <c r="O326" i="8"/>
  <c r="O325" i="8"/>
  <c r="O324" i="8"/>
  <c r="O323" i="8"/>
  <c r="O322" i="8"/>
  <c r="O321" i="8"/>
  <c r="O320" i="8"/>
  <c r="O319" i="8"/>
  <c r="O318" i="8"/>
  <c r="O317" i="8"/>
  <c r="O316" i="8"/>
  <c r="O315" i="8"/>
  <c r="O314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1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4" i="8"/>
  <c r="O233" i="8"/>
  <c r="O232" i="8"/>
  <c r="O231" i="8"/>
  <c r="O229" i="8"/>
  <c r="O228" i="8"/>
  <c r="O226" i="8"/>
  <c r="O225" i="8"/>
  <c r="O223" i="8"/>
  <c r="O222" i="8"/>
  <c r="O219" i="8"/>
  <c r="O217" i="8"/>
  <c r="O216" i="8"/>
  <c r="O215" i="8"/>
  <c r="O212" i="8"/>
  <c r="O211" i="8"/>
  <c r="O210" i="8"/>
  <c r="O209" i="8"/>
  <c r="O208" i="8"/>
  <c r="O205" i="8"/>
  <c r="O203" i="8"/>
  <c r="O202" i="8"/>
  <c r="O201" i="8"/>
  <c r="O199" i="8"/>
  <c r="O198" i="8"/>
  <c r="O197" i="8"/>
  <c r="O196" i="8"/>
  <c r="O193" i="8"/>
  <c r="O190" i="8"/>
  <c r="O189" i="8"/>
  <c r="O188" i="8"/>
  <c r="O186" i="8"/>
  <c r="O183" i="8"/>
  <c r="O182" i="8"/>
  <c r="O180" i="8"/>
  <c r="O178" i="8"/>
  <c r="O174" i="8"/>
  <c r="O173" i="8"/>
  <c r="O172" i="8"/>
  <c r="O171" i="8"/>
  <c r="O170" i="8"/>
  <c r="O167" i="8"/>
  <c r="O166" i="8"/>
  <c r="O164" i="8"/>
  <c r="O161" i="8"/>
  <c r="O160" i="8"/>
  <c r="O158" i="8"/>
  <c r="O157" i="8"/>
  <c r="O155" i="8"/>
  <c r="O154" i="8"/>
  <c r="O152" i="8"/>
  <c r="O151" i="8"/>
  <c r="O150" i="8"/>
  <c r="O149" i="8"/>
  <c r="O147" i="8"/>
  <c r="O145" i="8"/>
  <c r="O144" i="8"/>
  <c r="O143" i="8"/>
  <c r="O142" i="8"/>
  <c r="O141" i="8"/>
  <c r="O140" i="8"/>
  <c r="O139" i="8"/>
  <c r="O136" i="8"/>
  <c r="O134" i="8"/>
  <c r="O133" i="8"/>
  <c r="O132" i="8"/>
  <c r="O129" i="8"/>
  <c r="O128" i="8"/>
  <c r="O125" i="8"/>
  <c r="O124" i="8"/>
  <c r="O123" i="8"/>
  <c r="O122" i="8"/>
  <c r="O121" i="8"/>
  <c r="O120" i="8"/>
  <c r="O119" i="8"/>
  <c r="O118" i="8"/>
  <c r="O116" i="8"/>
  <c r="O115" i="8"/>
  <c r="O114" i="8"/>
  <c r="O113" i="8"/>
  <c r="O112" i="8"/>
  <c r="O107" i="8"/>
  <c r="O105" i="8"/>
  <c r="O104" i="8"/>
  <c r="O103" i="8"/>
  <c r="O99" i="8"/>
  <c r="O94" i="8"/>
  <c r="O92" i="8"/>
  <c r="O90" i="8"/>
  <c r="O89" i="8"/>
  <c r="O88" i="8"/>
  <c r="O86" i="8"/>
  <c r="O85" i="8"/>
  <c r="O84" i="8"/>
  <c r="O83" i="8"/>
  <c r="O82" i="8"/>
  <c r="O80" i="8"/>
  <c r="O79" i="8"/>
  <c r="O77" i="8"/>
  <c r="O76" i="8"/>
  <c r="O75" i="8"/>
  <c r="O73" i="8"/>
  <c r="O69" i="8"/>
  <c r="O68" i="8"/>
  <c r="O62" i="8"/>
  <c r="O61" i="8"/>
  <c r="O60" i="8"/>
  <c r="O59" i="8"/>
  <c r="O58" i="8"/>
  <c r="O57" i="8"/>
  <c r="O55" i="8"/>
  <c r="O54" i="8"/>
  <c r="O53" i="8"/>
  <c r="O51" i="8"/>
  <c r="O50" i="8"/>
  <c r="O49" i="8"/>
  <c r="O48" i="8"/>
  <c r="O47" i="8"/>
  <c r="O46" i="8"/>
  <c r="O42" i="8"/>
  <c r="O41" i="8"/>
  <c r="O40" i="8"/>
  <c r="O38" i="8"/>
  <c r="O37" i="8"/>
  <c r="O33" i="8"/>
  <c r="O32" i="8"/>
  <c r="O31" i="8"/>
  <c r="O30" i="8"/>
  <c r="O29" i="8"/>
  <c r="O28" i="8"/>
  <c r="O26" i="8"/>
  <c r="O25" i="8"/>
  <c r="O24" i="8"/>
  <c r="O22" i="8"/>
  <c r="O21" i="8"/>
  <c r="O20" i="8"/>
  <c r="O18" i="8"/>
  <c r="O17" i="8"/>
  <c r="O16" i="8"/>
  <c r="O15" i="8"/>
  <c r="O14" i="8"/>
  <c r="O13" i="8"/>
  <c r="O12" i="8"/>
  <c r="M408" i="8"/>
  <c r="M407" i="8"/>
  <c r="M406" i="8"/>
  <c r="M405" i="8"/>
  <c r="M404" i="8"/>
  <c r="M403" i="8"/>
  <c r="M402" i="8"/>
  <c r="M401" i="8"/>
  <c r="M400" i="8"/>
  <c r="M399" i="8"/>
  <c r="M398" i="8"/>
  <c r="M397" i="8"/>
  <c r="M396" i="8"/>
  <c r="M395" i="8"/>
  <c r="M394" i="8"/>
  <c r="M393" i="8"/>
  <c r="M392" i="8"/>
  <c r="M391" i="8"/>
  <c r="M390" i="8"/>
  <c r="M389" i="8"/>
  <c r="M388" i="8"/>
  <c r="M387" i="8"/>
  <c r="M386" i="8"/>
  <c r="M385" i="8"/>
  <c r="M384" i="8"/>
  <c r="M383" i="8"/>
  <c r="M382" i="8"/>
  <c r="M381" i="8"/>
  <c r="M380" i="8"/>
  <c r="M379" i="8"/>
  <c r="M378" i="8"/>
  <c r="M377" i="8"/>
  <c r="M376" i="8"/>
  <c r="M375" i="8"/>
  <c r="M374" i="8"/>
  <c r="M373" i="8"/>
  <c r="M372" i="8"/>
  <c r="M371" i="8"/>
  <c r="M370" i="8"/>
  <c r="M369" i="8"/>
  <c r="M368" i="8"/>
  <c r="M367" i="8"/>
  <c r="M366" i="8"/>
  <c r="M365" i="8"/>
  <c r="M364" i="8"/>
  <c r="M363" i="8"/>
  <c r="M362" i="8"/>
  <c r="M361" i="8"/>
  <c r="M360" i="8"/>
  <c r="M359" i="8"/>
  <c r="M358" i="8"/>
  <c r="M357" i="8"/>
  <c r="M356" i="8"/>
  <c r="M355" i="8"/>
  <c r="M354" i="8"/>
  <c r="M353" i="8"/>
  <c r="M352" i="8"/>
  <c r="M351" i="8"/>
  <c r="M350" i="8"/>
  <c r="M349" i="8"/>
  <c r="M348" i="8"/>
  <c r="M347" i="8"/>
  <c r="M346" i="8"/>
  <c r="M345" i="8"/>
  <c r="M344" i="8"/>
  <c r="M343" i="8"/>
  <c r="M342" i="8"/>
  <c r="M341" i="8"/>
  <c r="M340" i="8"/>
  <c r="M339" i="8"/>
  <c r="M338" i="8"/>
  <c r="M337" i="8"/>
  <c r="M336" i="8"/>
  <c r="M334" i="8"/>
  <c r="M333" i="8"/>
  <c r="M332" i="8"/>
  <c r="M331" i="8"/>
  <c r="M330" i="8"/>
  <c r="M329" i="8"/>
  <c r="M328" i="8"/>
  <c r="M327" i="8"/>
  <c r="M326" i="8"/>
  <c r="M325" i="8"/>
  <c r="M324" i="8"/>
  <c r="M323" i="8"/>
  <c r="M322" i="8"/>
  <c r="M321" i="8"/>
  <c r="M320" i="8"/>
  <c r="M319" i="8"/>
  <c r="M318" i="8"/>
  <c r="M317" i="8"/>
  <c r="M316" i="8"/>
  <c r="M315" i="8"/>
  <c r="M314" i="8"/>
  <c r="M313" i="8"/>
  <c r="M312" i="8"/>
  <c r="M311" i="8"/>
  <c r="M310" i="8"/>
  <c r="M309" i="8"/>
  <c r="M308" i="8"/>
  <c r="M307" i="8"/>
  <c r="M306" i="8"/>
  <c r="M305" i="8"/>
  <c r="M304" i="8"/>
  <c r="M303" i="8"/>
  <c r="M302" i="8"/>
  <c r="M301" i="8"/>
  <c r="M300" i="8"/>
  <c r="M299" i="8"/>
  <c r="M298" i="8"/>
  <c r="M297" i="8"/>
  <c r="M296" i="8"/>
  <c r="M295" i="8"/>
  <c r="M294" i="8"/>
  <c r="M293" i="8"/>
  <c r="M292" i="8"/>
  <c r="M291" i="8"/>
  <c r="M290" i="8"/>
  <c r="M289" i="8"/>
  <c r="M288" i="8"/>
  <c r="M287" i="8"/>
  <c r="M286" i="8"/>
  <c r="M285" i="8"/>
  <c r="M284" i="8"/>
  <c r="M283" i="8"/>
  <c r="M282" i="8"/>
  <c r="M281" i="8"/>
  <c r="M280" i="8"/>
  <c r="M279" i="8"/>
  <c r="M278" i="8"/>
  <c r="M277" i="8"/>
  <c r="M276" i="8"/>
  <c r="M275" i="8"/>
  <c r="M274" i="8"/>
  <c r="M273" i="8"/>
  <c r="M272" i="8"/>
  <c r="M271" i="8"/>
  <c r="M270" i="8"/>
  <c r="M269" i="8"/>
  <c r="M268" i="8"/>
  <c r="M267" i="8"/>
  <c r="M266" i="8"/>
  <c r="M265" i="8"/>
  <c r="M264" i="8"/>
  <c r="M263" i="8"/>
  <c r="M262" i="8"/>
  <c r="M261" i="8"/>
  <c r="M260" i="8"/>
  <c r="M259" i="8"/>
  <c r="M258" i="8"/>
  <c r="M257" i="8"/>
  <c r="M256" i="8"/>
  <c r="M255" i="8"/>
  <c r="M254" i="8"/>
  <c r="M253" i="8"/>
  <c r="M252" i="8"/>
  <c r="M251" i="8"/>
  <c r="M250" i="8"/>
  <c r="M249" i="8"/>
  <c r="M248" i="8"/>
  <c r="M247" i="8"/>
  <c r="M246" i="8"/>
  <c r="M245" i="8"/>
  <c r="M244" i="8"/>
  <c r="M243" i="8"/>
  <c r="M242" i="8"/>
  <c r="M241" i="8"/>
  <c r="M240" i="8"/>
  <c r="M239" i="8"/>
  <c r="M238" i="8"/>
  <c r="M234" i="8"/>
  <c r="M233" i="8"/>
  <c r="M232" i="8"/>
  <c r="M231" i="8"/>
  <c r="M229" i="8"/>
  <c r="M228" i="8"/>
  <c r="M226" i="8"/>
  <c r="M225" i="8"/>
  <c r="M223" i="8"/>
  <c r="M222" i="8"/>
  <c r="M219" i="8"/>
  <c r="M217" i="8"/>
  <c r="M216" i="8"/>
  <c r="M215" i="8"/>
  <c r="M212" i="8"/>
  <c r="M211" i="8"/>
  <c r="M210" i="8"/>
  <c r="M209" i="8"/>
  <c r="M208" i="8"/>
  <c r="M205" i="8"/>
  <c r="M203" i="8"/>
  <c r="M202" i="8"/>
  <c r="M201" i="8"/>
  <c r="M199" i="8"/>
  <c r="M198" i="8"/>
  <c r="M197" i="8"/>
  <c r="M196" i="8"/>
  <c r="M193" i="8"/>
  <c r="M190" i="8"/>
  <c r="M189" i="8"/>
  <c r="M188" i="8"/>
  <c r="M186" i="8"/>
  <c r="M183" i="8"/>
  <c r="M182" i="8"/>
  <c r="M180" i="8"/>
  <c r="M178" i="8"/>
  <c r="M174" i="8"/>
  <c r="M173" i="8"/>
  <c r="M172" i="8"/>
  <c r="M171" i="8"/>
  <c r="M170" i="8"/>
  <c r="M167" i="8"/>
  <c r="M166" i="8"/>
  <c r="M164" i="8"/>
  <c r="M161" i="8"/>
  <c r="M160" i="8"/>
  <c r="M158" i="8"/>
  <c r="M157" i="8"/>
  <c r="M155" i="8"/>
  <c r="M154" i="8"/>
  <c r="M152" i="8"/>
  <c r="M151" i="8"/>
  <c r="M150" i="8"/>
  <c r="M149" i="8"/>
  <c r="M147" i="8"/>
  <c r="M145" i="8"/>
  <c r="M144" i="8"/>
  <c r="M143" i="8"/>
  <c r="M142" i="8"/>
  <c r="M141" i="8"/>
  <c r="M140" i="8"/>
  <c r="M139" i="8"/>
  <c r="M136" i="8"/>
  <c r="M134" i="8"/>
  <c r="M133" i="8"/>
  <c r="M132" i="8"/>
  <c r="M129" i="8"/>
  <c r="M128" i="8"/>
  <c r="M125" i="8"/>
  <c r="M124" i="8"/>
  <c r="M123" i="8"/>
  <c r="M122" i="8"/>
  <c r="M121" i="8"/>
  <c r="M120" i="8"/>
  <c r="M119" i="8"/>
  <c r="M118" i="8"/>
  <c r="M116" i="8"/>
  <c r="M115" i="8"/>
  <c r="M114" i="8"/>
  <c r="M113" i="8"/>
  <c r="M112" i="8"/>
  <c r="M107" i="8"/>
  <c r="M105" i="8"/>
  <c r="M104" i="8"/>
  <c r="M103" i="8"/>
  <c r="M99" i="8"/>
  <c r="M94" i="8"/>
  <c r="M92" i="8"/>
  <c r="M90" i="8"/>
  <c r="M89" i="8"/>
  <c r="M88" i="8"/>
  <c r="M86" i="8"/>
  <c r="M85" i="8"/>
  <c r="M84" i="8"/>
  <c r="M83" i="8"/>
  <c r="M82" i="8"/>
  <c r="M80" i="8"/>
  <c r="M79" i="8"/>
  <c r="M77" i="8"/>
  <c r="M76" i="8"/>
  <c r="M75" i="8"/>
  <c r="M73" i="8"/>
  <c r="M69" i="8"/>
  <c r="M68" i="8"/>
  <c r="M62" i="8"/>
  <c r="M61" i="8"/>
  <c r="M60" i="8"/>
  <c r="M59" i="8"/>
  <c r="M58" i="8"/>
  <c r="M57" i="8"/>
  <c r="M55" i="8"/>
  <c r="M54" i="8"/>
  <c r="M53" i="8"/>
  <c r="M51" i="8"/>
  <c r="M50" i="8"/>
  <c r="M49" i="8"/>
  <c r="M48" i="8"/>
  <c r="M47" i="8"/>
  <c r="M46" i="8"/>
  <c r="M42" i="8"/>
  <c r="M41" i="8"/>
  <c r="M40" i="8"/>
  <c r="M38" i="8"/>
  <c r="M37" i="8"/>
  <c r="M33" i="8"/>
  <c r="M32" i="8"/>
  <c r="M31" i="8"/>
  <c r="M30" i="8"/>
  <c r="M29" i="8"/>
  <c r="M28" i="8"/>
  <c r="M26" i="8"/>
  <c r="M25" i="8"/>
  <c r="M24" i="8"/>
  <c r="M22" i="8"/>
  <c r="M21" i="8"/>
  <c r="M20" i="8"/>
  <c r="M18" i="8"/>
  <c r="M17" i="8"/>
  <c r="M16" i="8"/>
  <c r="M15" i="8"/>
  <c r="M14" i="8"/>
  <c r="M13" i="8"/>
  <c r="M12" i="8"/>
  <c r="J333" i="8"/>
  <c r="J319" i="8"/>
  <c r="AG62" i="6"/>
  <c r="AS62" i="6" s="1"/>
  <c r="AF62" i="6"/>
  <c r="AR62" i="6" s="1"/>
  <c r="AE62" i="6"/>
  <c r="AQ62" i="6" s="1"/>
  <c r="AD62" i="6"/>
  <c r="AP62" i="6" s="1"/>
  <c r="AC62" i="6"/>
  <c r="AO62" i="6" s="1"/>
  <c r="AB62" i="6"/>
  <c r="AN62" i="6" s="1"/>
  <c r="AA62" i="6"/>
  <c r="AM62" i="6" s="1"/>
  <c r="X93" i="6"/>
  <c r="AA89" i="6"/>
  <c r="AA87" i="6"/>
  <c r="AA83" i="6"/>
  <c r="AA77" i="6"/>
  <c r="AM77" i="6" s="1"/>
  <c r="AA70" i="6"/>
  <c r="AM70" i="6" s="1"/>
  <c r="AG35" i="6"/>
  <c r="AF35" i="6"/>
  <c r="AE35" i="6"/>
  <c r="AD35" i="6"/>
  <c r="AC35" i="6"/>
  <c r="AB35" i="6"/>
  <c r="AG32" i="6"/>
  <c r="AF32" i="6"/>
  <c r="AE32" i="6"/>
  <c r="AD32" i="6"/>
  <c r="AC32" i="6"/>
  <c r="AB32" i="6"/>
  <c r="AA35" i="6"/>
  <c r="AA32" i="6"/>
  <c r="AG23" i="6"/>
  <c r="AF23" i="6"/>
  <c r="AE23" i="6"/>
  <c r="AD23" i="6"/>
  <c r="AC23" i="6"/>
  <c r="AB23" i="6"/>
  <c r="AA23" i="6"/>
  <c r="AG19" i="6"/>
  <c r="AF19" i="6"/>
  <c r="AE19" i="6"/>
  <c r="AD19" i="6"/>
  <c r="AC19" i="6"/>
  <c r="AB19" i="6"/>
  <c r="AA19" i="6"/>
  <c r="AG15" i="6"/>
  <c r="AF15" i="6"/>
  <c r="AE15" i="6"/>
  <c r="AD15" i="6"/>
  <c r="AC15" i="6"/>
  <c r="AB15" i="6"/>
  <c r="AA15" i="6"/>
  <c r="AG381" i="6"/>
  <c r="AF381" i="6"/>
  <c r="AE381" i="6"/>
  <c r="AD381" i="6"/>
  <c r="AC381" i="6"/>
  <c r="AB381" i="6"/>
  <c r="AA381" i="6"/>
  <c r="AE83" i="6"/>
  <c r="AG77" i="6"/>
  <c r="AS77" i="6" s="1"/>
  <c r="AF77" i="6"/>
  <c r="AR77" i="6" s="1"/>
  <c r="AE77" i="6"/>
  <c r="AQ77" i="6" s="1"/>
  <c r="AD77" i="6"/>
  <c r="AP77" i="6" s="1"/>
  <c r="AC77" i="6"/>
  <c r="AO77" i="6" s="1"/>
  <c r="AB77" i="6"/>
  <c r="AN77" i="6" s="1"/>
  <c r="AE74" i="6"/>
  <c r="AB42" i="6"/>
  <c r="AN42" i="6" s="1"/>
  <c r="AG52" i="6"/>
  <c r="AF52" i="6"/>
  <c r="AE52" i="6"/>
  <c r="AD52" i="6"/>
  <c r="AC52" i="6"/>
  <c r="AB52" i="6"/>
  <c r="AA52" i="6"/>
  <c r="AG48" i="6"/>
  <c r="AF48" i="6"/>
  <c r="AE48" i="6"/>
  <c r="AD48" i="6"/>
  <c r="AC48" i="6"/>
  <c r="AB48" i="6"/>
  <c r="AA48" i="6"/>
  <c r="N237" i="8"/>
  <c r="N236" i="8" s="1"/>
  <c r="N235" i="8" s="1"/>
  <c r="L237" i="8"/>
  <c r="K237" i="8"/>
  <c r="K236" i="8" s="1"/>
  <c r="K235" i="8" s="1"/>
  <c r="I237" i="8"/>
  <c r="H237" i="8"/>
  <c r="H236" i="8" s="1"/>
  <c r="H235" i="8" s="1"/>
  <c r="E237" i="8"/>
  <c r="E236" i="8" s="1"/>
  <c r="E235" i="8" s="1"/>
  <c r="D237" i="8"/>
  <c r="D236" i="8" s="1"/>
  <c r="D235" i="8" s="1"/>
  <c r="N230" i="8"/>
  <c r="L230" i="8"/>
  <c r="Q230" i="8" s="1"/>
  <c r="K230" i="8"/>
  <c r="I230" i="8"/>
  <c r="H230" i="8"/>
  <c r="F230" i="8"/>
  <c r="E230" i="8"/>
  <c r="D230" i="8"/>
  <c r="N227" i="8"/>
  <c r="L227" i="8"/>
  <c r="Q227" i="8" s="1"/>
  <c r="K227" i="8"/>
  <c r="I227" i="8"/>
  <c r="H227" i="8"/>
  <c r="F227" i="8"/>
  <c r="E227" i="8"/>
  <c r="D227" i="8"/>
  <c r="N224" i="8"/>
  <c r="L224" i="8"/>
  <c r="Q224" i="8" s="1"/>
  <c r="K224" i="8"/>
  <c r="I224" i="8"/>
  <c r="H224" i="8"/>
  <c r="F224" i="8"/>
  <c r="E224" i="8"/>
  <c r="D224" i="8"/>
  <c r="N221" i="8"/>
  <c r="L221" i="8"/>
  <c r="Q221" i="8" s="1"/>
  <c r="K221" i="8"/>
  <c r="I221" i="8"/>
  <c r="H221" i="8"/>
  <c r="F221" i="8"/>
  <c r="E221" i="8"/>
  <c r="D221" i="8"/>
  <c r="N218" i="8"/>
  <c r="L218" i="8"/>
  <c r="Q218" i="8" s="1"/>
  <c r="K218" i="8"/>
  <c r="I218" i="8"/>
  <c r="H218" i="8"/>
  <c r="F218" i="8"/>
  <c r="E218" i="8"/>
  <c r="D218" i="8"/>
  <c r="N214" i="8"/>
  <c r="N213" i="8" s="1"/>
  <c r="L214" i="8"/>
  <c r="L213" i="8" s="1"/>
  <c r="Q213" i="8" s="1"/>
  <c r="K214" i="8"/>
  <c r="K213" i="8" s="1"/>
  <c r="I214" i="8"/>
  <c r="H214" i="8"/>
  <c r="H213" i="8" s="1"/>
  <c r="F214" i="8"/>
  <c r="F213" i="8" s="1"/>
  <c r="E214" i="8"/>
  <c r="E213" i="8" s="1"/>
  <c r="D214" i="8"/>
  <c r="D213" i="8" s="1"/>
  <c r="N207" i="8"/>
  <c r="N206" i="8" s="1"/>
  <c r="L207" i="8"/>
  <c r="L206" i="8" s="1"/>
  <c r="Q206" i="8" s="1"/>
  <c r="K207" i="8"/>
  <c r="K206" i="8" s="1"/>
  <c r="I207" i="8"/>
  <c r="I206" i="8" s="1"/>
  <c r="H207" i="8"/>
  <c r="H206" i="8" s="1"/>
  <c r="F207" i="8"/>
  <c r="F206" i="8" s="1"/>
  <c r="E207" i="8"/>
  <c r="E206" i="8" s="1"/>
  <c r="D207" i="8"/>
  <c r="D206" i="8" s="1"/>
  <c r="N204" i="8"/>
  <c r="L204" i="8"/>
  <c r="Q204" i="8" s="1"/>
  <c r="K204" i="8"/>
  <c r="I204" i="8"/>
  <c r="H204" i="8"/>
  <c r="F204" i="8"/>
  <c r="E204" i="8"/>
  <c r="D204" i="8"/>
  <c r="N200" i="8"/>
  <c r="L200" i="8"/>
  <c r="Q200" i="8" s="1"/>
  <c r="K200" i="8"/>
  <c r="I200" i="8"/>
  <c r="H200" i="8"/>
  <c r="F200" i="8"/>
  <c r="E200" i="8"/>
  <c r="D200" i="8"/>
  <c r="N195" i="8"/>
  <c r="N194" i="8" s="1"/>
  <c r="L195" i="8"/>
  <c r="K195" i="8"/>
  <c r="K194" i="8" s="1"/>
  <c r="I195" i="8"/>
  <c r="I194" i="8" s="1"/>
  <c r="H195" i="8"/>
  <c r="H194" i="8" s="1"/>
  <c r="F195" i="8"/>
  <c r="F194" i="8" s="1"/>
  <c r="E195" i="8"/>
  <c r="E194" i="8" s="1"/>
  <c r="D195" i="8"/>
  <c r="D194" i="8" s="1"/>
  <c r="N192" i="8"/>
  <c r="L192" i="8"/>
  <c r="Q192" i="8" s="1"/>
  <c r="K192" i="8"/>
  <c r="I192" i="8"/>
  <c r="H192" i="8"/>
  <c r="F192" i="8"/>
  <c r="E192" i="8"/>
  <c r="D192" i="8"/>
  <c r="N187" i="8"/>
  <c r="L187" i="8"/>
  <c r="Q187" i="8" s="1"/>
  <c r="K187" i="8"/>
  <c r="I187" i="8"/>
  <c r="H187" i="8"/>
  <c r="F187" i="8"/>
  <c r="E187" i="8"/>
  <c r="D187" i="8"/>
  <c r="N185" i="8"/>
  <c r="L185" i="8"/>
  <c r="Q185" i="8" s="1"/>
  <c r="K185" i="8"/>
  <c r="I185" i="8"/>
  <c r="H185" i="8"/>
  <c r="F185" i="8"/>
  <c r="E185" i="8"/>
  <c r="D185" i="8"/>
  <c r="N181" i="8"/>
  <c r="L181" i="8"/>
  <c r="Q181" i="8" s="1"/>
  <c r="K181" i="8"/>
  <c r="I181" i="8"/>
  <c r="H181" i="8"/>
  <c r="F181" i="8"/>
  <c r="E181" i="8"/>
  <c r="D181" i="8"/>
  <c r="N179" i="8"/>
  <c r="L179" i="8"/>
  <c r="Q179" i="8" s="1"/>
  <c r="K179" i="8"/>
  <c r="I179" i="8"/>
  <c r="H179" i="8"/>
  <c r="F179" i="8"/>
  <c r="E179" i="8"/>
  <c r="D179" i="8"/>
  <c r="N177" i="8"/>
  <c r="L177" i="8"/>
  <c r="Q177" i="8" s="1"/>
  <c r="K177" i="8"/>
  <c r="I177" i="8"/>
  <c r="H177" i="8"/>
  <c r="F177" i="8"/>
  <c r="E177" i="8"/>
  <c r="D177" i="8"/>
  <c r="N169" i="8"/>
  <c r="L169" i="8"/>
  <c r="K169" i="8"/>
  <c r="K168" i="8" s="1"/>
  <c r="I169" i="8"/>
  <c r="I168" i="8" s="1"/>
  <c r="H169" i="8"/>
  <c r="H168" i="8" s="1"/>
  <c r="F169" i="8"/>
  <c r="F168" i="8" s="1"/>
  <c r="E169" i="8"/>
  <c r="E168" i="8" s="1"/>
  <c r="D169" i="8"/>
  <c r="D168" i="8" s="1"/>
  <c r="N165" i="8"/>
  <c r="L165" i="8"/>
  <c r="Q165" i="8" s="1"/>
  <c r="K165" i="8"/>
  <c r="I165" i="8"/>
  <c r="H165" i="8"/>
  <c r="F165" i="8"/>
  <c r="E165" i="8"/>
  <c r="D165" i="8"/>
  <c r="N163" i="8"/>
  <c r="L163" i="8"/>
  <c r="Q163" i="8" s="1"/>
  <c r="K163" i="8"/>
  <c r="I163" i="8"/>
  <c r="H163" i="8"/>
  <c r="F163" i="8"/>
  <c r="E163" i="8"/>
  <c r="D163" i="8"/>
  <c r="N159" i="8"/>
  <c r="L159" i="8"/>
  <c r="Q159" i="8" s="1"/>
  <c r="K159" i="8"/>
  <c r="I159" i="8"/>
  <c r="H159" i="8"/>
  <c r="F159" i="8"/>
  <c r="E159" i="8"/>
  <c r="D159" i="8"/>
  <c r="N156" i="8"/>
  <c r="L156" i="8"/>
  <c r="Q156" i="8" s="1"/>
  <c r="K156" i="8"/>
  <c r="I156" i="8"/>
  <c r="H156" i="8"/>
  <c r="F156" i="8"/>
  <c r="E156" i="8"/>
  <c r="D156" i="8"/>
  <c r="N146" i="8"/>
  <c r="L146" i="8"/>
  <c r="Q146" i="8" s="1"/>
  <c r="K146" i="8"/>
  <c r="I146" i="8"/>
  <c r="H146" i="8"/>
  <c r="F146" i="8"/>
  <c r="E146" i="8"/>
  <c r="D146" i="8"/>
  <c r="N138" i="8"/>
  <c r="L138" i="8"/>
  <c r="Q138" i="8" s="1"/>
  <c r="K138" i="8"/>
  <c r="I138" i="8"/>
  <c r="H138" i="8"/>
  <c r="F138" i="8"/>
  <c r="E138" i="8"/>
  <c r="D138" i="8"/>
  <c r="N135" i="8"/>
  <c r="L135" i="8"/>
  <c r="Q135" i="8" s="1"/>
  <c r="K135" i="8"/>
  <c r="I135" i="8"/>
  <c r="H135" i="8"/>
  <c r="F135" i="8"/>
  <c r="E135" i="8"/>
  <c r="D135" i="8"/>
  <c r="N131" i="8"/>
  <c r="L131" i="8"/>
  <c r="Q131" i="8" s="1"/>
  <c r="K131" i="8"/>
  <c r="I131" i="8"/>
  <c r="H131" i="8"/>
  <c r="F131" i="8"/>
  <c r="E131" i="8"/>
  <c r="D131" i="8"/>
  <c r="N127" i="8"/>
  <c r="L127" i="8"/>
  <c r="L126" i="8" s="1"/>
  <c r="Q126" i="8" s="1"/>
  <c r="K127" i="8"/>
  <c r="K126" i="8" s="1"/>
  <c r="I127" i="8"/>
  <c r="I126" i="8" s="1"/>
  <c r="H127" i="8"/>
  <c r="H126" i="8" s="1"/>
  <c r="F127" i="8"/>
  <c r="F126" i="8" s="1"/>
  <c r="E127" i="8"/>
  <c r="E126" i="8" s="1"/>
  <c r="D127" i="8"/>
  <c r="D126" i="8" s="1"/>
  <c r="N117" i="8"/>
  <c r="N111" i="8" s="1"/>
  <c r="L117" i="8"/>
  <c r="K117" i="8"/>
  <c r="K111" i="8" s="1"/>
  <c r="K110" i="8" s="1"/>
  <c r="I117" i="8"/>
  <c r="H117" i="8"/>
  <c r="H111" i="8" s="1"/>
  <c r="H110" i="8" s="1"/>
  <c r="F117" i="8"/>
  <c r="F111" i="8" s="1"/>
  <c r="F110" i="8" s="1"/>
  <c r="E117" i="8"/>
  <c r="E111" i="8" s="1"/>
  <c r="E110" i="8" s="1"/>
  <c r="D117" i="8"/>
  <c r="D111" i="8" s="1"/>
  <c r="D110" i="8" s="1"/>
  <c r="N106" i="8"/>
  <c r="L106" i="8"/>
  <c r="Q106" i="8" s="1"/>
  <c r="K106" i="8"/>
  <c r="I106" i="8"/>
  <c r="H106" i="8"/>
  <c r="F106" i="8"/>
  <c r="E106" i="8"/>
  <c r="D106" i="8"/>
  <c r="N102" i="8"/>
  <c r="N101" i="8" s="1"/>
  <c r="N100" i="8" s="1"/>
  <c r="L102" i="8"/>
  <c r="L101" i="8" s="1"/>
  <c r="K102" i="8"/>
  <c r="K101" i="8" s="1"/>
  <c r="K100" i="8" s="1"/>
  <c r="I102" i="8"/>
  <c r="H102" i="8"/>
  <c r="H101" i="8" s="1"/>
  <c r="H100" i="8" s="1"/>
  <c r="F102" i="8"/>
  <c r="F101" i="8" s="1"/>
  <c r="F100" i="8" s="1"/>
  <c r="E102" i="8"/>
  <c r="E101" i="8" s="1"/>
  <c r="E100" i="8" s="1"/>
  <c r="D102" i="8"/>
  <c r="D101" i="8" s="1"/>
  <c r="D100" i="8" s="1"/>
  <c r="N98" i="8"/>
  <c r="L98" i="8"/>
  <c r="Q98" i="8" s="1"/>
  <c r="K98" i="8"/>
  <c r="K97" i="8" s="1"/>
  <c r="K96" i="8" s="1"/>
  <c r="I98" i="8"/>
  <c r="H98" i="8"/>
  <c r="H97" i="8" s="1"/>
  <c r="H96" i="8" s="1"/>
  <c r="F98" i="8"/>
  <c r="F97" i="8" s="1"/>
  <c r="F96" i="8" s="1"/>
  <c r="E98" i="8"/>
  <c r="E97" i="8" s="1"/>
  <c r="E96" i="8" s="1"/>
  <c r="D98" i="8"/>
  <c r="D97" i="8" s="1"/>
  <c r="D96" i="8" s="1"/>
  <c r="N93" i="8"/>
  <c r="L93" i="8"/>
  <c r="Q93" i="8" s="1"/>
  <c r="K93" i="8"/>
  <c r="I93" i="8"/>
  <c r="H93" i="8"/>
  <c r="F93" i="8"/>
  <c r="E93" i="8"/>
  <c r="D93" i="8"/>
  <c r="N91" i="8"/>
  <c r="L91" i="8"/>
  <c r="Q91" i="8" s="1"/>
  <c r="K91" i="8"/>
  <c r="I91" i="8"/>
  <c r="H91" i="8"/>
  <c r="F91" i="8"/>
  <c r="E91" i="8"/>
  <c r="D91" i="8"/>
  <c r="N87" i="8"/>
  <c r="L87" i="8"/>
  <c r="Q87" i="8" s="1"/>
  <c r="K87" i="8"/>
  <c r="I87" i="8"/>
  <c r="H87" i="8"/>
  <c r="F87" i="8"/>
  <c r="E87" i="8"/>
  <c r="D87" i="8"/>
  <c r="N81" i="8"/>
  <c r="L81" i="8"/>
  <c r="Q81" i="8" s="1"/>
  <c r="K81" i="8"/>
  <c r="I81" i="8"/>
  <c r="H81" i="8"/>
  <c r="F81" i="8"/>
  <c r="E81" i="8"/>
  <c r="D81" i="8"/>
  <c r="N78" i="8"/>
  <c r="L78" i="8"/>
  <c r="Q78" i="8" s="1"/>
  <c r="K78" i="8"/>
  <c r="I78" i="8"/>
  <c r="H78" i="8"/>
  <c r="F78" i="8"/>
  <c r="E78" i="8"/>
  <c r="D78" i="8"/>
  <c r="N74" i="8"/>
  <c r="L74" i="8"/>
  <c r="Q74" i="8" s="1"/>
  <c r="K74" i="8"/>
  <c r="I74" i="8"/>
  <c r="H74" i="8"/>
  <c r="F74" i="8"/>
  <c r="E74" i="8"/>
  <c r="D74" i="8"/>
  <c r="N72" i="8"/>
  <c r="L72" i="8"/>
  <c r="Q72" i="8" s="1"/>
  <c r="K72" i="8"/>
  <c r="I72" i="8"/>
  <c r="H72" i="8"/>
  <c r="F72" i="8"/>
  <c r="E72" i="8"/>
  <c r="D72" i="8"/>
  <c r="N67" i="8"/>
  <c r="N66" i="8" s="1"/>
  <c r="L67" i="8"/>
  <c r="K67" i="8"/>
  <c r="K66" i="8" s="1"/>
  <c r="I67" i="8"/>
  <c r="I66" i="8" s="1"/>
  <c r="H67" i="8"/>
  <c r="H66" i="8" s="1"/>
  <c r="F67" i="8"/>
  <c r="F66" i="8" s="1"/>
  <c r="E67" i="8"/>
  <c r="E66" i="8" s="1"/>
  <c r="D67" i="8"/>
  <c r="D66" i="8" s="1"/>
  <c r="N56" i="8"/>
  <c r="L56" i="8"/>
  <c r="Q56" i="8" s="1"/>
  <c r="K56" i="8"/>
  <c r="I56" i="8"/>
  <c r="H56" i="8"/>
  <c r="F56" i="8"/>
  <c r="E56" i="8"/>
  <c r="D56" i="8"/>
  <c r="N52" i="8"/>
  <c r="N45" i="8" s="1"/>
  <c r="N44" i="8" s="1"/>
  <c r="L52" i="8"/>
  <c r="K52" i="8"/>
  <c r="K45" i="8" s="1"/>
  <c r="K44" i="8" s="1"/>
  <c r="I52" i="8"/>
  <c r="H52" i="8"/>
  <c r="H45" i="8" s="1"/>
  <c r="H44" i="8" s="1"/>
  <c r="F52" i="8"/>
  <c r="F45" i="8" s="1"/>
  <c r="F44" i="8" s="1"/>
  <c r="E52" i="8"/>
  <c r="E45" i="8" s="1"/>
  <c r="E44" i="8" s="1"/>
  <c r="D52" i="8"/>
  <c r="D45" i="8" s="1"/>
  <c r="D44" i="8" s="1"/>
  <c r="N39" i="8"/>
  <c r="L39" i="8"/>
  <c r="Q39" i="8" s="1"/>
  <c r="K39" i="8"/>
  <c r="I39" i="8"/>
  <c r="H39" i="8"/>
  <c r="F39" i="8"/>
  <c r="E39" i="8"/>
  <c r="D39" i="8"/>
  <c r="N36" i="8"/>
  <c r="L36" i="8"/>
  <c r="Q36" i="8" s="1"/>
  <c r="K36" i="8"/>
  <c r="I36" i="8"/>
  <c r="H36" i="8"/>
  <c r="F36" i="8"/>
  <c r="E36" i="8"/>
  <c r="D36" i="8"/>
  <c r="N27" i="8"/>
  <c r="L27" i="8"/>
  <c r="Q27" i="8" s="1"/>
  <c r="K27" i="8"/>
  <c r="I27" i="8"/>
  <c r="H27" i="8"/>
  <c r="F27" i="8"/>
  <c r="E27" i="8"/>
  <c r="D27" i="8"/>
  <c r="N23" i="8"/>
  <c r="L23" i="8"/>
  <c r="Q23" i="8" s="1"/>
  <c r="K23" i="8"/>
  <c r="I23" i="8"/>
  <c r="H23" i="8"/>
  <c r="F23" i="8"/>
  <c r="E23" i="8"/>
  <c r="D23" i="8"/>
  <c r="N19" i="8"/>
  <c r="L19" i="8"/>
  <c r="K19" i="8"/>
  <c r="K11" i="8" s="1"/>
  <c r="I19" i="8"/>
  <c r="I11" i="8" s="1"/>
  <c r="H19" i="8"/>
  <c r="H11" i="8" s="1"/>
  <c r="F19" i="8"/>
  <c r="F11" i="8" s="1"/>
  <c r="E19" i="8"/>
  <c r="E11" i="8" s="1"/>
  <c r="D19" i="8"/>
  <c r="D11" i="8" s="1"/>
  <c r="AE41" i="6" l="1"/>
  <c r="AG7" i="6"/>
  <c r="AK87" i="6"/>
  <c r="AF41" i="6"/>
  <c r="AG331" i="6"/>
  <c r="AG41" i="6"/>
  <c r="AK42" i="6"/>
  <c r="AW42" i="6" s="1"/>
  <c r="AA7" i="6"/>
  <c r="AA6" i="6" s="1"/>
  <c r="AK74" i="6"/>
  <c r="AA331" i="6"/>
  <c r="AB7" i="6"/>
  <c r="AB331" i="6"/>
  <c r="AC7" i="6"/>
  <c r="AC331" i="6"/>
  <c r="AD7" i="6"/>
  <c r="AK70" i="6"/>
  <c r="AW70" i="6" s="1"/>
  <c r="AC41" i="6"/>
  <c r="AD331" i="6"/>
  <c r="AE7" i="6"/>
  <c r="AD41" i="6"/>
  <c r="AE331" i="6"/>
  <c r="AF7" i="6"/>
  <c r="AK83" i="6"/>
  <c r="AK23" i="6"/>
  <c r="AK35" i="6"/>
  <c r="AK19" i="6"/>
  <c r="AK77" i="6"/>
  <c r="AW77" i="6" s="1"/>
  <c r="AK52" i="6"/>
  <c r="AK15" i="6"/>
  <c r="AK62" i="6"/>
  <c r="AW62" i="6" s="1"/>
  <c r="AK48" i="6"/>
  <c r="AK381" i="6"/>
  <c r="AK32" i="6"/>
  <c r="K9" i="12"/>
  <c r="K8" i="12" s="1"/>
  <c r="F9" i="12"/>
  <c r="F8" i="12" s="1"/>
  <c r="K153" i="8"/>
  <c r="K148" i="8" s="1"/>
  <c r="K137" i="8" s="1"/>
  <c r="K184" i="8"/>
  <c r="AA41" i="6"/>
  <c r="I130" i="8"/>
  <c r="Q101" i="12"/>
  <c r="L426" i="12"/>
  <c r="I10" i="8"/>
  <c r="D9" i="12"/>
  <c r="D8" i="12" s="1"/>
  <c r="C9" i="12"/>
  <c r="C8" i="12" s="1"/>
  <c r="N35" i="8"/>
  <c r="N34" i="8" s="1"/>
  <c r="M101" i="12"/>
  <c r="I35" i="8"/>
  <c r="I34" i="8" s="1"/>
  <c r="D65" i="12"/>
  <c r="D64" i="12" s="1"/>
  <c r="F184" i="8"/>
  <c r="F176" i="8"/>
  <c r="K175" i="12"/>
  <c r="K162" i="12" s="1"/>
  <c r="D10" i="8"/>
  <c r="J428" i="12"/>
  <c r="F10" i="8"/>
  <c r="Q236" i="12"/>
  <c r="G11" i="12"/>
  <c r="P11" i="12" s="1"/>
  <c r="Q11" i="12"/>
  <c r="L110" i="12"/>
  <c r="Q110" i="12" s="1"/>
  <c r="AC31" i="6"/>
  <c r="M72" i="8"/>
  <c r="M74" i="8"/>
  <c r="M78" i="8"/>
  <c r="M81" i="8"/>
  <c r="M87" i="8"/>
  <c r="M91" i="8"/>
  <c r="P169" i="12"/>
  <c r="O56" i="8"/>
  <c r="M39" i="8"/>
  <c r="M218" i="8"/>
  <c r="M221" i="8"/>
  <c r="M224" i="8"/>
  <c r="M227" i="8"/>
  <c r="M230" i="8"/>
  <c r="L10" i="12"/>
  <c r="Q10" i="12" s="1"/>
  <c r="P19" i="12"/>
  <c r="O423" i="12"/>
  <c r="AE423" i="12" s="1"/>
  <c r="O224" i="8"/>
  <c r="O230" i="8"/>
  <c r="M168" i="12"/>
  <c r="M431" i="12" s="1"/>
  <c r="O138" i="8"/>
  <c r="O146" i="8"/>
  <c r="O156" i="8"/>
  <c r="O159" i="8"/>
  <c r="O165" i="8"/>
  <c r="I235" i="12"/>
  <c r="M235" i="12" s="1"/>
  <c r="G168" i="12"/>
  <c r="G431" i="12" s="1"/>
  <c r="E175" i="12"/>
  <c r="E162" i="12" s="1"/>
  <c r="C109" i="12"/>
  <c r="M236" i="12"/>
  <c r="M126" i="8"/>
  <c r="M177" i="8"/>
  <c r="M179" i="8"/>
  <c r="M181" i="8"/>
  <c r="L97" i="8"/>
  <c r="Q97" i="8" s="1"/>
  <c r="O200" i="8"/>
  <c r="O204" i="8"/>
  <c r="O206" i="8"/>
  <c r="O207" i="8"/>
  <c r="O36" i="8"/>
  <c r="M106" i="8"/>
  <c r="M200" i="8"/>
  <c r="M204" i="8"/>
  <c r="O181" i="8"/>
  <c r="O130" i="12"/>
  <c r="O221" i="8"/>
  <c r="O135" i="8"/>
  <c r="O163" i="8"/>
  <c r="O35" i="12"/>
  <c r="H130" i="8"/>
  <c r="O23" i="8"/>
  <c r="O27" i="8"/>
  <c r="M56" i="8"/>
  <c r="M131" i="8"/>
  <c r="M135" i="8"/>
  <c r="M138" i="8"/>
  <c r="M159" i="8"/>
  <c r="M163" i="8"/>
  <c r="M93" i="8"/>
  <c r="M185" i="8"/>
  <c r="M187" i="8"/>
  <c r="M192" i="8"/>
  <c r="P106" i="12"/>
  <c r="AG31" i="6"/>
  <c r="O72" i="8"/>
  <c r="O78" i="8"/>
  <c r="O93" i="8"/>
  <c r="P376" i="12"/>
  <c r="I175" i="12"/>
  <c r="M23" i="8"/>
  <c r="M27" i="8"/>
  <c r="L184" i="8"/>
  <c r="Q184" i="8" s="1"/>
  <c r="O187" i="8"/>
  <c r="O192" i="8"/>
  <c r="E65" i="12"/>
  <c r="E64" i="12" s="1"/>
  <c r="O66" i="8"/>
  <c r="O67" i="8"/>
  <c r="O74" i="8"/>
  <c r="O81" i="8"/>
  <c r="O87" i="8"/>
  <c r="O91" i="8"/>
  <c r="L194" i="8"/>
  <c r="Q194" i="8" s="1"/>
  <c r="Q195" i="8"/>
  <c r="M206" i="8"/>
  <c r="M169" i="8"/>
  <c r="M195" i="8"/>
  <c r="N126" i="8"/>
  <c r="O126" i="8" s="1"/>
  <c r="O127" i="8"/>
  <c r="O194" i="8"/>
  <c r="O195" i="8"/>
  <c r="Q214" i="8"/>
  <c r="M207" i="8"/>
  <c r="O117" i="8"/>
  <c r="O237" i="8"/>
  <c r="Q127" i="8"/>
  <c r="I97" i="8"/>
  <c r="M98" i="8"/>
  <c r="N130" i="8"/>
  <c r="O131" i="8"/>
  <c r="N11" i="8"/>
  <c r="O19" i="8"/>
  <c r="Q207" i="8"/>
  <c r="P187" i="12"/>
  <c r="I101" i="8"/>
  <c r="M102" i="8"/>
  <c r="I236" i="8"/>
  <c r="O236" i="8" s="1"/>
  <c r="M237" i="8"/>
  <c r="O39" i="8"/>
  <c r="I45" i="8"/>
  <c r="M52" i="8"/>
  <c r="L100" i="8"/>
  <c r="Q100" i="8" s="1"/>
  <c r="Q101" i="8"/>
  <c r="I111" i="8"/>
  <c r="M117" i="8"/>
  <c r="L168" i="8"/>
  <c r="Q168" i="8" s="1"/>
  <c r="Q169" i="8"/>
  <c r="L236" i="8"/>
  <c r="Q237" i="8"/>
  <c r="M19" i="8"/>
  <c r="M36" i="8"/>
  <c r="Q102" i="8"/>
  <c r="I213" i="8"/>
  <c r="M213" i="8" s="1"/>
  <c r="M214" i="8"/>
  <c r="N97" i="8"/>
  <c r="O98" i="8"/>
  <c r="O106" i="8"/>
  <c r="N168" i="8"/>
  <c r="O168" i="8" s="1"/>
  <c r="O169" i="8"/>
  <c r="O177" i="8"/>
  <c r="N176" i="8"/>
  <c r="O179" i="8"/>
  <c r="O218" i="8"/>
  <c r="O227" i="8"/>
  <c r="M127" i="8"/>
  <c r="O102" i="8"/>
  <c r="L11" i="8"/>
  <c r="Q11" i="8" s="1"/>
  <c r="Q19" i="8"/>
  <c r="H184" i="8"/>
  <c r="L45" i="8"/>
  <c r="Q52" i="8"/>
  <c r="L111" i="8"/>
  <c r="Q117" i="8"/>
  <c r="H153" i="8"/>
  <c r="H148" i="8" s="1"/>
  <c r="H137" i="8" s="1"/>
  <c r="N184" i="8"/>
  <c r="O185" i="8"/>
  <c r="O214" i="8"/>
  <c r="F35" i="8"/>
  <c r="F34" i="8" s="1"/>
  <c r="L66" i="8"/>
  <c r="Q66" i="8" s="1"/>
  <c r="Q67" i="8"/>
  <c r="N110" i="8"/>
  <c r="M146" i="8"/>
  <c r="M156" i="8"/>
  <c r="I153" i="8"/>
  <c r="M165" i="8"/>
  <c r="D184" i="8"/>
  <c r="M67" i="8"/>
  <c r="O52" i="8"/>
  <c r="P239" i="12"/>
  <c r="H109" i="12"/>
  <c r="K109" i="12"/>
  <c r="O153" i="12"/>
  <c r="F109" i="12"/>
  <c r="P67" i="12"/>
  <c r="Q97" i="12"/>
  <c r="E109" i="12"/>
  <c r="P185" i="12"/>
  <c r="J432" i="12"/>
  <c r="M96" i="12"/>
  <c r="M111" i="12"/>
  <c r="P87" i="12"/>
  <c r="M97" i="12"/>
  <c r="J56" i="12"/>
  <c r="F175" i="12"/>
  <c r="F162" i="12" s="1"/>
  <c r="F249" i="12"/>
  <c r="O97" i="12"/>
  <c r="D109" i="12"/>
  <c r="M423" i="12"/>
  <c r="E9" i="12"/>
  <c r="E8" i="12" s="1"/>
  <c r="D175" i="12"/>
  <c r="D162" i="12" s="1"/>
  <c r="O427" i="12"/>
  <c r="AE427" i="12" s="1"/>
  <c r="M35" i="12"/>
  <c r="J176" i="12"/>
  <c r="O96" i="12"/>
  <c r="G423" i="12"/>
  <c r="P423" i="12" s="1"/>
  <c r="AC423" i="12" s="1"/>
  <c r="F65" i="12"/>
  <c r="F64" i="12" s="1"/>
  <c r="AA424" i="12"/>
  <c r="AC424" i="12" s="1"/>
  <c r="J52" i="12"/>
  <c r="P204" i="12"/>
  <c r="G45" i="12"/>
  <c r="G44" i="12" s="1"/>
  <c r="G43" i="12" s="1"/>
  <c r="G417" i="12" s="1"/>
  <c r="P230" i="12"/>
  <c r="G434" i="12"/>
  <c r="P434" i="12" s="1"/>
  <c r="AC434" i="12" s="1"/>
  <c r="AA432" i="12"/>
  <c r="AC432" i="12" s="1"/>
  <c r="K5" i="14"/>
  <c r="J156" i="12"/>
  <c r="P146" i="12"/>
  <c r="P166" i="12"/>
  <c r="G165" i="12"/>
  <c r="G433" i="12" s="1"/>
  <c r="P433" i="12" s="1"/>
  <c r="P159" i="12"/>
  <c r="H422" i="12"/>
  <c r="O168" i="12"/>
  <c r="N431" i="12"/>
  <c r="O431" i="12" s="1"/>
  <c r="AE431" i="12" s="1"/>
  <c r="I421" i="12"/>
  <c r="H9" i="12"/>
  <c r="P195" i="12"/>
  <c r="I34" i="12"/>
  <c r="M34" i="12" s="1"/>
  <c r="K421" i="12"/>
  <c r="O111" i="12"/>
  <c r="G194" i="12"/>
  <c r="G427" i="12" s="1"/>
  <c r="P427" i="12" s="1"/>
  <c r="AC427" i="12" s="1"/>
  <c r="M206" i="12"/>
  <c r="J312" i="12"/>
  <c r="N95" i="12"/>
  <c r="O95" i="12" s="1"/>
  <c r="M213" i="12"/>
  <c r="M426" i="12" s="1"/>
  <c r="I426" i="12"/>
  <c r="P218" i="12"/>
  <c r="L191" i="12"/>
  <c r="Q191" i="12" s="1"/>
  <c r="H175" i="12"/>
  <c r="H162" i="12" s="1"/>
  <c r="Q168" i="12"/>
  <c r="Q431" i="12" s="1"/>
  <c r="L431" i="12"/>
  <c r="J424" i="12"/>
  <c r="J281" i="12"/>
  <c r="G126" i="12"/>
  <c r="J126" i="12" s="1"/>
  <c r="P127" i="12"/>
  <c r="S8" i="12"/>
  <c r="H65" i="12"/>
  <c r="H64" i="12" s="1"/>
  <c r="H421" i="12"/>
  <c r="C175" i="12"/>
  <c r="C162" i="12" s="1"/>
  <c r="O213" i="12"/>
  <c r="N426" i="12"/>
  <c r="O184" i="12"/>
  <c r="N430" i="12"/>
  <c r="O430" i="12" s="1"/>
  <c r="AE430" i="12" s="1"/>
  <c r="Q184" i="12"/>
  <c r="Q430" i="12" s="1"/>
  <c r="L430" i="12"/>
  <c r="K422" i="12"/>
  <c r="G66" i="12"/>
  <c r="J66" i="12" s="1"/>
  <c r="K65" i="12"/>
  <c r="K64" i="12" s="1"/>
  <c r="P81" i="12"/>
  <c r="J230" i="12"/>
  <c r="J200" i="12"/>
  <c r="G184" i="12"/>
  <c r="G430" i="12" s="1"/>
  <c r="P135" i="12"/>
  <c r="I148" i="12"/>
  <c r="O148" i="12" s="1"/>
  <c r="M153" i="12"/>
  <c r="P131" i="12"/>
  <c r="M176" i="12"/>
  <c r="O220" i="12"/>
  <c r="L175" i="12"/>
  <c r="Q175" i="12" s="1"/>
  <c r="G153" i="12"/>
  <c r="J153" i="12" s="1"/>
  <c r="O110" i="12"/>
  <c r="O126" i="12"/>
  <c r="D249" i="12"/>
  <c r="C249" i="12"/>
  <c r="J315" i="12"/>
  <c r="P315" i="12"/>
  <c r="E249" i="12"/>
  <c r="M220" i="12"/>
  <c r="J138" i="12"/>
  <c r="P138" i="12"/>
  <c r="G130" i="12"/>
  <c r="P130" i="12" s="1"/>
  <c r="M130" i="12"/>
  <c r="C65" i="12"/>
  <c r="C64" i="12" s="1"/>
  <c r="I65" i="12"/>
  <c r="I64" i="12" s="1"/>
  <c r="P74" i="12"/>
  <c r="Q35" i="12"/>
  <c r="Q34" i="12"/>
  <c r="P111" i="12"/>
  <c r="G110" i="12"/>
  <c r="J111" i="12"/>
  <c r="O10" i="12"/>
  <c r="N9" i="12"/>
  <c r="N416" i="12" s="1"/>
  <c r="J214" i="12"/>
  <c r="G213" i="12"/>
  <c r="G426" i="12" s="1"/>
  <c r="P214" i="12"/>
  <c r="P251" i="12"/>
  <c r="J251" i="12"/>
  <c r="J347" i="12"/>
  <c r="P347" i="12"/>
  <c r="P207" i="12"/>
  <c r="G206" i="12"/>
  <c r="J207" i="12"/>
  <c r="N175" i="12"/>
  <c r="O176" i="12"/>
  <c r="J98" i="12"/>
  <c r="P98" i="12"/>
  <c r="G97" i="12"/>
  <c r="J72" i="12"/>
  <c r="G71" i="12"/>
  <c r="P72" i="12"/>
  <c r="P23" i="12"/>
  <c r="J23" i="12"/>
  <c r="J224" i="12"/>
  <c r="J423" i="12" s="1"/>
  <c r="P224" i="12"/>
  <c r="P238" i="12"/>
  <c r="G237" i="12"/>
  <c r="J238" i="12"/>
  <c r="Q44" i="12"/>
  <c r="L43" i="12"/>
  <c r="L417" i="12" s="1"/>
  <c r="L418" i="12" s="1"/>
  <c r="P245" i="12"/>
  <c r="J245" i="12"/>
  <c r="O71" i="12"/>
  <c r="N70" i="12"/>
  <c r="L95" i="12"/>
  <c r="Q95" i="12" s="1"/>
  <c r="Q66" i="12"/>
  <c r="G254" i="12"/>
  <c r="J255" i="12"/>
  <c r="P255" i="12"/>
  <c r="O194" i="12"/>
  <c r="N191" i="12"/>
  <c r="G242" i="12"/>
  <c r="P243" i="12"/>
  <c r="J243" i="12"/>
  <c r="J259" i="12"/>
  <c r="G258" i="12"/>
  <c r="P259" i="12"/>
  <c r="J320" i="12"/>
  <c r="G317" i="12"/>
  <c r="P320" i="12"/>
  <c r="P298" i="12"/>
  <c r="J298" i="12"/>
  <c r="Q71" i="12"/>
  <c r="L70" i="12"/>
  <c r="N44" i="12"/>
  <c r="O45" i="12"/>
  <c r="J275" i="12"/>
  <c r="G274" i="12"/>
  <c r="P275" i="12"/>
  <c r="P303" i="12"/>
  <c r="J303" i="12"/>
  <c r="J335" i="12"/>
  <c r="P335" i="12"/>
  <c r="G334" i="12"/>
  <c r="M194" i="12"/>
  <c r="M427" i="12" s="1"/>
  <c r="I191" i="12"/>
  <c r="P308" i="12"/>
  <c r="J308" i="12"/>
  <c r="P192" i="12"/>
  <c r="J192" i="12"/>
  <c r="P294" i="12"/>
  <c r="J294" i="12"/>
  <c r="T11" i="12"/>
  <c r="T10" i="12" s="1"/>
  <c r="T9" i="12" s="1"/>
  <c r="M100" i="12"/>
  <c r="J39" i="12"/>
  <c r="P39" i="12"/>
  <c r="J221" i="12"/>
  <c r="G220" i="12"/>
  <c r="P221" i="12"/>
  <c r="N137" i="12"/>
  <c r="N422" i="12" s="1"/>
  <c r="M66" i="12"/>
  <c r="M71" i="12"/>
  <c r="T45" i="12"/>
  <c r="T44" i="12" s="1"/>
  <c r="T43" i="12" s="1"/>
  <c r="Q153" i="12"/>
  <c r="L148" i="12"/>
  <c r="J36" i="12"/>
  <c r="P36" i="12"/>
  <c r="G35" i="12"/>
  <c r="J352" i="12"/>
  <c r="P352" i="12"/>
  <c r="G322" i="12"/>
  <c r="J323" i="12"/>
  <c r="P323" i="12"/>
  <c r="J117" i="12"/>
  <c r="P117" i="12"/>
  <c r="J78" i="12"/>
  <c r="P78" i="12"/>
  <c r="P91" i="12"/>
  <c r="J91" i="12"/>
  <c r="M45" i="12"/>
  <c r="I44" i="12"/>
  <c r="P227" i="12"/>
  <c r="J227" i="12"/>
  <c r="J277" i="12"/>
  <c r="P277" i="12"/>
  <c r="P364" i="12"/>
  <c r="J364" i="12"/>
  <c r="P176" i="12"/>
  <c r="J102" i="12"/>
  <c r="P102" i="12"/>
  <c r="G101" i="12"/>
  <c r="G280" i="12"/>
  <c r="M184" i="12"/>
  <c r="M430" i="12" s="1"/>
  <c r="J27" i="12"/>
  <c r="P27" i="12"/>
  <c r="H43" i="8"/>
  <c r="E35" i="8"/>
  <c r="E34" i="8" s="1"/>
  <c r="N153" i="8"/>
  <c r="H10" i="8"/>
  <c r="F153" i="8"/>
  <c r="F148" i="8" s="1"/>
  <c r="F137" i="8" s="1"/>
  <c r="E176" i="8"/>
  <c r="N220" i="8"/>
  <c r="H71" i="8"/>
  <c r="H70" i="8" s="1"/>
  <c r="K130" i="8"/>
  <c r="I176" i="8"/>
  <c r="K220" i="8"/>
  <c r="F130" i="8"/>
  <c r="H176" i="8"/>
  <c r="N191" i="8"/>
  <c r="E220" i="8"/>
  <c r="F220" i="8"/>
  <c r="AF31" i="6"/>
  <c r="AB41" i="6"/>
  <c r="AE31" i="6"/>
  <c r="AB31" i="6"/>
  <c r="AA67" i="6"/>
  <c r="AD31" i="6"/>
  <c r="H220" i="8"/>
  <c r="I220" i="8"/>
  <c r="D220" i="8"/>
  <c r="L220" i="8"/>
  <c r="Q220" i="8" s="1"/>
  <c r="D191" i="8"/>
  <c r="F191" i="8"/>
  <c r="E191" i="8"/>
  <c r="H191" i="8"/>
  <c r="K191" i="8"/>
  <c r="I184" i="8"/>
  <c r="E184" i="8"/>
  <c r="K176" i="8"/>
  <c r="D176" i="8"/>
  <c r="L176" i="8"/>
  <c r="D153" i="8"/>
  <c r="D148" i="8" s="1"/>
  <c r="D137" i="8" s="1"/>
  <c r="L153" i="8"/>
  <c r="E153" i="8"/>
  <c r="E148" i="8" s="1"/>
  <c r="E137" i="8" s="1"/>
  <c r="D130" i="8"/>
  <c r="L130" i="8"/>
  <c r="Q130" i="8" s="1"/>
  <c r="E130" i="8"/>
  <c r="F95" i="8"/>
  <c r="E95" i="8"/>
  <c r="H95" i="8"/>
  <c r="D95" i="8"/>
  <c r="K95" i="8"/>
  <c r="F71" i="8"/>
  <c r="F70" i="8" s="1"/>
  <c r="E71" i="8"/>
  <c r="E70" i="8" s="1"/>
  <c r="I71" i="8"/>
  <c r="D71" i="8"/>
  <c r="D70" i="8" s="1"/>
  <c r="L71" i="8"/>
  <c r="K71" i="8"/>
  <c r="K70" i="8" s="1"/>
  <c r="N71" i="8"/>
  <c r="K43" i="8"/>
  <c r="D43" i="8"/>
  <c r="E43" i="8"/>
  <c r="F43" i="8"/>
  <c r="N43" i="8"/>
  <c r="K35" i="8"/>
  <c r="K34" i="8" s="1"/>
  <c r="D35" i="8"/>
  <c r="D34" i="8" s="1"/>
  <c r="L35" i="8"/>
  <c r="H35" i="8"/>
  <c r="H34" i="8" s="1"/>
  <c r="K10" i="8"/>
  <c r="E10" i="8"/>
  <c r="AG89" i="6"/>
  <c r="AF89" i="6"/>
  <c r="AD89" i="6"/>
  <c r="AC89" i="6"/>
  <c r="AB89" i="6"/>
  <c r="AE89" i="6"/>
  <c r="AG92" i="6"/>
  <c r="AF92" i="6"/>
  <c r="AE92" i="6"/>
  <c r="AD92" i="6"/>
  <c r="AC92" i="6"/>
  <c r="AB92" i="6"/>
  <c r="AA95" i="6"/>
  <c r="AM95" i="6" s="1"/>
  <c r="AG108" i="6"/>
  <c r="AF108" i="6"/>
  <c r="AE108" i="6"/>
  <c r="AD108" i="6"/>
  <c r="AC108" i="6"/>
  <c r="AB108" i="6"/>
  <c r="AA108" i="6"/>
  <c r="AD126" i="6"/>
  <c r="AP126" i="6" s="1"/>
  <c r="AD125" i="6"/>
  <c r="AP125" i="6" s="1"/>
  <c r="AG128" i="6"/>
  <c r="AF128" i="6"/>
  <c r="AD128" i="6"/>
  <c r="AC128" i="6"/>
  <c r="AB128" i="6"/>
  <c r="AA128" i="6"/>
  <c r="AE128" i="6"/>
  <c r="AF135" i="6"/>
  <c r="AR135" i="6" s="1"/>
  <c r="AA150" i="6"/>
  <c r="AM150" i="6" s="1"/>
  <c r="AF153" i="6"/>
  <c r="AR153" i="6" s="1"/>
  <c r="AG163" i="6"/>
  <c r="AS163" i="6" s="1"/>
  <c r="AF163" i="6"/>
  <c r="AR163" i="6" s="1"/>
  <c r="AE163" i="6"/>
  <c r="AQ163" i="6" s="1"/>
  <c r="AD163" i="6"/>
  <c r="AP163" i="6" s="1"/>
  <c r="AC163" i="6"/>
  <c r="AO163" i="6" s="1"/>
  <c r="AB163" i="6"/>
  <c r="AN163" i="6" s="1"/>
  <c r="AA163" i="6"/>
  <c r="AM163" i="6" s="1"/>
  <c r="AD161" i="6"/>
  <c r="AP161" i="6" s="1"/>
  <c r="AG166" i="6"/>
  <c r="AE166" i="6"/>
  <c r="AD166" i="6"/>
  <c r="AC166" i="6"/>
  <c r="AB166" i="6"/>
  <c r="AA166" i="6"/>
  <c r="AF166" i="6"/>
  <c r="AG178" i="6"/>
  <c r="AF178" i="6"/>
  <c r="AD178" i="6"/>
  <c r="AC178" i="6"/>
  <c r="AB178" i="6"/>
  <c r="AA178" i="6"/>
  <c r="AE178" i="6"/>
  <c r="AE180" i="6"/>
  <c r="AQ180" i="6" s="1"/>
  <c r="AG192" i="6"/>
  <c r="AF192" i="6"/>
  <c r="AE192" i="6"/>
  <c r="AD192" i="6"/>
  <c r="AC192" i="6"/>
  <c r="AB192" i="6"/>
  <c r="AA192" i="6"/>
  <c r="AG189" i="6"/>
  <c r="AF189" i="6"/>
  <c r="AE189" i="6"/>
  <c r="AD189" i="6"/>
  <c r="AC189" i="6"/>
  <c r="AB189" i="6"/>
  <c r="AA189" i="6"/>
  <c r="AG197" i="6"/>
  <c r="AE197" i="6"/>
  <c r="AD197" i="6"/>
  <c r="AC197" i="6"/>
  <c r="AB197" i="6"/>
  <c r="AA197" i="6"/>
  <c r="AF199" i="6"/>
  <c r="AR199" i="6" s="1"/>
  <c r="AG215" i="6"/>
  <c r="AE215" i="6"/>
  <c r="AD215" i="6"/>
  <c r="AC215" i="6"/>
  <c r="AB215" i="6"/>
  <c r="AA215" i="6"/>
  <c r="AF215" i="6"/>
  <c r="AG218" i="6"/>
  <c r="AF218" i="6"/>
  <c r="AE218" i="6"/>
  <c r="AD218" i="6"/>
  <c r="AC218" i="6"/>
  <c r="AB218" i="6"/>
  <c r="AC221" i="6"/>
  <c r="AB221" i="6"/>
  <c r="AA221" i="6"/>
  <c r="AG221" i="6"/>
  <c r="AF221" i="6"/>
  <c r="AE221" i="6"/>
  <c r="AD222" i="6"/>
  <c r="AP222" i="6" s="1"/>
  <c r="AG227" i="6"/>
  <c r="AF227" i="6"/>
  <c r="AD227" i="6"/>
  <c r="AC227" i="6"/>
  <c r="AB227" i="6"/>
  <c r="AA227" i="6"/>
  <c r="AE227" i="6"/>
  <c r="AG242" i="6"/>
  <c r="AS242" i="6" s="1"/>
  <c r="AF242" i="6"/>
  <c r="AR242" i="6" s="1"/>
  <c r="AE242" i="6"/>
  <c r="AQ242" i="6" s="1"/>
  <c r="AD242" i="6"/>
  <c r="AP242" i="6" s="1"/>
  <c r="AC242" i="6"/>
  <c r="AO242" i="6" s="1"/>
  <c r="AB242" i="6"/>
  <c r="AN242" i="6" s="1"/>
  <c r="AA242" i="6"/>
  <c r="AF252" i="6"/>
  <c r="AG274" i="6"/>
  <c r="AF275" i="6"/>
  <c r="AR275" i="6" s="1"/>
  <c r="AG278" i="6"/>
  <c r="AS278" i="6" s="1"/>
  <c r="AE278" i="6"/>
  <c r="AQ278" i="6" s="1"/>
  <c r="AD278" i="6"/>
  <c r="AP278" i="6" s="1"/>
  <c r="AC278" i="6"/>
  <c r="AO278" i="6" s="1"/>
  <c r="AB278" i="6"/>
  <c r="AN278" i="6" s="1"/>
  <c r="AA278" i="6"/>
  <c r="AM278" i="6" s="1"/>
  <c r="AF290" i="6"/>
  <c r="AR290" i="6" s="1"/>
  <c r="AF387" i="6"/>
  <c r="AR387" i="6" s="1"/>
  <c r="AB6" i="6" l="1"/>
  <c r="AG6" i="6"/>
  <c r="AE6" i="6"/>
  <c r="AD6" i="6"/>
  <c r="AF6" i="6"/>
  <c r="AC6" i="6"/>
  <c r="AC277" i="6"/>
  <c r="AB191" i="6"/>
  <c r="AA173" i="6"/>
  <c r="AB165" i="6"/>
  <c r="AC162" i="6"/>
  <c r="AO162" i="6" s="1"/>
  <c r="AE127" i="6"/>
  <c r="AK126" i="6"/>
  <c r="AW126" i="6" s="1"/>
  <c r="AK95" i="6"/>
  <c r="AW95" i="6" s="1"/>
  <c r="AB67" i="6"/>
  <c r="AD30" i="6"/>
  <c r="AC30" i="6"/>
  <c r="AD277" i="6"/>
  <c r="AC239" i="6"/>
  <c r="AK199" i="6"/>
  <c r="AW199" i="6" s="1"/>
  <c r="AC191" i="6"/>
  <c r="AC165" i="6"/>
  <c r="AD162" i="6"/>
  <c r="AP162" i="6" s="1"/>
  <c r="AB91" i="6"/>
  <c r="AC67" i="6"/>
  <c r="AE277" i="6"/>
  <c r="AD239" i="6"/>
  <c r="AD191" i="6"/>
  <c r="AD165" i="6"/>
  <c r="AE162" i="6"/>
  <c r="AQ162" i="6" s="1"/>
  <c r="AB127" i="6"/>
  <c r="AB107" i="6"/>
  <c r="AC91" i="6"/>
  <c r="AD67" i="6"/>
  <c r="AB30" i="6"/>
  <c r="AG40" i="6"/>
  <c r="AB277" i="6"/>
  <c r="AG277" i="6"/>
  <c r="AE239" i="6"/>
  <c r="AE191" i="6"/>
  <c r="AE165" i="6"/>
  <c r="AF162" i="6"/>
  <c r="AR162" i="6" s="1"/>
  <c r="AC127" i="6"/>
  <c r="AC107" i="6"/>
  <c r="AD91" i="6"/>
  <c r="AF67" i="6"/>
  <c r="AB239" i="6"/>
  <c r="AK387" i="6"/>
  <c r="AK275" i="6"/>
  <c r="AW275" i="6" s="1"/>
  <c r="AF239" i="6"/>
  <c r="AF191" i="6"/>
  <c r="AG165" i="6"/>
  <c r="AG162" i="6"/>
  <c r="AS162" i="6" s="1"/>
  <c r="AD127" i="6"/>
  <c r="AD107" i="6"/>
  <c r="AE91" i="6"/>
  <c r="AE30" i="6"/>
  <c r="AF40" i="6"/>
  <c r="AG247" i="6"/>
  <c r="AG239" i="6"/>
  <c r="AK222" i="6"/>
  <c r="AW222" i="6" s="1"/>
  <c r="AG191" i="6"/>
  <c r="AF127" i="6"/>
  <c r="AE107" i="6"/>
  <c r="AF91" i="6"/>
  <c r="AB40" i="6"/>
  <c r="AD40" i="6"/>
  <c r="AK290" i="6"/>
  <c r="AW290" i="6" s="1"/>
  <c r="AK252" i="6"/>
  <c r="AK180" i="6"/>
  <c r="AW180" i="6" s="1"/>
  <c r="AF165" i="6"/>
  <c r="AG127" i="6"/>
  <c r="AF107" i="6"/>
  <c r="AG91" i="6"/>
  <c r="AG30" i="6"/>
  <c r="AB162" i="6"/>
  <c r="AN162" i="6" s="1"/>
  <c r="AK135" i="6"/>
  <c r="AW135" i="6" s="1"/>
  <c r="AG107" i="6"/>
  <c r="AE67" i="6"/>
  <c r="AF30" i="6"/>
  <c r="AC40" i="6"/>
  <c r="AE40" i="6"/>
  <c r="AK7" i="6"/>
  <c r="AK125" i="6"/>
  <c r="AW125" i="6" s="1"/>
  <c r="AD124" i="6"/>
  <c r="AK161" i="6"/>
  <c r="AW161" i="6" s="1"/>
  <c r="AD160" i="6"/>
  <c r="AP160" i="6" s="1"/>
  <c r="AG173" i="6"/>
  <c r="AF173" i="6"/>
  <c r="AE173" i="6"/>
  <c r="AB173" i="6"/>
  <c r="AC173" i="6"/>
  <c r="AD173" i="6"/>
  <c r="AF331" i="6"/>
  <c r="AK242" i="6"/>
  <c r="AW242" i="6" s="1"/>
  <c r="AK227" i="6"/>
  <c r="AK192" i="6"/>
  <c r="AK166" i="6"/>
  <c r="AK163" i="6"/>
  <c r="AW163" i="6" s="1"/>
  <c r="AK41" i="6"/>
  <c r="AK178" i="6"/>
  <c r="AK108" i="6"/>
  <c r="AK89" i="6"/>
  <c r="AK128" i="6"/>
  <c r="AK189" i="6"/>
  <c r="AK215" i="6"/>
  <c r="AF150" i="6"/>
  <c r="AR150" i="6" s="1"/>
  <c r="AK153" i="6"/>
  <c r="AW153" i="6" s="1"/>
  <c r="AK218" i="6"/>
  <c r="AF274" i="6"/>
  <c r="K416" i="12"/>
  <c r="K415" i="12" s="1"/>
  <c r="K175" i="8"/>
  <c r="K162" i="8" s="1"/>
  <c r="AB150" i="6"/>
  <c r="AN150" i="6" s="1"/>
  <c r="AC150" i="6"/>
  <c r="AO150" i="6" s="1"/>
  <c r="AD150" i="6"/>
  <c r="AP150" i="6" s="1"/>
  <c r="AE150" i="6"/>
  <c r="AQ150" i="6" s="1"/>
  <c r="AG150" i="6"/>
  <c r="AS150" i="6" s="1"/>
  <c r="AG67" i="6"/>
  <c r="AF197" i="6"/>
  <c r="AA191" i="6"/>
  <c r="AA165" i="6"/>
  <c r="AA107" i="6"/>
  <c r="AA277" i="6"/>
  <c r="AA127" i="6"/>
  <c r="AA66" i="6"/>
  <c r="AA162" i="6"/>
  <c r="AM162" i="6" s="1"/>
  <c r="AA145" i="6"/>
  <c r="AF278" i="6"/>
  <c r="AR278" i="6" s="1"/>
  <c r="AD221" i="6"/>
  <c r="AF251" i="6"/>
  <c r="AA239" i="6"/>
  <c r="AA94" i="6"/>
  <c r="AM94" i="6" s="1"/>
  <c r="AA40" i="6"/>
  <c r="O130" i="8"/>
  <c r="I9" i="8"/>
  <c r="O35" i="8"/>
  <c r="J11" i="12"/>
  <c r="F175" i="8"/>
  <c r="F162" i="8" s="1"/>
  <c r="O34" i="8"/>
  <c r="D9" i="8"/>
  <c r="D8" i="8" s="1"/>
  <c r="D175" i="8"/>
  <c r="D162" i="8" s="1"/>
  <c r="H9" i="8"/>
  <c r="H8" i="8" s="1"/>
  <c r="F9" i="8"/>
  <c r="F8" i="8" s="1"/>
  <c r="H109" i="8"/>
  <c r="L191" i="8"/>
  <c r="Q191" i="8" s="1"/>
  <c r="H65" i="8"/>
  <c r="H64" i="8" s="1"/>
  <c r="M110" i="12"/>
  <c r="K109" i="8"/>
  <c r="J194" i="12"/>
  <c r="J427" i="12" s="1"/>
  <c r="G10" i="12"/>
  <c r="P10" i="12" s="1"/>
  <c r="E109" i="8"/>
  <c r="P194" i="12"/>
  <c r="E108" i="12"/>
  <c r="E63" i="12" s="1"/>
  <c r="E7" i="12" s="1"/>
  <c r="E6" i="12" s="1"/>
  <c r="L96" i="8"/>
  <c r="Q96" i="8" s="1"/>
  <c r="M194" i="8"/>
  <c r="N175" i="8"/>
  <c r="N162" i="8" s="1"/>
  <c r="J168" i="12"/>
  <c r="J431" i="12" s="1"/>
  <c r="M10" i="12"/>
  <c r="H175" i="8"/>
  <c r="H162" i="8" s="1"/>
  <c r="L9" i="12"/>
  <c r="L8" i="12" s="1"/>
  <c r="C108" i="12"/>
  <c r="C63" i="12" s="1"/>
  <c r="C7" i="12" s="1"/>
  <c r="C6" i="12" s="1"/>
  <c r="L10" i="8"/>
  <c r="Q10" i="8" s="1"/>
  <c r="I191" i="8"/>
  <c r="M148" i="12"/>
  <c r="K108" i="12"/>
  <c r="K63" i="12" s="1"/>
  <c r="K7" i="12" s="1"/>
  <c r="H108" i="12"/>
  <c r="H63" i="12" s="1"/>
  <c r="E175" i="8"/>
  <c r="E162" i="8" s="1"/>
  <c r="P426" i="12"/>
  <c r="AC426" i="12" s="1"/>
  <c r="P168" i="12"/>
  <c r="O235" i="12"/>
  <c r="F65" i="8"/>
  <c r="F64" i="8" s="1"/>
  <c r="F109" i="8"/>
  <c r="E9" i="8"/>
  <c r="E8" i="8" s="1"/>
  <c r="P430" i="12"/>
  <c r="AC430" i="12" s="1"/>
  <c r="E65" i="8"/>
  <c r="E64" i="8" s="1"/>
  <c r="O175" i="12"/>
  <c r="F108" i="12"/>
  <c r="F63" i="12" s="1"/>
  <c r="F7" i="12" s="1"/>
  <c r="F6" i="12" s="1"/>
  <c r="K9" i="8"/>
  <c r="K8" i="8" s="1"/>
  <c r="M66" i="8"/>
  <c r="AA421" i="12"/>
  <c r="H420" i="12"/>
  <c r="O184" i="8"/>
  <c r="I100" i="8"/>
  <c r="M101" i="8"/>
  <c r="L34" i="8"/>
  <c r="Q35" i="8"/>
  <c r="L235" i="8"/>
  <c r="Q235" i="8" s="1"/>
  <c r="Q236" i="8"/>
  <c r="I44" i="8"/>
  <c r="M45" i="8"/>
  <c r="N70" i="8"/>
  <c r="O71" i="8"/>
  <c r="L148" i="8"/>
  <c r="Q153" i="8"/>
  <c r="O220" i="8"/>
  <c r="I96" i="8"/>
  <c r="M97" i="8"/>
  <c r="L110" i="8"/>
  <c r="Q110" i="8" s="1"/>
  <c r="Q111" i="8"/>
  <c r="M168" i="8"/>
  <c r="L70" i="8"/>
  <c r="Q70" i="8" s="1"/>
  <c r="Q71" i="8"/>
  <c r="L175" i="8"/>
  <c r="Q175" i="8" s="1"/>
  <c r="Q176" i="8"/>
  <c r="I175" i="8"/>
  <c r="M184" i="8"/>
  <c r="K420" i="12"/>
  <c r="I148" i="8"/>
  <c r="M153" i="8"/>
  <c r="M130" i="8"/>
  <c r="O101" i="8"/>
  <c r="M35" i="8"/>
  <c r="D65" i="8"/>
  <c r="D64" i="8" s="1"/>
  <c r="Q45" i="8"/>
  <c r="L44" i="8"/>
  <c r="N96" i="8"/>
  <c r="O97" i="8"/>
  <c r="I110" i="8"/>
  <c r="M111" i="8"/>
  <c r="I70" i="8"/>
  <c r="M71" i="8"/>
  <c r="M220" i="8"/>
  <c r="N148" i="8"/>
  <c r="O153" i="8"/>
  <c r="I235" i="8"/>
  <c r="M236" i="8"/>
  <c r="N10" i="8"/>
  <c r="O11" i="8"/>
  <c r="O45" i="8"/>
  <c r="O213" i="8"/>
  <c r="M176" i="8"/>
  <c r="O111" i="8"/>
  <c r="O176" i="8"/>
  <c r="M11" i="8"/>
  <c r="N421" i="12"/>
  <c r="P44" i="12"/>
  <c r="P153" i="12"/>
  <c r="J165" i="12"/>
  <c r="J433" i="12" s="1"/>
  <c r="I137" i="12"/>
  <c r="I422" i="12" s="1"/>
  <c r="O422" i="12" s="1"/>
  <c r="AE422" i="12" s="1"/>
  <c r="I9" i="12"/>
  <c r="I416" i="12" s="1"/>
  <c r="O34" i="12"/>
  <c r="J45" i="12"/>
  <c r="J434" i="12"/>
  <c r="D108" i="12"/>
  <c r="D63" i="12" s="1"/>
  <c r="D7" i="12" s="1"/>
  <c r="D6" i="12" s="1"/>
  <c r="P431" i="12"/>
  <c r="AC431" i="12" s="1"/>
  <c r="P45" i="12"/>
  <c r="O426" i="12"/>
  <c r="AE426" i="12" s="1"/>
  <c r="AA433" i="12"/>
  <c r="P165" i="12"/>
  <c r="J184" i="12"/>
  <c r="J430" i="12" s="1"/>
  <c r="H8" i="12"/>
  <c r="H416" i="12"/>
  <c r="P126" i="12"/>
  <c r="G175" i="12"/>
  <c r="P175" i="12" s="1"/>
  <c r="P66" i="12"/>
  <c r="N162" i="12"/>
  <c r="P184" i="12"/>
  <c r="Q70" i="12"/>
  <c r="Q421" i="12" s="1"/>
  <c r="L421" i="12"/>
  <c r="M70" i="12"/>
  <c r="M95" i="12"/>
  <c r="G148" i="12"/>
  <c r="P148" i="12" s="1"/>
  <c r="L162" i="12"/>
  <c r="Q162" i="12" s="1"/>
  <c r="M175" i="12"/>
  <c r="G191" i="12"/>
  <c r="J130" i="12"/>
  <c r="T8" i="12"/>
  <c r="N109" i="12"/>
  <c r="P97" i="12"/>
  <c r="G96" i="12"/>
  <c r="J97" i="12"/>
  <c r="M44" i="12"/>
  <c r="I43" i="12"/>
  <c r="P35" i="12"/>
  <c r="G34" i="12"/>
  <c r="J35" i="12"/>
  <c r="P220" i="12"/>
  <c r="J220" i="12"/>
  <c r="M191" i="12"/>
  <c r="I162" i="12"/>
  <c r="J254" i="12"/>
  <c r="P254" i="12"/>
  <c r="O70" i="12"/>
  <c r="N65" i="12"/>
  <c r="J258" i="12"/>
  <c r="P258" i="12"/>
  <c r="G279" i="12"/>
  <c r="P280" i="12"/>
  <c r="J280" i="12"/>
  <c r="P274" i="12"/>
  <c r="J274" i="12"/>
  <c r="J322" i="12"/>
  <c r="P322" i="12"/>
  <c r="Q148" i="12"/>
  <c r="L137" i="12"/>
  <c r="J317" i="12"/>
  <c r="P317" i="12"/>
  <c r="J242" i="12"/>
  <c r="P242" i="12"/>
  <c r="G241" i="12"/>
  <c r="G435" i="12" s="1"/>
  <c r="J44" i="12"/>
  <c r="P237" i="12"/>
  <c r="G236" i="12"/>
  <c r="J237" i="12"/>
  <c r="G250" i="12"/>
  <c r="Q43" i="12"/>
  <c r="Q417" i="12" s="1"/>
  <c r="Q418" i="12" s="1"/>
  <c r="J101" i="12"/>
  <c r="P101" i="12"/>
  <c r="G100" i="12"/>
  <c r="P334" i="12"/>
  <c r="J334" i="12"/>
  <c r="O44" i="12"/>
  <c r="N43" i="12"/>
  <c r="O191" i="12"/>
  <c r="L65" i="12"/>
  <c r="P71" i="12"/>
  <c r="G70" i="12"/>
  <c r="J71" i="12"/>
  <c r="J206" i="12"/>
  <c r="P206" i="12"/>
  <c r="J213" i="12"/>
  <c r="J426" i="12" s="1"/>
  <c r="P213" i="12"/>
  <c r="P110" i="12"/>
  <c r="J110" i="12"/>
  <c r="AB217" i="6"/>
  <c r="AF217" i="6"/>
  <c r="AG217" i="6"/>
  <c r="AC217" i="6"/>
  <c r="AA217" i="6"/>
  <c r="AE217" i="6"/>
  <c r="D109" i="8"/>
  <c r="K65" i="8"/>
  <c r="K64" i="8" s="1"/>
  <c r="AG172" i="6" l="1"/>
  <c r="AG188" i="6"/>
  <c r="AK331" i="6"/>
  <c r="AW387" i="6"/>
  <c r="AD172" i="6"/>
  <c r="AD123" i="6"/>
  <c r="AP123" i="6" s="1"/>
  <c r="AP124" i="6"/>
  <c r="AC188" i="6"/>
  <c r="AC172" i="6"/>
  <c r="AD188" i="6"/>
  <c r="AB188" i="6"/>
  <c r="AE188" i="6"/>
  <c r="AB172" i="6"/>
  <c r="AG5" i="6"/>
  <c r="AE172" i="6"/>
  <c r="AF172" i="6"/>
  <c r="AD217" i="6"/>
  <c r="AK217" i="6" s="1"/>
  <c r="AK165" i="6"/>
  <c r="AB145" i="6"/>
  <c r="AF66" i="6"/>
  <c r="AB276" i="6"/>
  <c r="AD238" i="6"/>
  <c r="AD5" i="6"/>
  <c r="AF277" i="6"/>
  <c r="AK191" i="6"/>
  <c r="AK6" i="6"/>
  <c r="AC39" i="6"/>
  <c r="AK197" i="6"/>
  <c r="AB39" i="6"/>
  <c r="AB238" i="6"/>
  <c r="AG39" i="6"/>
  <c r="AB5" i="6"/>
  <c r="AE276" i="6"/>
  <c r="AC66" i="6"/>
  <c r="AB66" i="6"/>
  <c r="AG66" i="6"/>
  <c r="AK274" i="6"/>
  <c r="AG238" i="6"/>
  <c r="AK40" i="6"/>
  <c r="AG145" i="6"/>
  <c r="AF238" i="6"/>
  <c r="AE238" i="6"/>
  <c r="AD66" i="6"/>
  <c r="AK94" i="6"/>
  <c r="AW94" i="6" s="1"/>
  <c r="AK127" i="6"/>
  <c r="AE145" i="6"/>
  <c r="AF5" i="6"/>
  <c r="AD39" i="6"/>
  <c r="AC238" i="6"/>
  <c r="AK239" i="6"/>
  <c r="AD145" i="6"/>
  <c r="AF145" i="6"/>
  <c r="AG276" i="6"/>
  <c r="AC5" i="6"/>
  <c r="AK107" i="6"/>
  <c r="AC145" i="6"/>
  <c r="AE39" i="6"/>
  <c r="AE66" i="6"/>
  <c r="AF39" i="6"/>
  <c r="AE5" i="6"/>
  <c r="AD276" i="6"/>
  <c r="AC276" i="6"/>
  <c r="AK124" i="6"/>
  <c r="AW124" i="6" s="1"/>
  <c r="AK162" i="6"/>
  <c r="AW162" i="6" s="1"/>
  <c r="AK160" i="6"/>
  <c r="AW160" i="6" s="1"/>
  <c r="AK173" i="6"/>
  <c r="AK251" i="6"/>
  <c r="AF247" i="6"/>
  <c r="AK150" i="6"/>
  <c r="AW150" i="6" s="1"/>
  <c r="AK278" i="6"/>
  <c r="AW278" i="6" s="1"/>
  <c r="AK221" i="6"/>
  <c r="AK67" i="6"/>
  <c r="K414" i="12"/>
  <c r="K413" i="12" s="1"/>
  <c r="AA188" i="6"/>
  <c r="AF188" i="6"/>
  <c r="AA172" i="6"/>
  <c r="AA238" i="6"/>
  <c r="AA276" i="6"/>
  <c r="AA39" i="6"/>
  <c r="AA92" i="6"/>
  <c r="J10" i="12"/>
  <c r="M191" i="8"/>
  <c r="H108" i="8"/>
  <c r="H63" i="8" s="1"/>
  <c r="H7" i="8" s="1"/>
  <c r="H6" i="8" s="1"/>
  <c r="K108" i="8"/>
  <c r="K63" i="8" s="1"/>
  <c r="K7" i="8" s="1"/>
  <c r="K6" i="8" s="1"/>
  <c r="L416" i="12"/>
  <c r="L415" i="12" s="1"/>
  <c r="Q9" i="12"/>
  <c r="Q416" i="12" s="1"/>
  <c r="L95" i="8"/>
  <c r="Q95" i="8" s="1"/>
  <c r="E108" i="8"/>
  <c r="E63" i="8" s="1"/>
  <c r="G9" i="12"/>
  <c r="G416" i="12" s="1"/>
  <c r="P416" i="12" s="1"/>
  <c r="M70" i="8"/>
  <c r="F108" i="8"/>
  <c r="F63" i="8" s="1"/>
  <c r="O191" i="8"/>
  <c r="L162" i="8"/>
  <c r="Q162" i="8" s="1"/>
  <c r="O9" i="12"/>
  <c r="O416" i="12" s="1"/>
  <c r="M10" i="8"/>
  <c r="L9" i="8"/>
  <c r="Q9" i="8" s="1"/>
  <c r="M9" i="12"/>
  <c r="M416" i="12" s="1"/>
  <c r="I109" i="12"/>
  <c r="I108" i="12" s="1"/>
  <c r="O137" i="12"/>
  <c r="M148" i="8"/>
  <c r="I137" i="8"/>
  <c r="O10" i="8"/>
  <c r="N9" i="8"/>
  <c r="O70" i="8"/>
  <c r="Q34" i="8"/>
  <c r="M34" i="8"/>
  <c r="M96" i="8"/>
  <c r="I95" i="8"/>
  <c r="M235" i="8"/>
  <c r="O235" i="8"/>
  <c r="I162" i="8"/>
  <c r="M175" i="8"/>
  <c r="M100" i="8"/>
  <c r="O100" i="8"/>
  <c r="AA416" i="12"/>
  <c r="H415" i="12"/>
  <c r="H414" i="12" s="1"/>
  <c r="H413" i="12" s="1"/>
  <c r="M110" i="8"/>
  <c r="I420" i="12"/>
  <c r="O175" i="8"/>
  <c r="M44" i="8"/>
  <c r="O44" i="8"/>
  <c r="I43" i="8"/>
  <c r="O110" i="8"/>
  <c r="O421" i="12"/>
  <c r="N420" i="12"/>
  <c r="O148" i="8"/>
  <c r="N137" i="8"/>
  <c r="O96" i="8"/>
  <c r="N95" i="8"/>
  <c r="L43" i="8"/>
  <c r="Q43" i="8" s="1"/>
  <c r="Q44" i="8"/>
  <c r="L137" i="8"/>
  <c r="Q148" i="8"/>
  <c r="M421" i="12"/>
  <c r="AC433" i="12"/>
  <c r="J175" i="12"/>
  <c r="G162" i="12"/>
  <c r="P162" i="12" s="1"/>
  <c r="O43" i="12"/>
  <c r="O417" i="12" s="1"/>
  <c r="O418" i="12" s="1"/>
  <c r="N417" i="12"/>
  <c r="N415" i="12" s="1"/>
  <c r="H7" i="12"/>
  <c r="H6" i="12" s="1"/>
  <c r="M137" i="12"/>
  <c r="M422" i="12" s="1"/>
  <c r="L422" i="12"/>
  <c r="L420" i="12" s="1"/>
  <c r="M43" i="12"/>
  <c r="M417" i="12" s="1"/>
  <c r="I417" i="12"/>
  <c r="I418" i="12" s="1"/>
  <c r="M418" i="12" s="1"/>
  <c r="J43" i="12"/>
  <c r="J417" i="12" s="1"/>
  <c r="K6" i="12"/>
  <c r="G137" i="12"/>
  <c r="J148" i="12"/>
  <c r="M162" i="12"/>
  <c r="J191" i="12"/>
  <c r="P191" i="12"/>
  <c r="O162" i="12"/>
  <c r="I8" i="12"/>
  <c r="J96" i="12"/>
  <c r="P96" i="12"/>
  <c r="G95" i="12"/>
  <c r="G421" i="12" s="1"/>
  <c r="Q8" i="12"/>
  <c r="Q415" i="12" s="1"/>
  <c r="J241" i="12"/>
  <c r="J435" i="12" s="1"/>
  <c r="P241" i="12"/>
  <c r="P435" i="12" s="1"/>
  <c r="AC435" i="12" s="1"/>
  <c r="J279" i="12"/>
  <c r="P279" i="12"/>
  <c r="Q65" i="12"/>
  <c r="L64" i="12"/>
  <c r="M65" i="12"/>
  <c r="P43" i="12"/>
  <c r="J250" i="12"/>
  <c r="P250" i="12"/>
  <c r="G249" i="12"/>
  <c r="G436" i="12" s="1"/>
  <c r="P436" i="12" s="1"/>
  <c r="AC436" i="12" s="1"/>
  <c r="J34" i="12"/>
  <c r="P34" i="12"/>
  <c r="P70" i="12"/>
  <c r="J70" i="12"/>
  <c r="O65" i="12"/>
  <c r="N64" i="12"/>
  <c r="N8" i="12"/>
  <c r="N108" i="12"/>
  <c r="J100" i="12"/>
  <c r="P100" i="12"/>
  <c r="J236" i="12"/>
  <c r="P236" i="12"/>
  <c r="G235" i="12"/>
  <c r="Q137" i="12"/>
  <c r="Q422" i="12" s="1"/>
  <c r="L109" i="12"/>
  <c r="D108" i="8"/>
  <c r="D63" i="8" s="1"/>
  <c r="AE159" i="6" l="1"/>
  <c r="AG159" i="6"/>
  <c r="AB134" i="6"/>
  <c r="AC159" i="6"/>
  <c r="AD159" i="6"/>
  <c r="AB159" i="6"/>
  <c r="AC134" i="6"/>
  <c r="AC106" i="6" s="1"/>
  <c r="AG134" i="6"/>
  <c r="AG106" i="6" s="1"/>
  <c r="AK277" i="6"/>
  <c r="AK66" i="6"/>
  <c r="AC4" i="6"/>
  <c r="AC418" i="6" s="1"/>
  <c r="AB4" i="6"/>
  <c r="AB418" i="6" s="1"/>
  <c r="AK123" i="6"/>
  <c r="AW123" i="6" s="1"/>
  <c r="AG61" i="6"/>
  <c r="AB61" i="6"/>
  <c r="AF276" i="6"/>
  <c r="AD134" i="6"/>
  <c r="AK92" i="6"/>
  <c r="AC246" i="6"/>
  <c r="AK39" i="6"/>
  <c r="AC61" i="6"/>
  <c r="AB246" i="6"/>
  <c r="AG4" i="6"/>
  <c r="AD246" i="6"/>
  <c r="AE61" i="6"/>
  <c r="AG246" i="6"/>
  <c r="AG427" i="6" s="1"/>
  <c r="AD61" i="6"/>
  <c r="AD4" i="6"/>
  <c r="AD418" i="6" s="1"/>
  <c r="AK238" i="6"/>
  <c r="AE246" i="6"/>
  <c r="AK172" i="6"/>
  <c r="AK145" i="6"/>
  <c r="AE4" i="6"/>
  <c r="AF61" i="6"/>
  <c r="AF159" i="6"/>
  <c r="AF134" i="6"/>
  <c r="AF4" i="6"/>
  <c r="AF418" i="6" s="1"/>
  <c r="AE134" i="6"/>
  <c r="AA159" i="6"/>
  <c r="AA246" i="6"/>
  <c r="AK247" i="6"/>
  <c r="AK188" i="6"/>
  <c r="AA134" i="6"/>
  <c r="AA91" i="6"/>
  <c r="L414" i="12"/>
  <c r="L413" i="12" s="1"/>
  <c r="J9" i="12"/>
  <c r="J416" i="12" s="1"/>
  <c r="J415" i="12" s="1"/>
  <c r="AC416" i="12"/>
  <c r="G8" i="12"/>
  <c r="J8" i="12" s="1"/>
  <c r="L65" i="8"/>
  <c r="M162" i="8"/>
  <c r="P9" i="12"/>
  <c r="M109" i="12"/>
  <c r="O109" i="12"/>
  <c r="M415" i="12"/>
  <c r="M9" i="8"/>
  <c r="O162" i="8"/>
  <c r="O415" i="12"/>
  <c r="AE421" i="12"/>
  <c r="AE420" i="12" s="1"/>
  <c r="AE413" i="12" s="1"/>
  <c r="O420" i="12"/>
  <c r="I65" i="8"/>
  <c r="M95" i="8"/>
  <c r="I415" i="12"/>
  <c r="I414" i="12" s="1"/>
  <c r="I413" i="12" s="1"/>
  <c r="M420" i="12"/>
  <c r="O95" i="8"/>
  <c r="L8" i="8"/>
  <c r="Q8" i="8" s="1"/>
  <c r="N109" i="8"/>
  <c r="O137" i="8"/>
  <c r="I109" i="8"/>
  <c r="M137" i="8"/>
  <c r="N65" i="8"/>
  <c r="L109" i="8"/>
  <c r="Q137" i="8"/>
  <c r="N414" i="12"/>
  <c r="N413" i="12" s="1"/>
  <c r="M43" i="8"/>
  <c r="I8" i="8"/>
  <c r="O43" i="8"/>
  <c r="O9" i="8"/>
  <c r="N8" i="8"/>
  <c r="N418" i="12"/>
  <c r="P421" i="12"/>
  <c r="J162" i="12"/>
  <c r="M8" i="12"/>
  <c r="J137" i="12"/>
  <c r="J422" i="12" s="1"/>
  <c r="G422" i="12"/>
  <c r="P422" i="12" s="1"/>
  <c r="G109" i="12"/>
  <c r="J109" i="12" s="1"/>
  <c r="P137" i="12"/>
  <c r="J95" i="12"/>
  <c r="J421" i="12" s="1"/>
  <c r="P95" i="12"/>
  <c r="O64" i="12"/>
  <c r="N63" i="12"/>
  <c r="I63" i="12"/>
  <c r="G65" i="12"/>
  <c r="Q64" i="12"/>
  <c r="M64" i="12"/>
  <c r="L108" i="12"/>
  <c r="Q108" i="12" s="1"/>
  <c r="Q109" i="12"/>
  <c r="O108" i="12"/>
  <c r="J235" i="12"/>
  <c r="P235" i="12"/>
  <c r="O8" i="12"/>
  <c r="J249" i="12"/>
  <c r="J436" i="12" s="1"/>
  <c r="P249" i="12"/>
  <c r="F11" i="11"/>
  <c r="F10" i="11"/>
  <c r="F9" i="11"/>
  <c r="F8" i="11"/>
  <c r="F7" i="11"/>
  <c r="F6" i="11"/>
  <c r="F5" i="11"/>
  <c r="F4" i="11"/>
  <c r="F3" i="11"/>
  <c r="B3" i="11"/>
  <c r="A3" i="11"/>
  <c r="A9" i="10"/>
  <c r="R25" i="5"/>
  <c r="AU28" i="5"/>
  <c r="O13" i="5"/>
  <c r="T13" i="5" s="1"/>
  <c r="AW13" i="5" s="1"/>
  <c r="M18" i="10"/>
  <c r="A25" i="10"/>
  <c r="M4" i="10"/>
  <c r="K13" i="10"/>
  <c r="A16" i="10"/>
  <c r="A27" i="10"/>
  <c r="A24" i="10"/>
  <c r="A23" i="10"/>
  <c r="A22" i="10"/>
  <c r="A21" i="10"/>
  <c r="N13" i="10"/>
  <c r="N10" i="10"/>
  <c r="N8" i="10"/>
  <c r="N7" i="10"/>
  <c r="N5" i="10"/>
  <c r="I16" i="10"/>
  <c r="H16" i="10"/>
  <c r="G16" i="10"/>
  <c r="F16" i="10"/>
  <c r="E16" i="10"/>
  <c r="D16" i="10"/>
  <c r="C16" i="10"/>
  <c r="B16" i="10"/>
  <c r="I13" i="10"/>
  <c r="H13" i="10"/>
  <c r="G13" i="10"/>
  <c r="F13" i="10"/>
  <c r="E13" i="10"/>
  <c r="D13" i="10"/>
  <c r="C13" i="10"/>
  <c r="B13" i="10"/>
  <c r="I12" i="10"/>
  <c r="H12" i="10"/>
  <c r="G12" i="10"/>
  <c r="F12" i="10"/>
  <c r="E12" i="10"/>
  <c r="D12" i="10"/>
  <c r="C12" i="10"/>
  <c r="B12" i="10"/>
  <c r="I11" i="10"/>
  <c r="H11" i="10"/>
  <c r="G11" i="10"/>
  <c r="F11" i="10"/>
  <c r="E11" i="10"/>
  <c r="D11" i="10"/>
  <c r="C11" i="10"/>
  <c r="B11" i="10"/>
  <c r="I10" i="10"/>
  <c r="H10" i="10"/>
  <c r="G10" i="10"/>
  <c r="F10" i="10"/>
  <c r="E10" i="10"/>
  <c r="D10" i="10"/>
  <c r="C10" i="10"/>
  <c r="B10" i="10"/>
  <c r="I8" i="10"/>
  <c r="H8" i="10"/>
  <c r="G8" i="10"/>
  <c r="F8" i="10"/>
  <c r="E8" i="10"/>
  <c r="D8" i="10"/>
  <c r="C8" i="10"/>
  <c r="B8" i="10"/>
  <c r="A13" i="10"/>
  <c r="A12" i="10"/>
  <c r="A11" i="10"/>
  <c r="A10" i="10"/>
  <c r="A8" i="10"/>
  <c r="A7" i="10"/>
  <c r="A20" i="10" s="1"/>
  <c r="A6" i="10"/>
  <c r="A5" i="10"/>
  <c r="A19" i="10" s="1"/>
  <c r="AG432" i="6"/>
  <c r="AF432" i="6"/>
  <c r="AE432" i="6"/>
  <c r="AD432" i="6"/>
  <c r="AC432" i="6"/>
  <c r="AB432" i="6"/>
  <c r="AA432" i="6"/>
  <c r="AG431" i="6"/>
  <c r="AF431" i="6"/>
  <c r="AE431" i="6"/>
  <c r="AD431" i="6"/>
  <c r="AC431" i="6"/>
  <c r="AB431" i="6"/>
  <c r="AA431" i="6"/>
  <c r="AG430" i="6"/>
  <c r="AF430" i="6"/>
  <c r="AE430" i="6"/>
  <c r="AD430" i="6"/>
  <c r="AC430" i="6"/>
  <c r="AB430" i="6"/>
  <c r="AA430" i="6"/>
  <c r="AG429" i="6"/>
  <c r="AE429" i="6"/>
  <c r="AD429" i="6"/>
  <c r="AC429" i="6"/>
  <c r="AB429" i="6"/>
  <c r="AA429" i="6"/>
  <c r="AG428" i="6"/>
  <c r="AF428" i="6"/>
  <c r="AE428" i="6"/>
  <c r="AD428" i="6"/>
  <c r="AC428" i="6"/>
  <c r="AB428" i="6"/>
  <c r="AA428" i="6"/>
  <c r="AG426" i="6"/>
  <c r="AF426" i="6"/>
  <c r="AE426" i="6"/>
  <c r="AD426" i="6"/>
  <c r="AC426" i="6"/>
  <c r="AB426" i="6"/>
  <c r="AA426" i="6"/>
  <c r="AG425" i="6"/>
  <c r="AF425" i="6"/>
  <c r="AE425" i="6"/>
  <c r="AD425" i="6"/>
  <c r="AC425" i="6"/>
  <c r="AB425" i="6"/>
  <c r="AA425" i="6"/>
  <c r="AG424" i="6"/>
  <c r="AF424" i="6"/>
  <c r="AE424" i="6"/>
  <c r="AD424" i="6"/>
  <c r="AC424" i="6"/>
  <c r="AB424" i="6"/>
  <c r="AA424" i="6"/>
  <c r="AG420" i="6"/>
  <c r="AF420" i="6"/>
  <c r="AE420" i="6"/>
  <c r="AD420" i="6"/>
  <c r="AC420" i="6"/>
  <c r="AB420" i="6"/>
  <c r="AA420" i="6"/>
  <c r="AG419" i="6"/>
  <c r="AF419" i="6"/>
  <c r="AE419" i="6"/>
  <c r="AD419" i="6"/>
  <c r="AC419" i="6"/>
  <c r="AB419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M28" i="10"/>
  <c r="M27" i="10"/>
  <c r="M25" i="10"/>
  <c r="M23" i="10"/>
  <c r="M21" i="10"/>
  <c r="M19" i="10"/>
  <c r="M13" i="10"/>
  <c r="M7" i="10"/>
  <c r="G5" i="11"/>
  <c r="G4" i="11"/>
  <c r="B10" i="11"/>
  <c r="A8" i="11"/>
  <c r="B9" i="11"/>
  <c r="A7" i="11"/>
  <c r="B7" i="11"/>
  <c r="A6" i="11"/>
  <c r="B5" i="11"/>
  <c r="A5" i="11"/>
  <c r="B4" i="11"/>
  <c r="A4" i="11"/>
  <c r="AG105" i="6" l="1"/>
  <c r="AG423" i="6" s="1"/>
  <c r="AC105" i="6"/>
  <c r="AB427" i="6"/>
  <c r="AE427" i="6"/>
  <c r="AC427" i="6"/>
  <c r="AF246" i="6"/>
  <c r="AE418" i="6"/>
  <c r="AB106" i="6"/>
  <c r="AD427" i="6"/>
  <c r="AG418" i="6"/>
  <c r="AF429" i="6"/>
  <c r="AK276" i="6"/>
  <c r="AF60" i="6"/>
  <c r="AE60" i="6"/>
  <c r="AE106" i="6"/>
  <c r="AG60" i="6"/>
  <c r="AK91" i="6"/>
  <c r="AD60" i="6"/>
  <c r="AD106" i="6"/>
  <c r="AK134" i="6"/>
  <c r="AC60" i="6"/>
  <c r="AF106" i="6"/>
  <c r="AB60" i="6"/>
  <c r="AK159" i="6"/>
  <c r="AT13" i="5"/>
  <c r="U13" i="5"/>
  <c r="O11" i="5"/>
  <c r="O10" i="5" s="1"/>
  <c r="AA427" i="6"/>
  <c r="AA61" i="6"/>
  <c r="AA106" i="6"/>
  <c r="P25" i="5"/>
  <c r="T25" i="5" s="1"/>
  <c r="T11" i="5"/>
  <c r="AW11" i="5" s="1"/>
  <c r="P8" i="12"/>
  <c r="M414" i="12"/>
  <c r="M413" i="12" s="1"/>
  <c r="Q65" i="8"/>
  <c r="L64" i="8"/>
  <c r="Q64" i="8" s="1"/>
  <c r="P109" i="12"/>
  <c r="O414" i="12"/>
  <c r="O413" i="12" s="1"/>
  <c r="M8" i="8"/>
  <c r="AE414" i="12"/>
  <c r="O8" i="8"/>
  <c r="N64" i="8"/>
  <c r="O65" i="8"/>
  <c r="G420" i="12"/>
  <c r="M109" i="8"/>
  <c r="I108" i="8"/>
  <c r="O109" i="8"/>
  <c r="N108" i="8"/>
  <c r="AC421" i="12"/>
  <c r="P420" i="12"/>
  <c r="I64" i="8"/>
  <c r="M65" i="8"/>
  <c r="J420" i="12"/>
  <c r="J414" i="12" s="1"/>
  <c r="J413" i="12" s="1"/>
  <c r="Q109" i="8"/>
  <c r="L108" i="8"/>
  <c r="G108" i="12"/>
  <c r="P108" i="12" s="1"/>
  <c r="O63" i="12"/>
  <c r="P65" i="12"/>
  <c r="G64" i="12"/>
  <c r="J65" i="12"/>
  <c r="N7" i="12"/>
  <c r="I7" i="12"/>
  <c r="M108" i="12"/>
  <c r="L63" i="12"/>
  <c r="AK430" i="6"/>
  <c r="U25" i="10" s="1"/>
  <c r="AK425" i="6"/>
  <c r="I9" i="11" s="1"/>
  <c r="AK424" i="6"/>
  <c r="I8" i="11" s="1"/>
  <c r="AK431" i="6"/>
  <c r="G11" i="11"/>
  <c r="U424" i="6"/>
  <c r="T10" i="5" l="1"/>
  <c r="AK246" i="6"/>
  <c r="AF427" i="6"/>
  <c r="AC423" i="6"/>
  <c r="AB105" i="6"/>
  <c r="AB59" i="6" s="1"/>
  <c r="AF105" i="6"/>
  <c r="AC422" i="6"/>
  <c r="AD105" i="6"/>
  <c r="AB422" i="6"/>
  <c r="AK106" i="6"/>
  <c r="AK61" i="6"/>
  <c r="AE422" i="6"/>
  <c r="AD422" i="6"/>
  <c r="AG422" i="6"/>
  <c r="AF422" i="6"/>
  <c r="AG59" i="6"/>
  <c r="AE105" i="6"/>
  <c r="AC59" i="6"/>
  <c r="AT11" i="5"/>
  <c r="U11" i="5"/>
  <c r="AU25" i="5"/>
  <c r="U25" i="5"/>
  <c r="AA105" i="6"/>
  <c r="AA60" i="6"/>
  <c r="M64" i="8"/>
  <c r="I63" i="8"/>
  <c r="M108" i="8"/>
  <c r="O64" i="8"/>
  <c r="L63" i="8"/>
  <c r="Q108" i="8"/>
  <c r="N63" i="8"/>
  <c r="O108" i="8"/>
  <c r="J108" i="12"/>
  <c r="Q63" i="12"/>
  <c r="Q420" i="12" s="1"/>
  <c r="L7" i="12"/>
  <c r="I6" i="12"/>
  <c r="M63" i="12"/>
  <c r="O7" i="12"/>
  <c r="N6" i="12"/>
  <c r="P64" i="12"/>
  <c r="G63" i="12"/>
  <c r="J64" i="12"/>
  <c r="H8" i="11"/>
  <c r="AB423" i="6" l="1"/>
  <c r="AD59" i="6"/>
  <c r="AD423" i="6"/>
  <c r="AC3" i="6"/>
  <c r="AC421" i="6"/>
  <c r="AE423" i="6"/>
  <c r="AK60" i="6"/>
  <c r="AB3" i="6"/>
  <c r="AB421" i="6"/>
  <c r="AF59" i="6"/>
  <c r="AF423" i="6"/>
  <c r="AK105" i="6"/>
  <c r="AG3" i="6"/>
  <c r="AG421" i="6"/>
  <c r="AE59" i="6"/>
  <c r="U10" i="5"/>
  <c r="AA422" i="6"/>
  <c r="AA59" i="6"/>
  <c r="AA423" i="6"/>
  <c r="L7" i="8"/>
  <c r="Q63" i="8"/>
  <c r="O63" i="8"/>
  <c r="N7" i="8"/>
  <c r="I7" i="8"/>
  <c r="M63" i="8"/>
  <c r="M7" i="12"/>
  <c r="O6" i="12"/>
  <c r="Q7" i="12"/>
  <c r="Q414" i="12" s="1"/>
  <c r="L6" i="12"/>
  <c r="J63" i="12"/>
  <c r="P63" i="12"/>
  <c r="G7" i="12"/>
  <c r="AK432" i="6"/>
  <c r="U28" i="10" s="1"/>
  <c r="U19" i="10" s="1"/>
  <c r="U18" i="10" s="1"/>
  <c r="AK428" i="6"/>
  <c r="J12" i="10"/>
  <c r="J11" i="10"/>
  <c r="J22" i="10"/>
  <c r="J10" i="10"/>
  <c r="J9" i="10"/>
  <c r="J8" i="10"/>
  <c r="AJ131" i="9"/>
  <c r="AD77" i="5"/>
  <c r="AJ77" i="5" s="1"/>
  <c r="AW77" i="5" s="1"/>
  <c r="AE169" i="5"/>
  <c r="AS169" i="5" s="1"/>
  <c r="AD169" i="5"/>
  <c r="AC169" i="5"/>
  <c r="AB169" i="5"/>
  <c r="AK169" i="5"/>
  <c r="AK141" i="5"/>
  <c r="AK135" i="5"/>
  <c r="AK110" i="5"/>
  <c r="AK102" i="5"/>
  <c r="AK92" i="5"/>
  <c r="AK85" i="5"/>
  <c r="AK79" i="5"/>
  <c r="AK42" i="5"/>
  <c r="AK36" i="5"/>
  <c r="Z24" i="5"/>
  <c r="AK31" i="5"/>
  <c r="AE24" i="5"/>
  <c r="AA24" i="5"/>
  <c r="AK25" i="5"/>
  <c r="Y25" i="5"/>
  <c r="AJ25" i="5" s="1"/>
  <c r="AW25" i="5" s="1"/>
  <c r="AK11" i="5"/>
  <c r="Y180" i="5"/>
  <c r="Z179" i="5"/>
  <c r="AJ179" i="5" s="1"/>
  <c r="AW179" i="5" s="1"/>
  <c r="AA172" i="5"/>
  <c r="AJ172" i="5" s="1"/>
  <c r="AW172" i="5" s="1"/>
  <c r="AJ129" i="9"/>
  <c r="AJ130" i="9" s="1"/>
  <c r="Z112" i="5"/>
  <c r="AJ112" i="5" s="1"/>
  <c r="AW112" i="5" s="1"/>
  <c r="AA97" i="5"/>
  <c r="AJ97" i="5" s="1"/>
  <c r="AW97" i="5" s="1"/>
  <c r="AB96" i="5"/>
  <c r="AJ96" i="5" s="1"/>
  <c r="AW96" i="5" s="1"/>
  <c r="AC89" i="5"/>
  <c r="AJ89" i="5" s="1"/>
  <c r="AW89" i="5" s="1"/>
  <c r="AD86" i="5"/>
  <c r="AJ86" i="5" s="1"/>
  <c r="AW86" i="5" s="1"/>
  <c r="AA80" i="5"/>
  <c r="AK145" i="5"/>
  <c r="AK100" i="5"/>
  <c r="AK82" i="5"/>
  <c r="G408" i="8"/>
  <c r="P408" i="8" s="1"/>
  <c r="G407" i="8"/>
  <c r="P407" i="8" s="1"/>
  <c r="G406" i="8"/>
  <c r="G405" i="8"/>
  <c r="G404" i="8"/>
  <c r="G403" i="8"/>
  <c r="G402" i="8"/>
  <c r="G401" i="8"/>
  <c r="G400" i="8"/>
  <c r="G399" i="8"/>
  <c r="P399" i="8" s="1"/>
  <c r="G398" i="8"/>
  <c r="P398" i="8" s="1"/>
  <c r="G397" i="8"/>
  <c r="G396" i="8"/>
  <c r="G395" i="8"/>
  <c r="P395" i="8" s="1"/>
  <c r="G394" i="8"/>
  <c r="P394" i="8" s="1"/>
  <c r="G393" i="8"/>
  <c r="P393" i="8" s="1"/>
  <c r="G392" i="8"/>
  <c r="P392" i="8" s="1"/>
  <c r="G391" i="8"/>
  <c r="G390" i="8"/>
  <c r="G389" i="8"/>
  <c r="P389" i="8" s="1"/>
  <c r="G388" i="8"/>
  <c r="P388" i="8" s="1"/>
  <c r="G387" i="8"/>
  <c r="G386" i="8"/>
  <c r="G385" i="8"/>
  <c r="F384" i="8"/>
  <c r="E384" i="8"/>
  <c r="D384" i="8"/>
  <c r="C384" i="8"/>
  <c r="G383" i="8"/>
  <c r="G382" i="8"/>
  <c r="G381" i="8"/>
  <c r="P381" i="8" s="1"/>
  <c r="G380" i="8"/>
  <c r="G379" i="8"/>
  <c r="G378" i="8"/>
  <c r="G377" i="8"/>
  <c r="F376" i="8"/>
  <c r="E376" i="8"/>
  <c r="D376" i="8"/>
  <c r="C376" i="8"/>
  <c r="G375" i="8"/>
  <c r="G374" i="8"/>
  <c r="G373" i="8"/>
  <c r="P373" i="8" s="1"/>
  <c r="G372" i="8"/>
  <c r="P372" i="8" s="1"/>
  <c r="G371" i="8"/>
  <c r="G370" i="8"/>
  <c r="G369" i="8"/>
  <c r="G368" i="8"/>
  <c r="P368" i="8" s="1"/>
  <c r="G367" i="8"/>
  <c r="G366" i="8"/>
  <c r="G365" i="8"/>
  <c r="F364" i="8"/>
  <c r="E364" i="8"/>
  <c r="D364" i="8"/>
  <c r="C364" i="8"/>
  <c r="G363" i="8"/>
  <c r="G362" i="8"/>
  <c r="G361" i="8"/>
  <c r="P361" i="8" s="1"/>
  <c r="G360" i="8"/>
  <c r="P360" i="8" s="1"/>
  <c r="G359" i="8"/>
  <c r="G358" i="8"/>
  <c r="G357" i="8"/>
  <c r="P357" i="8" s="1"/>
  <c r="G356" i="8"/>
  <c r="P356" i="8" s="1"/>
  <c r="G355" i="8"/>
  <c r="G354" i="8"/>
  <c r="G353" i="8"/>
  <c r="F352" i="8"/>
  <c r="E352" i="8"/>
  <c r="D352" i="8"/>
  <c r="C352" i="8"/>
  <c r="G351" i="8"/>
  <c r="G350" i="8"/>
  <c r="G349" i="8"/>
  <c r="G348" i="8"/>
  <c r="P348" i="8" s="1"/>
  <c r="F347" i="8"/>
  <c r="E347" i="8"/>
  <c r="D347" i="8"/>
  <c r="C347" i="8"/>
  <c r="G346" i="8"/>
  <c r="P346" i="8" s="1"/>
  <c r="G345" i="8"/>
  <c r="G344" i="8"/>
  <c r="P344" i="8" s="1"/>
  <c r="G343" i="8"/>
  <c r="G342" i="8"/>
  <c r="G341" i="8"/>
  <c r="G340" i="8"/>
  <c r="P340" i="8" s="1"/>
  <c r="G339" i="8"/>
  <c r="G338" i="8"/>
  <c r="G337" i="8"/>
  <c r="P337" i="8" s="1"/>
  <c r="G336" i="8"/>
  <c r="P336" i="8" s="1"/>
  <c r="N335" i="8"/>
  <c r="L335" i="8"/>
  <c r="Q335" i="8" s="1"/>
  <c r="K335" i="8"/>
  <c r="I335" i="8"/>
  <c r="H335" i="8"/>
  <c r="F335" i="8"/>
  <c r="E335" i="8"/>
  <c r="D335" i="8"/>
  <c r="C335" i="8"/>
  <c r="G332" i="8"/>
  <c r="F332" i="8"/>
  <c r="E332" i="8"/>
  <c r="D332" i="8"/>
  <c r="C332" i="8"/>
  <c r="G331" i="8"/>
  <c r="G330" i="8"/>
  <c r="G329" i="8"/>
  <c r="G328" i="8"/>
  <c r="G327" i="8"/>
  <c r="G326" i="8"/>
  <c r="P326" i="8" s="1"/>
  <c r="G325" i="8"/>
  <c r="G324" i="8"/>
  <c r="F323" i="8"/>
  <c r="E323" i="8"/>
  <c r="D323" i="8"/>
  <c r="C323" i="8"/>
  <c r="G321" i="8"/>
  <c r="F320" i="8"/>
  <c r="E320" i="8"/>
  <c r="D320" i="8"/>
  <c r="C320" i="8"/>
  <c r="G318" i="8"/>
  <c r="F318" i="8"/>
  <c r="E318" i="8"/>
  <c r="D318" i="8"/>
  <c r="C318" i="8"/>
  <c r="G316" i="8"/>
  <c r="F315" i="8"/>
  <c r="E315" i="8"/>
  <c r="D315" i="8"/>
  <c r="C315" i="8"/>
  <c r="G314" i="8"/>
  <c r="P314" i="8" s="1"/>
  <c r="G313" i="8"/>
  <c r="F312" i="8"/>
  <c r="E312" i="8"/>
  <c r="D312" i="8"/>
  <c r="C312" i="8"/>
  <c r="G311" i="8"/>
  <c r="G310" i="8"/>
  <c r="G309" i="8"/>
  <c r="F308" i="8"/>
  <c r="E308" i="8"/>
  <c r="D308" i="8"/>
  <c r="C308" i="8"/>
  <c r="G307" i="8"/>
  <c r="G306" i="8"/>
  <c r="G305" i="8"/>
  <c r="G304" i="8"/>
  <c r="F303" i="8"/>
  <c r="E303" i="8"/>
  <c r="D303" i="8"/>
  <c r="C303" i="8"/>
  <c r="G302" i="8"/>
  <c r="G301" i="8"/>
  <c r="P301" i="8" s="1"/>
  <c r="G300" i="8"/>
  <c r="G299" i="8"/>
  <c r="F298" i="8"/>
  <c r="E298" i="8"/>
  <c r="D298" i="8"/>
  <c r="C298" i="8"/>
  <c r="G297" i="8"/>
  <c r="P297" i="8" s="1"/>
  <c r="G296" i="8"/>
  <c r="G295" i="8"/>
  <c r="F294" i="8"/>
  <c r="E294" i="8"/>
  <c r="D294" i="8"/>
  <c r="C294" i="8"/>
  <c r="G293" i="8"/>
  <c r="P293" i="8" s="1"/>
  <c r="G292" i="8"/>
  <c r="G291" i="8"/>
  <c r="G290" i="8"/>
  <c r="G289" i="8"/>
  <c r="G288" i="8"/>
  <c r="P288" i="8" s="1"/>
  <c r="G287" i="8"/>
  <c r="G286" i="8"/>
  <c r="G285" i="8"/>
  <c r="P285" i="8" s="1"/>
  <c r="G284" i="8"/>
  <c r="G283" i="8"/>
  <c r="G282" i="8"/>
  <c r="F281" i="8"/>
  <c r="E281" i="8"/>
  <c r="D281" i="8"/>
  <c r="C281" i="8"/>
  <c r="G278" i="8"/>
  <c r="F277" i="8"/>
  <c r="E277" i="8"/>
  <c r="D277" i="8"/>
  <c r="C277" i="8"/>
  <c r="G276" i="8"/>
  <c r="G275" i="8" s="1"/>
  <c r="F275" i="8"/>
  <c r="F274" i="8" s="1"/>
  <c r="E275" i="8"/>
  <c r="E274" i="8" s="1"/>
  <c r="D275" i="8"/>
  <c r="D274" i="8" s="1"/>
  <c r="C275" i="8"/>
  <c r="C274" i="8" s="1"/>
  <c r="G273" i="8"/>
  <c r="P273" i="8" s="1"/>
  <c r="G272" i="8"/>
  <c r="P272" i="8" s="1"/>
  <c r="G271" i="8"/>
  <c r="G270" i="8"/>
  <c r="G269" i="8"/>
  <c r="P269" i="8" s="1"/>
  <c r="G268" i="8"/>
  <c r="G267" i="8"/>
  <c r="G266" i="8"/>
  <c r="G265" i="8"/>
  <c r="G264" i="8"/>
  <c r="P264" i="8" s="1"/>
  <c r="G263" i="8"/>
  <c r="G262" i="8"/>
  <c r="G261" i="8"/>
  <c r="P261" i="8" s="1"/>
  <c r="G260" i="8"/>
  <c r="F259" i="8"/>
  <c r="G259" i="8" s="1"/>
  <c r="E258" i="8"/>
  <c r="D258" i="8"/>
  <c r="C258" i="8"/>
  <c r="G257" i="8"/>
  <c r="P257" i="8" s="1"/>
  <c r="G256" i="8"/>
  <c r="F255" i="8"/>
  <c r="F254" i="8" s="1"/>
  <c r="E255" i="8"/>
  <c r="E254" i="8" s="1"/>
  <c r="D255" i="8"/>
  <c r="D254" i="8" s="1"/>
  <c r="C255" i="8"/>
  <c r="C254" i="8" s="1"/>
  <c r="G253" i="8"/>
  <c r="G252" i="8"/>
  <c r="F251" i="8"/>
  <c r="E251" i="8"/>
  <c r="D251" i="8"/>
  <c r="C251" i="8"/>
  <c r="G248" i="8"/>
  <c r="G247" i="8"/>
  <c r="G246" i="8"/>
  <c r="F245" i="8"/>
  <c r="E245" i="8"/>
  <c r="D245" i="8"/>
  <c r="C245" i="8"/>
  <c r="G244" i="8"/>
  <c r="F243" i="8"/>
  <c r="E243" i="8"/>
  <c r="D243" i="8"/>
  <c r="C243" i="8"/>
  <c r="G240" i="8"/>
  <c r="F239" i="8"/>
  <c r="E239" i="8"/>
  <c r="D239" i="8"/>
  <c r="C239" i="8"/>
  <c r="F238" i="8"/>
  <c r="C237" i="8"/>
  <c r="C236" i="8" s="1"/>
  <c r="C235" i="8" s="1"/>
  <c r="G234" i="8"/>
  <c r="G233" i="8"/>
  <c r="P233" i="8" s="1"/>
  <c r="G232" i="8"/>
  <c r="G231" i="8"/>
  <c r="P231" i="8" s="1"/>
  <c r="C230" i="8"/>
  <c r="G229" i="8"/>
  <c r="G228" i="8"/>
  <c r="P228" i="8" s="1"/>
  <c r="C227" i="8"/>
  <c r="G226" i="8"/>
  <c r="G225" i="8"/>
  <c r="P225" i="8" s="1"/>
  <c r="C224" i="8"/>
  <c r="G223" i="8"/>
  <c r="G222" i="8"/>
  <c r="P222" i="8" s="1"/>
  <c r="C221" i="8"/>
  <c r="G219" i="8"/>
  <c r="P219" i="8" s="1"/>
  <c r="C218" i="8"/>
  <c r="G217" i="8"/>
  <c r="P217" i="8" s="1"/>
  <c r="G216" i="8"/>
  <c r="G215" i="8"/>
  <c r="P215" i="8" s="1"/>
  <c r="C214" i="8"/>
  <c r="C213" i="8" s="1"/>
  <c r="G212" i="8"/>
  <c r="G211" i="8"/>
  <c r="C210" i="8"/>
  <c r="G210" i="8" s="1"/>
  <c r="G209" i="8"/>
  <c r="G208" i="8"/>
  <c r="P208" i="8" s="1"/>
  <c r="C207" i="8"/>
  <c r="G205" i="8"/>
  <c r="P205" i="8" s="1"/>
  <c r="C204" i="8"/>
  <c r="G203" i="8"/>
  <c r="G202" i="8"/>
  <c r="G201" i="8"/>
  <c r="P201" i="8" s="1"/>
  <c r="C200" i="8"/>
  <c r="G199" i="8"/>
  <c r="G198" i="8"/>
  <c r="P198" i="8" s="1"/>
  <c r="G197" i="8"/>
  <c r="G196" i="8"/>
  <c r="P196" i="8" s="1"/>
  <c r="C195" i="8"/>
  <c r="C194" i="8" s="1"/>
  <c r="G193" i="8"/>
  <c r="P193" i="8" s="1"/>
  <c r="C192" i="8"/>
  <c r="G190" i="8"/>
  <c r="G189" i="8"/>
  <c r="G188" i="8"/>
  <c r="P188" i="8" s="1"/>
  <c r="C187" i="8"/>
  <c r="G186" i="8"/>
  <c r="P186" i="8" s="1"/>
  <c r="C185" i="8"/>
  <c r="G183" i="8"/>
  <c r="G182" i="8"/>
  <c r="P182" i="8" s="1"/>
  <c r="C181" i="8"/>
  <c r="G180" i="8"/>
  <c r="P180" i="8" s="1"/>
  <c r="C179" i="8"/>
  <c r="G178" i="8"/>
  <c r="P178" i="8" s="1"/>
  <c r="C177" i="8"/>
  <c r="G174" i="8"/>
  <c r="G173" i="8"/>
  <c r="G172" i="8"/>
  <c r="G171" i="8"/>
  <c r="G170" i="8"/>
  <c r="P170" i="8" s="1"/>
  <c r="C169" i="8"/>
  <c r="C168" i="8" s="1"/>
  <c r="G167" i="8"/>
  <c r="P167" i="8" s="1"/>
  <c r="C166" i="8"/>
  <c r="G166" i="8" s="1"/>
  <c r="P166" i="8" s="1"/>
  <c r="G164" i="8"/>
  <c r="P164" i="8" s="1"/>
  <c r="C163" i="8"/>
  <c r="G161" i="8"/>
  <c r="G160" i="8"/>
  <c r="P160" i="8" s="1"/>
  <c r="C159" i="8"/>
  <c r="G158" i="8"/>
  <c r="P158" i="8" s="1"/>
  <c r="G157" i="8"/>
  <c r="P157" i="8" s="1"/>
  <c r="C156" i="8"/>
  <c r="G155" i="8"/>
  <c r="G154" i="8"/>
  <c r="P154" i="8" s="1"/>
  <c r="G152" i="8"/>
  <c r="G151" i="8"/>
  <c r="G150" i="8"/>
  <c r="G149" i="8"/>
  <c r="G147" i="8"/>
  <c r="P147" i="8" s="1"/>
  <c r="C146" i="8"/>
  <c r="G145" i="8"/>
  <c r="G144" i="8"/>
  <c r="G143" i="8"/>
  <c r="G142" i="8"/>
  <c r="G141" i="8"/>
  <c r="G140" i="8"/>
  <c r="P140" i="8" s="1"/>
  <c r="G139" i="8"/>
  <c r="P139" i="8" s="1"/>
  <c r="C138" i="8"/>
  <c r="G136" i="8"/>
  <c r="P136" i="8" s="1"/>
  <c r="C135" i="8"/>
  <c r="G134" i="8"/>
  <c r="G133" i="8"/>
  <c r="G132" i="8"/>
  <c r="P132" i="8" s="1"/>
  <c r="C131" i="8"/>
  <c r="G129" i="8"/>
  <c r="G128" i="8"/>
  <c r="P128" i="8" s="1"/>
  <c r="C127" i="8"/>
  <c r="C126" i="8" s="1"/>
  <c r="G125" i="8"/>
  <c r="G124" i="8"/>
  <c r="G123" i="8"/>
  <c r="G122" i="8"/>
  <c r="G121" i="8"/>
  <c r="G120" i="8"/>
  <c r="P120" i="8" s="1"/>
  <c r="G119" i="8"/>
  <c r="G118" i="8"/>
  <c r="P118" i="8" s="1"/>
  <c r="C117" i="8"/>
  <c r="C111" i="8" s="1"/>
  <c r="C110" i="8" s="1"/>
  <c r="G116" i="8"/>
  <c r="P116" i="8" s="1"/>
  <c r="G115" i="8"/>
  <c r="G114" i="8"/>
  <c r="G113" i="8"/>
  <c r="G112" i="8"/>
  <c r="P112" i="8" s="1"/>
  <c r="G107" i="8"/>
  <c r="P107" i="8" s="1"/>
  <c r="C106" i="8"/>
  <c r="G105" i="8"/>
  <c r="G104" i="8"/>
  <c r="P104" i="8" s="1"/>
  <c r="G103" i="8"/>
  <c r="P103" i="8" s="1"/>
  <c r="C102" i="8"/>
  <c r="C101" i="8" s="1"/>
  <c r="C100" i="8" s="1"/>
  <c r="G99" i="8"/>
  <c r="P99" i="8" s="1"/>
  <c r="C98" i="8"/>
  <c r="C97" i="8" s="1"/>
  <c r="C96" i="8" s="1"/>
  <c r="G94" i="8"/>
  <c r="P94" i="8" s="1"/>
  <c r="C93" i="8"/>
  <c r="G92" i="8"/>
  <c r="P92" i="8" s="1"/>
  <c r="C91" i="8"/>
  <c r="G90" i="8"/>
  <c r="G89" i="8"/>
  <c r="G88" i="8"/>
  <c r="P88" i="8" s="1"/>
  <c r="C87" i="8"/>
  <c r="G86" i="8"/>
  <c r="G85" i="8"/>
  <c r="G84" i="8"/>
  <c r="G83" i="8"/>
  <c r="P83" i="8" s="1"/>
  <c r="G82" i="8"/>
  <c r="P82" i="8" s="1"/>
  <c r="C81" i="8"/>
  <c r="G80" i="8"/>
  <c r="P80" i="8" s="1"/>
  <c r="G79" i="8"/>
  <c r="P79" i="8" s="1"/>
  <c r="C78" i="8"/>
  <c r="G77" i="8"/>
  <c r="G76" i="8"/>
  <c r="P76" i="8" s="1"/>
  <c r="G75" i="8"/>
  <c r="P75" i="8" s="1"/>
  <c r="C74" i="8"/>
  <c r="G73" i="8"/>
  <c r="P73" i="8" s="1"/>
  <c r="C72" i="8"/>
  <c r="G69" i="8"/>
  <c r="G68" i="8"/>
  <c r="P68" i="8" s="1"/>
  <c r="C67" i="8"/>
  <c r="C66" i="8" s="1"/>
  <c r="S62" i="8"/>
  <c r="G62" i="8"/>
  <c r="S61" i="8"/>
  <c r="G61" i="8"/>
  <c r="S60" i="8"/>
  <c r="G60" i="8"/>
  <c r="P60" i="8" s="1"/>
  <c r="S59" i="8"/>
  <c r="G59" i="8"/>
  <c r="P59" i="8" s="1"/>
  <c r="S58" i="8"/>
  <c r="G58" i="8"/>
  <c r="S57" i="8"/>
  <c r="G57" i="8"/>
  <c r="P57" i="8" s="1"/>
  <c r="C56" i="8"/>
  <c r="S55" i="8"/>
  <c r="G55" i="8"/>
  <c r="S54" i="8"/>
  <c r="G54" i="8"/>
  <c r="P54" i="8" s="1"/>
  <c r="S53" i="8"/>
  <c r="G53" i="8"/>
  <c r="P53" i="8" s="1"/>
  <c r="C52" i="8"/>
  <c r="C45" i="8" s="1"/>
  <c r="C44" i="8" s="1"/>
  <c r="S51" i="8"/>
  <c r="G51" i="8"/>
  <c r="S50" i="8"/>
  <c r="G50" i="8"/>
  <c r="S49" i="8"/>
  <c r="G49" i="8"/>
  <c r="S48" i="8"/>
  <c r="G48" i="8"/>
  <c r="P48" i="8" s="1"/>
  <c r="S47" i="8"/>
  <c r="G47" i="8"/>
  <c r="P47" i="8" s="1"/>
  <c r="S46" i="8"/>
  <c r="G46" i="8"/>
  <c r="P46" i="8" s="1"/>
  <c r="S42" i="8"/>
  <c r="G42" i="8"/>
  <c r="S41" i="8"/>
  <c r="G41" i="8"/>
  <c r="S40" i="8"/>
  <c r="G40" i="8"/>
  <c r="P40" i="8" s="1"/>
  <c r="C39" i="8"/>
  <c r="S38" i="8"/>
  <c r="G38" i="8"/>
  <c r="P38" i="8" s="1"/>
  <c r="S37" i="8"/>
  <c r="G37" i="8"/>
  <c r="P37" i="8" s="1"/>
  <c r="C36" i="8"/>
  <c r="S33" i="8"/>
  <c r="G33" i="8"/>
  <c r="P33" i="8" s="1"/>
  <c r="S32" i="8"/>
  <c r="G32" i="8"/>
  <c r="P32" i="8" s="1"/>
  <c r="S31" i="8"/>
  <c r="G31" i="8"/>
  <c r="P31" i="8" s="1"/>
  <c r="S30" i="8"/>
  <c r="G30" i="8"/>
  <c r="S29" i="8"/>
  <c r="G29" i="8"/>
  <c r="S28" i="8"/>
  <c r="G28" i="8"/>
  <c r="P28" i="8" s="1"/>
  <c r="C27" i="8"/>
  <c r="S26" i="8"/>
  <c r="G26" i="8"/>
  <c r="S25" i="8"/>
  <c r="G25" i="8"/>
  <c r="P25" i="8" s="1"/>
  <c r="S24" i="8"/>
  <c r="G24" i="8"/>
  <c r="P24" i="8" s="1"/>
  <c r="C23" i="8"/>
  <c r="S22" i="8"/>
  <c r="G22" i="8"/>
  <c r="P22" i="8" s="1"/>
  <c r="S21" i="8"/>
  <c r="G21" i="8"/>
  <c r="S20" i="8"/>
  <c r="G20" i="8"/>
  <c r="P20" i="8" s="1"/>
  <c r="C19" i="8"/>
  <c r="C11" i="8" s="1"/>
  <c r="S18" i="8"/>
  <c r="G18" i="8"/>
  <c r="S17" i="8"/>
  <c r="G17" i="8"/>
  <c r="S16" i="8"/>
  <c r="G16" i="8"/>
  <c r="S15" i="8"/>
  <c r="G15" i="8"/>
  <c r="S14" i="8"/>
  <c r="G14" i="8"/>
  <c r="S13" i="8"/>
  <c r="G13" i="8"/>
  <c r="P13" i="8" s="1"/>
  <c r="S12" i="8"/>
  <c r="G12" i="8"/>
  <c r="F186" i="9"/>
  <c r="D186" i="9"/>
  <c r="L180" i="9"/>
  <c r="F180" i="9"/>
  <c r="K180" i="9" s="1"/>
  <c r="L179" i="9"/>
  <c r="F179" i="9"/>
  <c r="J179" i="9" s="1"/>
  <c r="L178" i="9"/>
  <c r="F178" i="9"/>
  <c r="K178" i="9" s="1"/>
  <c r="L177" i="9"/>
  <c r="F177" i="9"/>
  <c r="J177" i="9" s="1"/>
  <c r="L176" i="9"/>
  <c r="F176" i="9"/>
  <c r="K176" i="9" s="1"/>
  <c r="L175" i="9"/>
  <c r="F175" i="9"/>
  <c r="J175" i="9" s="1"/>
  <c r="L174" i="9"/>
  <c r="F174" i="9"/>
  <c r="K174" i="9" s="1"/>
  <c r="L173" i="9"/>
  <c r="D173" i="9"/>
  <c r="F173" i="9" s="1"/>
  <c r="L172" i="9"/>
  <c r="F172" i="9"/>
  <c r="K172" i="9" s="1"/>
  <c r="L171" i="9"/>
  <c r="D171" i="9"/>
  <c r="F171" i="9" s="1"/>
  <c r="K171" i="9" s="1"/>
  <c r="L170" i="9"/>
  <c r="D170" i="9"/>
  <c r="F170" i="9" s="1"/>
  <c r="K170" i="9" s="1"/>
  <c r="L169" i="9"/>
  <c r="F169" i="9"/>
  <c r="K169" i="9" s="1"/>
  <c r="L168" i="9"/>
  <c r="F168" i="9"/>
  <c r="J168" i="9" s="1"/>
  <c r="I167" i="9"/>
  <c r="H167" i="9"/>
  <c r="H166" i="9" s="1"/>
  <c r="G167" i="9"/>
  <c r="G166" i="9" s="1"/>
  <c r="E167" i="9"/>
  <c r="E166" i="9" s="1"/>
  <c r="C167" i="9"/>
  <c r="C166" i="9" s="1"/>
  <c r="L165" i="9"/>
  <c r="F165" i="9"/>
  <c r="K165" i="9" s="1"/>
  <c r="J164" i="9"/>
  <c r="I164" i="9"/>
  <c r="H164" i="9"/>
  <c r="G164" i="9"/>
  <c r="E164" i="9"/>
  <c r="D164" i="9"/>
  <c r="C164" i="9"/>
  <c r="L163" i="9"/>
  <c r="F163" i="9"/>
  <c r="K163" i="9" s="1"/>
  <c r="L162" i="9"/>
  <c r="F162" i="9"/>
  <c r="I161" i="9"/>
  <c r="H161" i="9"/>
  <c r="G161" i="9"/>
  <c r="E161" i="9"/>
  <c r="D161" i="9"/>
  <c r="C161" i="9"/>
  <c r="L159" i="9"/>
  <c r="F159" i="9"/>
  <c r="L158" i="9"/>
  <c r="F158" i="9"/>
  <c r="K158" i="9" s="1"/>
  <c r="L157" i="9"/>
  <c r="F157" i="9"/>
  <c r="K157" i="9" s="1"/>
  <c r="L156" i="9"/>
  <c r="F156" i="9"/>
  <c r="K156" i="9" s="1"/>
  <c r="L155" i="9"/>
  <c r="F155" i="9"/>
  <c r="K155" i="9" s="1"/>
  <c r="L154" i="9"/>
  <c r="F154" i="9"/>
  <c r="K154" i="9" s="1"/>
  <c r="L153" i="9"/>
  <c r="F153" i="9"/>
  <c r="K153" i="9" s="1"/>
  <c r="L152" i="9"/>
  <c r="F152" i="9"/>
  <c r="K152" i="9" s="1"/>
  <c r="L151" i="9"/>
  <c r="F151" i="9"/>
  <c r="K151" i="9" s="1"/>
  <c r="L150" i="9"/>
  <c r="F150" i="9"/>
  <c r="K150" i="9" s="1"/>
  <c r="L149" i="9"/>
  <c r="F149" i="9"/>
  <c r="K149" i="9" s="1"/>
  <c r="L148" i="9"/>
  <c r="F148" i="9"/>
  <c r="L147" i="9"/>
  <c r="F147" i="9"/>
  <c r="K147" i="9" s="1"/>
  <c r="I146" i="9"/>
  <c r="H146" i="9"/>
  <c r="H145" i="9" s="1"/>
  <c r="H144" i="9" s="1"/>
  <c r="G146" i="9"/>
  <c r="G145" i="9" s="1"/>
  <c r="G144" i="9" s="1"/>
  <c r="J24" i="10" s="1"/>
  <c r="E146" i="9"/>
  <c r="E145" i="9" s="1"/>
  <c r="E144" i="9" s="1"/>
  <c r="D146" i="9"/>
  <c r="D145" i="9" s="1"/>
  <c r="D144" i="9" s="1"/>
  <c r="C146" i="9"/>
  <c r="C145" i="9" s="1"/>
  <c r="C144" i="9" s="1"/>
  <c r="L143" i="9"/>
  <c r="F143" i="9"/>
  <c r="K143" i="9" s="1"/>
  <c r="I142" i="9"/>
  <c r="H142" i="9"/>
  <c r="G142" i="9"/>
  <c r="E142" i="9"/>
  <c r="D142" i="9"/>
  <c r="C142" i="9"/>
  <c r="L141" i="9"/>
  <c r="L140" i="9"/>
  <c r="F140" i="9"/>
  <c r="K140" i="9" s="1"/>
  <c r="L139" i="9"/>
  <c r="F139" i="9"/>
  <c r="K139" i="9" s="1"/>
  <c r="L138" i="9"/>
  <c r="F138" i="9"/>
  <c r="K138" i="9" s="1"/>
  <c r="J137" i="9"/>
  <c r="J136" i="9" s="1"/>
  <c r="J135" i="9" s="1"/>
  <c r="I137" i="9"/>
  <c r="I136" i="9" s="1"/>
  <c r="H137" i="9"/>
  <c r="H136" i="9" s="1"/>
  <c r="H135" i="9" s="1"/>
  <c r="H128" i="9" s="1"/>
  <c r="H127" i="9" s="1"/>
  <c r="G137" i="9"/>
  <c r="G136" i="9" s="1"/>
  <c r="G135" i="9" s="1"/>
  <c r="G128" i="9" s="1"/>
  <c r="G127" i="9" s="1"/>
  <c r="E137" i="9"/>
  <c r="E136" i="9" s="1"/>
  <c r="E135" i="9" s="1"/>
  <c r="E128" i="9" s="1"/>
  <c r="E127" i="9" s="1"/>
  <c r="D137" i="9"/>
  <c r="D136" i="9" s="1"/>
  <c r="D135" i="9" s="1"/>
  <c r="C137" i="9"/>
  <c r="C136" i="9" s="1"/>
  <c r="C135" i="9" s="1"/>
  <c r="L134" i="9"/>
  <c r="F134" i="9"/>
  <c r="J134" i="9" s="1"/>
  <c r="L133" i="9"/>
  <c r="F133" i="9"/>
  <c r="L132" i="9"/>
  <c r="F132" i="9"/>
  <c r="J132" i="9" s="1"/>
  <c r="L131" i="9"/>
  <c r="F131" i="9"/>
  <c r="L130" i="9"/>
  <c r="D130" i="9"/>
  <c r="L129" i="9"/>
  <c r="F129" i="9"/>
  <c r="K129" i="9" s="1"/>
  <c r="L125" i="9"/>
  <c r="F125" i="9"/>
  <c r="K125" i="9" s="1"/>
  <c r="L124" i="9"/>
  <c r="F124" i="9"/>
  <c r="K124" i="9" s="1"/>
  <c r="L123" i="9"/>
  <c r="F123" i="9"/>
  <c r="K123" i="9" s="1"/>
  <c r="L122" i="9"/>
  <c r="F122" i="9"/>
  <c r="J122" i="9" s="1"/>
  <c r="L121" i="9"/>
  <c r="F121" i="9"/>
  <c r="K121" i="9" s="1"/>
  <c r="L120" i="9"/>
  <c r="F120" i="9"/>
  <c r="K120" i="9" s="1"/>
  <c r="L119" i="9"/>
  <c r="F119" i="9"/>
  <c r="K119" i="9" s="1"/>
  <c r="L118" i="9"/>
  <c r="F118" i="9"/>
  <c r="J118" i="9" s="1"/>
  <c r="L117" i="9"/>
  <c r="F117" i="9"/>
  <c r="K117" i="9" s="1"/>
  <c r="L116" i="9"/>
  <c r="F116" i="9"/>
  <c r="K116" i="9" s="1"/>
  <c r="L115" i="9"/>
  <c r="F115" i="9"/>
  <c r="K115" i="9" s="1"/>
  <c r="L114" i="9"/>
  <c r="F114" i="9"/>
  <c r="K114" i="9" s="1"/>
  <c r="L113" i="9"/>
  <c r="F113" i="9"/>
  <c r="K113" i="9" s="1"/>
  <c r="I112" i="9"/>
  <c r="I110" i="9" s="1"/>
  <c r="H112" i="9"/>
  <c r="H110" i="9" s="1"/>
  <c r="H109" i="9" s="1"/>
  <c r="H107" i="9" s="1"/>
  <c r="G112" i="9"/>
  <c r="G110" i="9" s="1"/>
  <c r="G109" i="9" s="1"/>
  <c r="G107" i="9" s="1"/>
  <c r="E112" i="9"/>
  <c r="E110" i="9" s="1"/>
  <c r="E109" i="9" s="1"/>
  <c r="E107" i="9" s="1"/>
  <c r="D112" i="9"/>
  <c r="D110" i="9" s="1"/>
  <c r="C112" i="9"/>
  <c r="C110" i="9" s="1"/>
  <c r="C109" i="9" s="1"/>
  <c r="C107" i="9" s="1"/>
  <c r="L111" i="9"/>
  <c r="F111" i="9"/>
  <c r="J111" i="9" s="1"/>
  <c r="L108" i="9"/>
  <c r="F108" i="9"/>
  <c r="L106" i="9"/>
  <c r="F106" i="9"/>
  <c r="K106" i="9" s="1"/>
  <c r="I105" i="9"/>
  <c r="H105" i="9"/>
  <c r="G105" i="9"/>
  <c r="E105" i="9"/>
  <c r="D105" i="9"/>
  <c r="C105" i="9"/>
  <c r="L104" i="9"/>
  <c r="F104" i="9"/>
  <c r="K104" i="9" s="1"/>
  <c r="J103" i="9"/>
  <c r="I103" i="9"/>
  <c r="H103" i="9"/>
  <c r="G103" i="9"/>
  <c r="E103" i="9"/>
  <c r="D103" i="9"/>
  <c r="C103" i="9"/>
  <c r="L102" i="9"/>
  <c r="F102" i="9"/>
  <c r="K102" i="9" s="1"/>
  <c r="L101" i="9"/>
  <c r="F101" i="9"/>
  <c r="K101" i="9" s="1"/>
  <c r="L100" i="9"/>
  <c r="F100" i="9"/>
  <c r="K100" i="9" s="1"/>
  <c r="L99" i="9"/>
  <c r="F99" i="9"/>
  <c r="K99" i="9" s="1"/>
  <c r="L98" i="9"/>
  <c r="F98" i="9"/>
  <c r="K98" i="9" s="1"/>
  <c r="L97" i="9"/>
  <c r="F97" i="9"/>
  <c r="K97" i="9" s="1"/>
  <c r="L96" i="9"/>
  <c r="F96" i="9"/>
  <c r="K96" i="9" s="1"/>
  <c r="I95" i="9"/>
  <c r="H95" i="9"/>
  <c r="H94" i="9" s="1"/>
  <c r="G95" i="9"/>
  <c r="G94" i="9" s="1"/>
  <c r="E95" i="9"/>
  <c r="E94" i="9" s="1"/>
  <c r="D95" i="9"/>
  <c r="D94" i="9" s="1"/>
  <c r="C95" i="9"/>
  <c r="C94" i="9" s="1"/>
  <c r="L93" i="9"/>
  <c r="F93" i="9"/>
  <c r="K93" i="9" s="1"/>
  <c r="L92" i="9"/>
  <c r="F92" i="9"/>
  <c r="K92" i="9" s="1"/>
  <c r="L91" i="9"/>
  <c r="F91" i="9"/>
  <c r="K91" i="9" s="1"/>
  <c r="L90" i="9"/>
  <c r="F90" i="9"/>
  <c r="K90" i="9" s="1"/>
  <c r="L89" i="9"/>
  <c r="F89" i="9"/>
  <c r="K89" i="9" s="1"/>
  <c r="I88" i="9"/>
  <c r="H88" i="9"/>
  <c r="G88" i="9"/>
  <c r="E88" i="9"/>
  <c r="D88" i="9"/>
  <c r="C88" i="9"/>
  <c r="L86" i="9"/>
  <c r="F86" i="9"/>
  <c r="F85" i="9" s="1"/>
  <c r="K85" i="9"/>
  <c r="J85" i="9"/>
  <c r="I85" i="9"/>
  <c r="H85" i="9"/>
  <c r="G85" i="9"/>
  <c r="E85" i="9"/>
  <c r="D85" i="9"/>
  <c r="C85" i="9"/>
  <c r="L83" i="9"/>
  <c r="F83" i="9"/>
  <c r="F82" i="9" s="1"/>
  <c r="F81" i="9" s="1"/>
  <c r="I82" i="9"/>
  <c r="H82" i="9"/>
  <c r="H81" i="9" s="1"/>
  <c r="G82" i="9"/>
  <c r="G81" i="9" s="1"/>
  <c r="E82" i="9"/>
  <c r="E81" i="9" s="1"/>
  <c r="D82" i="9"/>
  <c r="D81" i="9" s="1"/>
  <c r="C82" i="9"/>
  <c r="C81" i="9" s="1"/>
  <c r="L80" i="9"/>
  <c r="F80" i="9"/>
  <c r="K80" i="9" s="1"/>
  <c r="L79" i="9"/>
  <c r="F79" i="9"/>
  <c r="J79" i="9" s="1"/>
  <c r="L78" i="9"/>
  <c r="F78" i="9"/>
  <c r="K78" i="9" s="1"/>
  <c r="L77" i="9"/>
  <c r="F77" i="9"/>
  <c r="J77" i="9" s="1"/>
  <c r="L76" i="9"/>
  <c r="F76" i="9"/>
  <c r="K76" i="9" s="1"/>
  <c r="L75" i="9"/>
  <c r="F75" i="9"/>
  <c r="J75" i="9" s="1"/>
  <c r="L74" i="9"/>
  <c r="F74" i="9"/>
  <c r="K74" i="9" s="1"/>
  <c r="L73" i="9"/>
  <c r="F73" i="9"/>
  <c r="J73" i="9" s="1"/>
  <c r="L72" i="9"/>
  <c r="F72" i="9"/>
  <c r="K72" i="9" s="1"/>
  <c r="L71" i="9"/>
  <c r="F71" i="9"/>
  <c r="J71" i="9" s="1"/>
  <c r="L70" i="9"/>
  <c r="F70" i="9"/>
  <c r="K70" i="9" s="1"/>
  <c r="L69" i="9"/>
  <c r="F69" i="9"/>
  <c r="J69" i="9" s="1"/>
  <c r="L68" i="9"/>
  <c r="F68" i="9"/>
  <c r="K68" i="9" s="1"/>
  <c r="L67" i="9"/>
  <c r="F67" i="9"/>
  <c r="J67" i="9" s="1"/>
  <c r="L66" i="9"/>
  <c r="F66" i="9"/>
  <c r="J66" i="9" s="1"/>
  <c r="L65" i="9"/>
  <c r="F65" i="9"/>
  <c r="J65" i="9" s="1"/>
  <c r="L64" i="9"/>
  <c r="F64" i="9"/>
  <c r="K64" i="9" s="1"/>
  <c r="L63" i="9"/>
  <c r="F63" i="9"/>
  <c r="J63" i="9" s="1"/>
  <c r="L62" i="9"/>
  <c r="F62" i="9"/>
  <c r="K62" i="9" s="1"/>
  <c r="L61" i="9"/>
  <c r="F61" i="9"/>
  <c r="J61" i="9" s="1"/>
  <c r="L60" i="9"/>
  <c r="F60" i="9"/>
  <c r="K60" i="9" s="1"/>
  <c r="L59" i="9"/>
  <c r="F59" i="9"/>
  <c r="J59" i="9" s="1"/>
  <c r="L58" i="9"/>
  <c r="F58" i="9"/>
  <c r="K58" i="9" s="1"/>
  <c r="L57" i="9"/>
  <c r="F57" i="9"/>
  <c r="J57" i="9" s="1"/>
  <c r="L56" i="9"/>
  <c r="F56" i="9"/>
  <c r="J56" i="9" s="1"/>
  <c r="L55" i="9"/>
  <c r="F55" i="9"/>
  <c r="J55" i="9" s="1"/>
  <c r="L54" i="9"/>
  <c r="F54" i="9"/>
  <c r="K54" i="9" s="1"/>
  <c r="L53" i="9"/>
  <c r="F53" i="9"/>
  <c r="J53" i="9" s="1"/>
  <c r="L52" i="9"/>
  <c r="F52" i="9"/>
  <c r="K52" i="9" s="1"/>
  <c r="L51" i="9"/>
  <c r="F51" i="9"/>
  <c r="J51" i="9" s="1"/>
  <c r="L50" i="9"/>
  <c r="F50" i="9"/>
  <c r="J50" i="9" s="1"/>
  <c r="L49" i="9"/>
  <c r="F49" i="9"/>
  <c r="J49" i="9" s="1"/>
  <c r="L48" i="9"/>
  <c r="F48" i="9"/>
  <c r="K48" i="9" s="1"/>
  <c r="L47" i="9"/>
  <c r="F47" i="9"/>
  <c r="J47" i="9" s="1"/>
  <c r="L46" i="9"/>
  <c r="F46" i="9"/>
  <c r="I45" i="9"/>
  <c r="H45" i="9"/>
  <c r="G45" i="9"/>
  <c r="E45" i="9"/>
  <c r="D45" i="9"/>
  <c r="C45" i="9"/>
  <c r="L44" i="9"/>
  <c r="F44" i="9"/>
  <c r="K44" i="9" s="1"/>
  <c r="L43" i="9"/>
  <c r="F43" i="9"/>
  <c r="K43" i="9" s="1"/>
  <c r="L42" i="9"/>
  <c r="F42" i="9"/>
  <c r="K42" i="9" s="1"/>
  <c r="L41" i="9"/>
  <c r="F41" i="9"/>
  <c r="K41" i="9" s="1"/>
  <c r="L40" i="9"/>
  <c r="F40" i="9"/>
  <c r="K40" i="9" s="1"/>
  <c r="I39" i="9"/>
  <c r="H39" i="9"/>
  <c r="G39" i="9"/>
  <c r="E39" i="9"/>
  <c r="D39" i="9"/>
  <c r="C39" i="9"/>
  <c r="L38" i="9"/>
  <c r="F38" i="9"/>
  <c r="K38" i="9" s="1"/>
  <c r="L37" i="9"/>
  <c r="F37" i="9"/>
  <c r="K37" i="9" s="1"/>
  <c r="L36" i="9"/>
  <c r="F36" i="9"/>
  <c r="K36" i="9" s="1"/>
  <c r="L35" i="9"/>
  <c r="F35" i="9"/>
  <c r="K35" i="9" s="1"/>
  <c r="J34" i="9"/>
  <c r="I34" i="9"/>
  <c r="H34" i="9"/>
  <c r="G34" i="9"/>
  <c r="E34" i="9"/>
  <c r="D34" i="9"/>
  <c r="C34" i="9"/>
  <c r="L33" i="9"/>
  <c r="F33" i="9"/>
  <c r="K33" i="9" s="1"/>
  <c r="L32" i="9"/>
  <c r="F32" i="9"/>
  <c r="K32" i="9" s="1"/>
  <c r="L31" i="9"/>
  <c r="F31" i="9"/>
  <c r="K31" i="9" s="1"/>
  <c r="L30" i="9"/>
  <c r="F30" i="9"/>
  <c r="L29" i="9"/>
  <c r="F29" i="9"/>
  <c r="K29" i="9" s="1"/>
  <c r="J28" i="9"/>
  <c r="I28" i="9"/>
  <c r="H28" i="9"/>
  <c r="G28" i="9"/>
  <c r="E28" i="9"/>
  <c r="D28" i="9"/>
  <c r="C28" i="9"/>
  <c r="L26" i="9"/>
  <c r="F26" i="9"/>
  <c r="K26" i="9" s="1"/>
  <c r="L25" i="9"/>
  <c r="F25" i="9"/>
  <c r="J25" i="9" s="1"/>
  <c r="L24" i="9"/>
  <c r="F24" i="9"/>
  <c r="K24" i="9" s="1"/>
  <c r="L23" i="9"/>
  <c r="F23" i="9"/>
  <c r="J23" i="9" s="1"/>
  <c r="L22" i="9"/>
  <c r="F22" i="9"/>
  <c r="K22" i="9" s="1"/>
  <c r="L21" i="9"/>
  <c r="F21" i="9"/>
  <c r="J21" i="9" s="1"/>
  <c r="L20" i="9"/>
  <c r="F20" i="9"/>
  <c r="K20" i="9" s="1"/>
  <c r="L19" i="9"/>
  <c r="F19" i="9"/>
  <c r="J19" i="9" s="1"/>
  <c r="L18" i="9"/>
  <c r="F18" i="9"/>
  <c r="J18" i="9" s="1"/>
  <c r="L17" i="9"/>
  <c r="F17" i="9"/>
  <c r="J17" i="9" s="1"/>
  <c r="L16" i="9"/>
  <c r="F16" i="9"/>
  <c r="K16" i="9" s="1"/>
  <c r="L15" i="9"/>
  <c r="F15" i="9"/>
  <c r="I14" i="9"/>
  <c r="I13" i="9" s="1"/>
  <c r="H14" i="9"/>
  <c r="H13" i="9" s="1"/>
  <c r="G14" i="9"/>
  <c r="G13" i="9" s="1"/>
  <c r="E14" i="9"/>
  <c r="E13" i="9" s="1"/>
  <c r="D14" i="9"/>
  <c r="D13" i="9" s="1"/>
  <c r="C14" i="9"/>
  <c r="C13" i="9" s="1"/>
  <c r="Y166" i="5"/>
  <c r="AJ166" i="5" s="1"/>
  <c r="AW166" i="5" s="1"/>
  <c r="Y120" i="5"/>
  <c r="AJ120" i="5" s="1"/>
  <c r="AW120" i="5" s="1"/>
  <c r="Y80" i="5"/>
  <c r="AM80" i="5" l="1"/>
  <c r="AJ80" i="5"/>
  <c r="AW80" i="5" s="1"/>
  <c r="AM180" i="5"/>
  <c r="AE3" i="6"/>
  <c r="AE421" i="6"/>
  <c r="AF3" i="6"/>
  <c r="AF421" i="6"/>
  <c r="AK59" i="6"/>
  <c r="AG2" i="6"/>
  <c r="AG417" i="6"/>
  <c r="AB2" i="6"/>
  <c r="AB417" i="6"/>
  <c r="AC2" i="6"/>
  <c r="AC417" i="6"/>
  <c r="AD3" i="6"/>
  <c r="AD421" i="6"/>
  <c r="AA421" i="6"/>
  <c r="AV169" i="5"/>
  <c r="AM166" i="5"/>
  <c r="AO172" i="5"/>
  <c r="AC168" i="5"/>
  <c r="AQ169" i="5"/>
  <c r="AA79" i="5"/>
  <c r="AO80" i="5"/>
  <c r="AN179" i="5"/>
  <c r="AD168" i="5"/>
  <c r="AR169" i="5"/>
  <c r="AR86" i="5"/>
  <c r="AQ89" i="5"/>
  <c r="AP96" i="5"/>
  <c r="AM25" i="5"/>
  <c r="AM120" i="5"/>
  <c r="AB168" i="5"/>
  <c r="AP169" i="5"/>
  <c r="AO97" i="5"/>
  <c r="AR77" i="5"/>
  <c r="AN112" i="5"/>
  <c r="AK78" i="5"/>
  <c r="AK91" i="5"/>
  <c r="AK84" i="5" s="1"/>
  <c r="AK144" i="5"/>
  <c r="AK108" i="5"/>
  <c r="AK105" i="5" s="1"/>
  <c r="AK134" i="5"/>
  <c r="Y110" i="5"/>
  <c r="AD85" i="5"/>
  <c r="AC85" i="5"/>
  <c r="AB92" i="5"/>
  <c r="AD42" i="5"/>
  <c r="AJ42" i="5" s="1"/>
  <c r="AA92" i="5"/>
  <c r="Y79" i="5"/>
  <c r="Z110" i="5"/>
  <c r="AB24" i="5"/>
  <c r="AD24" i="5"/>
  <c r="AC24" i="5"/>
  <c r="AA105" i="5"/>
  <c r="AB105" i="5"/>
  <c r="AC105" i="5"/>
  <c r="AD105" i="5"/>
  <c r="AE105" i="5"/>
  <c r="Y169" i="5"/>
  <c r="Y144" i="5"/>
  <c r="AA169" i="5"/>
  <c r="K69" i="9"/>
  <c r="G27" i="9"/>
  <c r="G12" i="9" s="1"/>
  <c r="G11" i="9" s="1"/>
  <c r="G10" i="9" s="1"/>
  <c r="G9" i="9" s="1"/>
  <c r="E27" i="9"/>
  <c r="E12" i="9" s="1"/>
  <c r="E11" i="9" s="1"/>
  <c r="E10" i="9" s="1"/>
  <c r="E9" i="9" s="1"/>
  <c r="C322" i="8"/>
  <c r="L39" i="9"/>
  <c r="J120" i="9"/>
  <c r="H27" i="9"/>
  <c r="H12" i="9" s="1"/>
  <c r="H11" i="9" s="1"/>
  <c r="H10" i="9" s="1"/>
  <c r="H9" i="9" s="1"/>
  <c r="F161" i="9"/>
  <c r="K161" i="9" s="1"/>
  <c r="K50" i="9"/>
  <c r="F322" i="8"/>
  <c r="L167" i="9"/>
  <c r="C242" i="8"/>
  <c r="C241" i="8" s="1"/>
  <c r="G251" i="8"/>
  <c r="J251" i="8" s="1"/>
  <c r="G312" i="8"/>
  <c r="P312" i="8" s="1"/>
  <c r="L142" i="9"/>
  <c r="E317" i="8"/>
  <c r="E126" i="9"/>
  <c r="C43" i="8"/>
  <c r="D322" i="8"/>
  <c r="F28" i="9"/>
  <c r="K28" i="9" s="1"/>
  <c r="K47" i="9"/>
  <c r="F258" i="8"/>
  <c r="F250" i="8" s="1"/>
  <c r="K79" i="9"/>
  <c r="C87" i="9"/>
  <c r="C84" i="9" s="1"/>
  <c r="C184" i="8"/>
  <c r="L45" i="9"/>
  <c r="L82" i="9"/>
  <c r="K30" i="9"/>
  <c r="C27" i="9"/>
  <c r="C12" i="9" s="1"/>
  <c r="C11" i="9" s="1"/>
  <c r="C10" i="9" s="1"/>
  <c r="C9" i="9" s="1"/>
  <c r="K56" i="9"/>
  <c r="K63" i="9"/>
  <c r="K66" i="9"/>
  <c r="J72" i="9"/>
  <c r="G87" i="9"/>
  <c r="G84" i="9" s="1"/>
  <c r="J102" i="9"/>
  <c r="L105" i="9"/>
  <c r="J162" i="9"/>
  <c r="J161" i="9" s="1"/>
  <c r="K111" i="9"/>
  <c r="K122" i="9"/>
  <c r="C160" i="9"/>
  <c r="J54" i="9"/>
  <c r="J70" i="9"/>
  <c r="G323" i="8"/>
  <c r="P323" i="8" s="1"/>
  <c r="L14" i="9"/>
  <c r="K18" i="9"/>
  <c r="K57" i="9"/>
  <c r="J64" i="9"/>
  <c r="D87" i="9"/>
  <c r="D84" i="9" s="1"/>
  <c r="J43" i="9"/>
  <c r="J48" i="9"/>
  <c r="K73" i="9"/>
  <c r="J80" i="9"/>
  <c r="J114" i="9"/>
  <c r="C130" i="8"/>
  <c r="L85" i="9"/>
  <c r="H160" i="9"/>
  <c r="F45" i="9"/>
  <c r="K45" i="9" s="1"/>
  <c r="K118" i="9"/>
  <c r="L161" i="9"/>
  <c r="E160" i="9"/>
  <c r="K168" i="9"/>
  <c r="J275" i="8"/>
  <c r="P275" i="8"/>
  <c r="J266" i="8"/>
  <c r="P266" i="8"/>
  <c r="J310" i="8"/>
  <c r="P310" i="8"/>
  <c r="J42" i="8"/>
  <c r="P42" i="8"/>
  <c r="J89" i="8"/>
  <c r="P89" i="8"/>
  <c r="J282" i="8"/>
  <c r="P282" i="8"/>
  <c r="J52" i="9"/>
  <c r="K61" i="9"/>
  <c r="J68" i="9"/>
  <c r="K77" i="9"/>
  <c r="J83" i="9"/>
  <c r="J82" i="9" s="1"/>
  <c r="J81" i="9" s="1"/>
  <c r="J91" i="9"/>
  <c r="H87" i="9"/>
  <c r="H84" i="9" s="1"/>
  <c r="J98" i="9"/>
  <c r="K132" i="9"/>
  <c r="G126" i="9"/>
  <c r="K177" i="9"/>
  <c r="J49" i="8"/>
  <c r="P49" i="8"/>
  <c r="T49" i="8" s="1"/>
  <c r="J90" i="8"/>
  <c r="P90" i="8"/>
  <c r="J114" i="8"/>
  <c r="P114" i="8"/>
  <c r="J122" i="8"/>
  <c r="P122" i="8"/>
  <c r="J141" i="8"/>
  <c r="P141" i="8"/>
  <c r="J150" i="8"/>
  <c r="P150" i="8"/>
  <c r="J216" i="8"/>
  <c r="P216" i="8"/>
  <c r="J240" i="8"/>
  <c r="P240" i="8"/>
  <c r="J259" i="8"/>
  <c r="P259" i="8"/>
  <c r="J267" i="8"/>
  <c r="P267" i="8"/>
  <c r="J283" i="8"/>
  <c r="P283" i="8"/>
  <c r="J291" i="8"/>
  <c r="P291" i="8"/>
  <c r="J296" i="8"/>
  <c r="P296" i="8"/>
  <c r="J306" i="8"/>
  <c r="P306" i="8"/>
  <c r="J311" i="8"/>
  <c r="P311" i="8"/>
  <c r="M335" i="8"/>
  <c r="J358" i="8"/>
  <c r="P358" i="8"/>
  <c r="J371" i="8"/>
  <c r="P371" i="8"/>
  <c r="J397" i="8"/>
  <c r="P397" i="8"/>
  <c r="J405" i="8"/>
  <c r="P405" i="8"/>
  <c r="J14" i="8"/>
  <c r="P14" i="8"/>
  <c r="T14" i="8" s="1"/>
  <c r="J404" i="8"/>
  <c r="P404" i="8"/>
  <c r="K23" i="9"/>
  <c r="J41" i="9"/>
  <c r="K59" i="9"/>
  <c r="K75" i="9"/>
  <c r="K83" i="9"/>
  <c r="L88" i="9"/>
  <c r="L95" i="9"/>
  <c r="L103" i="9"/>
  <c r="L112" i="9"/>
  <c r="J129" i="9"/>
  <c r="H126" i="9"/>
  <c r="J15" i="8"/>
  <c r="P15" i="8"/>
  <c r="T15" i="8" s="1"/>
  <c r="C10" i="8"/>
  <c r="J58" i="8"/>
  <c r="P58" i="8"/>
  <c r="T58" i="8" s="1"/>
  <c r="J62" i="8"/>
  <c r="P62" i="8"/>
  <c r="T62" i="8" s="1"/>
  <c r="J115" i="8"/>
  <c r="P115" i="8"/>
  <c r="J123" i="8"/>
  <c r="P123" i="8"/>
  <c r="J133" i="8"/>
  <c r="P133" i="8"/>
  <c r="J142" i="8"/>
  <c r="P142" i="8"/>
  <c r="J151" i="8"/>
  <c r="P151" i="8"/>
  <c r="J189" i="8"/>
  <c r="P189" i="8"/>
  <c r="J199" i="8"/>
  <c r="P199" i="8"/>
  <c r="J226" i="8"/>
  <c r="P226" i="8"/>
  <c r="J234" i="8"/>
  <c r="P234" i="8"/>
  <c r="J260" i="8"/>
  <c r="P260" i="8"/>
  <c r="J268" i="8"/>
  <c r="P268" i="8"/>
  <c r="J284" i="8"/>
  <c r="P284" i="8"/>
  <c r="J292" i="8"/>
  <c r="P292" i="8"/>
  <c r="J302" i="8"/>
  <c r="P302" i="8"/>
  <c r="J307" i="8"/>
  <c r="P307" i="8"/>
  <c r="J327" i="8"/>
  <c r="P327" i="8"/>
  <c r="J341" i="8"/>
  <c r="P341" i="8"/>
  <c r="J359" i="8"/>
  <c r="P359" i="8"/>
  <c r="J377" i="8"/>
  <c r="P377" i="8"/>
  <c r="J390" i="8"/>
  <c r="P390" i="8"/>
  <c r="J406" i="8"/>
  <c r="P406" i="8"/>
  <c r="J121" i="8"/>
  <c r="P121" i="8"/>
  <c r="J305" i="8"/>
  <c r="P305" i="8"/>
  <c r="J29" i="8"/>
  <c r="P29" i="8"/>
  <c r="T29" i="8" s="1"/>
  <c r="J50" i="8"/>
  <c r="P50" i="8"/>
  <c r="T50" i="8" s="1"/>
  <c r="J84" i="8"/>
  <c r="P84" i="8"/>
  <c r="J124" i="8"/>
  <c r="P124" i="8"/>
  <c r="J134" i="8"/>
  <c r="P134" i="8"/>
  <c r="J143" i="8"/>
  <c r="P143" i="8"/>
  <c r="J152" i="8"/>
  <c r="P152" i="8"/>
  <c r="J161" i="8"/>
  <c r="P161" i="8"/>
  <c r="J171" i="8"/>
  <c r="P171" i="8"/>
  <c r="J190" i="8"/>
  <c r="P190" i="8"/>
  <c r="J209" i="8"/>
  <c r="P209" i="8"/>
  <c r="D242" i="8"/>
  <c r="D241" i="8" s="1"/>
  <c r="D7" i="8" s="1"/>
  <c r="J246" i="8"/>
  <c r="P246" i="8"/>
  <c r="J252" i="8"/>
  <c r="P252" i="8"/>
  <c r="J256" i="8"/>
  <c r="P256" i="8"/>
  <c r="J278" i="8"/>
  <c r="P278" i="8"/>
  <c r="J318" i="8"/>
  <c r="P318" i="8"/>
  <c r="J328" i="8"/>
  <c r="P328" i="8"/>
  <c r="J332" i="8"/>
  <c r="P332" i="8"/>
  <c r="J342" i="8"/>
  <c r="P342" i="8"/>
  <c r="J365" i="8"/>
  <c r="P365" i="8"/>
  <c r="J378" i="8"/>
  <c r="P378" i="8"/>
  <c r="J391" i="8"/>
  <c r="P391" i="8"/>
  <c r="I6" i="8"/>
  <c r="M7" i="8"/>
  <c r="J18" i="8"/>
  <c r="P18" i="8"/>
  <c r="T18" i="8" s="1"/>
  <c r="J113" i="8"/>
  <c r="P113" i="8"/>
  <c r="J321" i="8"/>
  <c r="P321" i="8"/>
  <c r="J383" i="8"/>
  <c r="P383" i="8"/>
  <c r="K17" i="9"/>
  <c r="J46" i="9"/>
  <c r="K55" i="9"/>
  <c r="J62" i="9"/>
  <c r="K71" i="9"/>
  <c r="J78" i="9"/>
  <c r="J89" i="9"/>
  <c r="J96" i="9"/>
  <c r="J116" i="9"/>
  <c r="J124" i="9"/>
  <c r="D128" i="9"/>
  <c r="D127" i="9" s="1"/>
  <c r="D126" i="9" s="1"/>
  <c r="K162" i="9"/>
  <c r="J172" i="9"/>
  <c r="K175" i="9"/>
  <c r="AA12" i="8"/>
  <c r="AC12" i="8" s="1"/>
  <c r="P12" i="8"/>
  <c r="J16" i="8"/>
  <c r="P16" i="8"/>
  <c r="T16" i="8" s="1"/>
  <c r="J55" i="8"/>
  <c r="P55" i="8"/>
  <c r="T55" i="8" s="1"/>
  <c r="J77" i="8"/>
  <c r="P77" i="8"/>
  <c r="J85" i="8"/>
  <c r="P85" i="8"/>
  <c r="J105" i="8"/>
  <c r="P105" i="8"/>
  <c r="J125" i="8"/>
  <c r="P125" i="8"/>
  <c r="J144" i="8"/>
  <c r="P144" i="8"/>
  <c r="J172" i="8"/>
  <c r="P172" i="8"/>
  <c r="J210" i="8"/>
  <c r="P210" i="8"/>
  <c r="J247" i="8"/>
  <c r="P247" i="8"/>
  <c r="J253" i="8"/>
  <c r="P253" i="8"/>
  <c r="J262" i="8"/>
  <c r="P262" i="8"/>
  <c r="J270" i="8"/>
  <c r="P270" i="8"/>
  <c r="J286" i="8"/>
  <c r="P286" i="8"/>
  <c r="E322" i="8"/>
  <c r="J329" i="8"/>
  <c r="P329" i="8"/>
  <c r="O335" i="8"/>
  <c r="J343" i="8"/>
  <c r="P343" i="8"/>
  <c r="J353" i="8"/>
  <c r="P353" i="8"/>
  <c r="J366" i="8"/>
  <c r="P366" i="8"/>
  <c r="J374" i="8"/>
  <c r="P374" i="8"/>
  <c r="J379" i="8"/>
  <c r="P379" i="8"/>
  <c r="J400" i="8"/>
  <c r="P400" i="8"/>
  <c r="J13" i="10"/>
  <c r="J7" i="10" s="1"/>
  <c r="N6" i="8"/>
  <c r="O7" i="8"/>
  <c r="J300" i="8"/>
  <c r="P300" i="8"/>
  <c r="J339" i="8"/>
  <c r="P339" i="8"/>
  <c r="K9" i="10"/>
  <c r="L34" i="9"/>
  <c r="K46" i="9"/>
  <c r="K53" i="9"/>
  <c r="J60" i="9"/>
  <c r="J76" i="9"/>
  <c r="J21" i="8"/>
  <c r="P21" i="8"/>
  <c r="T21" i="8" s="1"/>
  <c r="J51" i="8"/>
  <c r="P51" i="8"/>
  <c r="T51" i="8" s="1"/>
  <c r="J86" i="8"/>
  <c r="P86" i="8"/>
  <c r="J145" i="8"/>
  <c r="P145" i="8"/>
  <c r="J155" i="8"/>
  <c r="P155" i="8"/>
  <c r="J173" i="8"/>
  <c r="P173" i="8"/>
  <c r="J183" i="8"/>
  <c r="P183" i="8"/>
  <c r="J202" i="8"/>
  <c r="P202" i="8"/>
  <c r="J211" i="8"/>
  <c r="P211" i="8"/>
  <c r="C220" i="8"/>
  <c r="J229" i="8"/>
  <c r="P229" i="8"/>
  <c r="F242" i="8"/>
  <c r="F241" i="8" s="1"/>
  <c r="J248" i="8"/>
  <c r="P248" i="8"/>
  <c r="J263" i="8"/>
  <c r="P263" i="8"/>
  <c r="J271" i="8"/>
  <c r="P271" i="8"/>
  <c r="J287" i="8"/>
  <c r="P287" i="8"/>
  <c r="J316" i="8"/>
  <c r="P316" i="8"/>
  <c r="J330" i="8"/>
  <c r="P330" i="8"/>
  <c r="J349" i="8"/>
  <c r="P349" i="8"/>
  <c r="J354" i="8"/>
  <c r="P354" i="8"/>
  <c r="J362" i="8"/>
  <c r="P362" i="8"/>
  <c r="J367" i="8"/>
  <c r="P367" i="8"/>
  <c r="J375" i="8"/>
  <c r="P375" i="8"/>
  <c r="J380" i="8"/>
  <c r="P380" i="8"/>
  <c r="G384" i="8"/>
  <c r="P384" i="8" s="1"/>
  <c r="P385" i="8"/>
  <c r="J401" i="8"/>
  <c r="P401" i="8"/>
  <c r="J149" i="8"/>
  <c r="P149" i="8"/>
  <c r="J232" i="8"/>
  <c r="P232" i="8"/>
  <c r="J295" i="8"/>
  <c r="P295" i="8"/>
  <c r="J396" i="8"/>
  <c r="P396" i="8"/>
  <c r="C128" i="9"/>
  <c r="C127" i="9" s="1"/>
  <c r="C126" i="9" s="1"/>
  <c r="K11" i="10"/>
  <c r="K51" i="9"/>
  <c r="J58" i="9"/>
  <c r="K67" i="9"/>
  <c r="J74" i="9"/>
  <c r="E87" i="9"/>
  <c r="E84" i="9" s="1"/>
  <c r="J93" i="9"/>
  <c r="J100" i="9"/>
  <c r="K134" i="9"/>
  <c r="K179" i="9"/>
  <c r="J17" i="8"/>
  <c r="P17" i="8"/>
  <c r="T17" i="8" s="1"/>
  <c r="J26" i="8"/>
  <c r="P26" i="8"/>
  <c r="J30" i="8"/>
  <c r="P30" i="8"/>
  <c r="C35" i="8"/>
  <c r="C34" i="8" s="1"/>
  <c r="J41" i="8"/>
  <c r="P41" i="8"/>
  <c r="J69" i="8"/>
  <c r="P69" i="8"/>
  <c r="C95" i="8"/>
  <c r="J119" i="8"/>
  <c r="P119" i="8"/>
  <c r="C165" i="8"/>
  <c r="J174" i="8"/>
  <c r="P174" i="8"/>
  <c r="J203" i="8"/>
  <c r="P203" i="8"/>
  <c r="J212" i="8"/>
  <c r="P212" i="8"/>
  <c r="J244" i="8"/>
  <c r="P244" i="8"/>
  <c r="J276" i="8"/>
  <c r="P276" i="8"/>
  <c r="J331" i="8"/>
  <c r="P331" i="8"/>
  <c r="E334" i="8"/>
  <c r="J345" i="8"/>
  <c r="P345" i="8"/>
  <c r="J350" i="8"/>
  <c r="P350" i="8"/>
  <c r="J355" i="8"/>
  <c r="P355" i="8"/>
  <c r="J363" i="8"/>
  <c r="P363" i="8"/>
  <c r="J386" i="8"/>
  <c r="P386" i="8"/>
  <c r="J402" i="8"/>
  <c r="P402" i="8"/>
  <c r="K8" i="10"/>
  <c r="L110" i="9"/>
  <c r="J61" i="8"/>
  <c r="P61" i="8"/>
  <c r="T61" i="8" s="1"/>
  <c r="J197" i="8"/>
  <c r="P197" i="8"/>
  <c r="J290" i="8"/>
  <c r="P290" i="8"/>
  <c r="J325" i="8"/>
  <c r="P325" i="8"/>
  <c r="J370" i="8"/>
  <c r="P370" i="8"/>
  <c r="K49" i="9"/>
  <c r="K65" i="9"/>
  <c r="F88" i="9"/>
  <c r="K88" i="9" s="1"/>
  <c r="F95" i="9"/>
  <c r="F94" i="9" s="1"/>
  <c r="F137" i="9"/>
  <c r="F136" i="9" s="1"/>
  <c r="F135" i="9" s="1"/>
  <c r="J129" i="8"/>
  <c r="P129" i="8"/>
  <c r="C176" i="8"/>
  <c r="J223" i="8"/>
  <c r="P223" i="8"/>
  <c r="D250" i="8"/>
  <c r="C250" i="8"/>
  <c r="J265" i="8"/>
  <c r="P265" i="8"/>
  <c r="J289" i="8"/>
  <c r="P289" i="8"/>
  <c r="J299" i="8"/>
  <c r="P299" i="8"/>
  <c r="J304" i="8"/>
  <c r="P304" i="8"/>
  <c r="J309" i="8"/>
  <c r="P309" i="8"/>
  <c r="J313" i="8"/>
  <c r="P313" i="8"/>
  <c r="J324" i="8"/>
  <c r="P324" i="8"/>
  <c r="F334" i="8"/>
  <c r="J338" i="8"/>
  <c r="P338" i="8"/>
  <c r="J351" i="8"/>
  <c r="P351" i="8"/>
  <c r="J369" i="8"/>
  <c r="P369" i="8"/>
  <c r="J382" i="8"/>
  <c r="P382" i="8"/>
  <c r="J387" i="8"/>
  <c r="P387" i="8"/>
  <c r="J403" i="8"/>
  <c r="P403" i="8"/>
  <c r="L6" i="8"/>
  <c r="Q7" i="8"/>
  <c r="Q6" i="12"/>
  <c r="Q413" i="12" s="1"/>
  <c r="M6" i="12"/>
  <c r="P7" i="12"/>
  <c r="G6" i="12"/>
  <c r="J7" i="12"/>
  <c r="T57" i="8"/>
  <c r="J166" i="8"/>
  <c r="G165" i="8"/>
  <c r="J37" i="8"/>
  <c r="G36" i="8"/>
  <c r="S45" i="8"/>
  <c r="S44" i="8" s="1"/>
  <c r="S43" i="8" s="1"/>
  <c r="J75" i="8"/>
  <c r="G74" i="8"/>
  <c r="J92" i="8"/>
  <c r="G91" i="8"/>
  <c r="J112" i="8"/>
  <c r="J128" i="8"/>
  <c r="G127" i="8"/>
  <c r="P127" i="8" s="1"/>
  <c r="J132" i="8"/>
  <c r="G131" i="8"/>
  <c r="P131" i="8" s="1"/>
  <c r="J157" i="8"/>
  <c r="G156" i="8"/>
  <c r="J160" i="8"/>
  <c r="G159" i="8"/>
  <c r="J178" i="8"/>
  <c r="G177" i="8"/>
  <c r="P177" i="8" s="1"/>
  <c r="J182" i="8"/>
  <c r="G181" i="8"/>
  <c r="J219" i="8"/>
  <c r="G218" i="8"/>
  <c r="G243" i="8"/>
  <c r="E242" i="8"/>
  <c r="E241" i="8" s="1"/>
  <c r="E7" i="8" s="1"/>
  <c r="G258" i="8"/>
  <c r="P258" i="8" s="1"/>
  <c r="J272" i="8"/>
  <c r="G274" i="8"/>
  <c r="J288" i="8"/>
  <c r="E280" i="8"/>
  <c r="E279" i="8" s="1"/>
  <c r="J340" i="8"/>
  <c r="J348" i="8"/>
  <c r="J373" i="8"/>
  <c r="J393" i="8"/>
  <c r="S11" i="8"/>
  <c r="S10" i="8" s="1"/>
  <c r="S9" i="8" s="1"/>
  <c r="T32" i="8"/>
  <c r="J32" i="8"/>
  <c r="J76" i="8"/>
  <c r="J79" i="8"/>
  <c r="G78" i="8"/>
  <c r="J82" i="8"/>
  <c r="G81" i="8"/>
  <c r="J103" i="8"/>
  <c r="G102" i="8"/>
  <c r="P102" i="8" s="1"/>
  <c r="J139" i="8"/>
  <c r="G138" i="8"/>
  <c r="J154" i="8"/>
  <c r="G185" i="8"/>
  <c r="P185" i="8" s="1"/>
  <c r="J186" i="8"/>
  <c r="C206" i="8"/>
  <c r="C191" i="8" s="1"/>
  <c r="J257" i="8"/>
  <c r="F317" i="8"/>
  <c r="J394" i="8"/>
  <c r="T13" i="8"/>
  <c r="J13" i="8"/>
  <c r="T25" i="8"/>
  <c r="J25" i="8"/>
  <c r="J28" i="8"/>
  <c r="G27" i="8"/>
  <c r="T48" i="8"/>
  <c r="J48" i="8"/>
  <c r="J53" i="8"/>
  <c r="G52" i="8"/>
  <c r="T60" i="8"/>
  <c r="J60" i="8"/>
  <c r="G146" i="8"/>
  <c r="J147" i="8"/>
  <c r="J167" i="8"/>
  <c r="J196" i="8"/>
  <c r="G195" i="8"/>
  <c r="P195" i="8" s="1"/>
  <c r="J198" i="8"/>
  <c r="J201" i="8"/>
  <c r="G200" i="8"/>
  <c r="J208" i="8"/>
  <c r="G207" i="8"/>
  <c r="P207" i="8" s="1"/>
  <c r="G239" i="8"/>
  <c r="J261" i="8"/>
  <c r="G294" i="8"/>
  <c r="J301" i="8"/>
  <c r="J314" i="8"/>
  <c r="G335" i="8"/>
  <c r="J346" i="8"/>
  <c r="J360" i="8"/>
  <c r="J389" i="8"/>
  <c r="J399" i="8"/>
  <c r="J407" i="8"/>
  <c r="J20" i="8"/>
  <c r="G19" i="8"/>
  <c r="G11" i="8" s="1"/>
  <c r="P11" i="8" s="1"/>
  <c r="T22" i="8"/>
  <c r="J22" i="8"/>
  <c r="T28" i="8"/>
  <c r="J38" i="8"/>
  <c r="T53" i="8"/>
  <c r="C71" i="8"/>
  <c r="C70" i="8" s="1"/>
  <c r="J99" i="8"/>
  <c r="G98" i="8"/>
  <c r="P98" i="8" s="1"/>
  <c r="J118" i="8"/>
  <c r="G117" i="8"/>
  <c r="J120" i="8"/>
  <c r="G163" i="8"/>
  <c r="P163" i="8" s="1"/>
  <c r="J164" i="8"/>
  <c r="G255" i="8"/>
  <c r="P255" i="8" s="1"/>
  <c r="J273" i="8"/>
  <c r="J293" i="8"/>
  <c r="J297" i="8"/>
  <c r="J336" i="8"/>
  <c r="D334" i="8"/>
  <c r="J408" i="8"/>
  <c r="T33" i="8"/>
  <c r="J33" i="8"/>
  <c r="J46" i="8"/>
  <c r="G72" i="8"/>
  <c r="P72" i="8" s="1"/>
  <c r="J73" i="8"/>
  <c r="J88" i="8"/>
  <c r="G87" i="8"/>
  <c r="J107" i="8"/>
  <c r="G106" i="8"/>
  <c r="J136" i="8"/>
  <c r="G135" i="8"/>
  <c r="J158" i="8"/>
  <c r="G179" i="8"/>
  <c r="J180" i="8"/>
  <c r="J215" i="8"/>
  <c r="G214" i="8"/>
  <c r="P214" i="8" s="1"/>
  <c r="J217" i="8"/>
  <c r="J264" i="8"/>
  <c r="J356" i="8"/>
  <c r="J381" i="8"/>
  <c r="J385" i="8"/>
  <c r="J395" i="8"/>
  <c r="J80" i="8"/>
  <c r="J83" i="8"/>
  <c r="J94" i="8"/>
  <c r="G93" i="8"/>
  <c r="J104" i="8"/>
  <c r="J140" i="8"/>
  <c r="J170" i="8"/>
  <c r="G169" i="8"/>
  <c r="P169" i="8" s="1"/>
  <c r="J188" i="8"/>
  <c r="G187" i="8"/>
  <c r="G204" i="8"/>
  <c r="J205" i="8"/>
  <c r="J222" i="8"/>
  <c r="G221" i="8"/>
  <c r="G224" i="8"/>
  <c r="P224" i="8" s="1"/>
  <c r="J225" i="8"/>
  <c r="J228" i="8"/>
  <c r="G227" i="8"/>
  <c r="J231" i="8"/>
  <c r="G230" i="8"/>
  <c r="J233" i="8"/>
  <c r="G238" i="8"/>
  <c r="P238" i="8" s="1"/>
  <c r="F237" i="8"/>
  <c r="F236" i="8" s="1"/>
  <c r="F235" i="8" s="1"/>
  <c r="J269" i="8"/>
  <c r="J361" i="8"/>
  <c r="J372" i="8"/>
  <c r="J392" i="8"/>
  <c r="T31" i="8"/>
  <c r="J31" i="8"/>
  <c r="T54" i="8"/>
  <c r="J54" i="8"/>
  <c r="J68" i="8"/>
  <c r="G67" i="8"/>
  <c r="P67" i="8" s="1"/>
  <c r="G192" i="8"/>
  <c r="P192" i="8" s="1"/>
  <c r="J193" i="8"/>
  <c r="D280" i="8"/>
  <c r="D279" i="8" s="1"/>
  <c r="J285" i="8"/>
  <c r="C280" i="8"/>
  <c r="C279" i="8" s="1"/>
  <c r="C317" i="8"/>
  <c r="J326" i="8"/>
  <c r="J337" i="8"/>
  <c r="J344" i="8"/>
  <c r="J368" i="8"/>
  <c r="J12" i="8"/>
  <c r="T20" i="8"/>
  <c r="J24" i="8"/>
  <c r="G23" i="8"/>
  <c r="J40" i="8"/>
  <c r="G39" i="8"/>
  <c r="P39" i="8" s="1"/>
  <c r="T47" i="8"/>
  <c r="J47" i="8"/>
  <c r="G56" i="8"/>
  <c r="J57" i="8"/>
  <c r="T59" i="8"/>
  <c r="J59" i="8"/>
  <c r="J116" i="8"/>
  <c r="C153" i="8"/>
  <c r="C148" i="8" s="1"/>
  <c r="C137" i="8" s="1"/>
  <c r="J357" i="8"/>
  <c r="J388" i="8"/>
  <c r="J398" i="8"/>
  <c r="AK427" i="6"/>
  <c r="I11" i="11" s="1"/>
  <c r="AK426" i="6"/>
  <c r="AK429" i="6"/>
  <c r="AK420" i="6"/>
  <c r="U6" i="10" s="1"/>
  <c r="D167" i="9"/>
  <c r="D166" i="9" s="1"/>
  <c r="D160" i="9" s="1"/>
  <c r="AE168" i="5"/>
  <c r="K82" i="9"/>
  <c r="I81" i="9"/>
  <c r="L81" i="9" s="1"/>
  <c r="AF191" i="5"/>
  <c r="AG191" i="5"/>
  <c r="AH190" i="5"/>
  <c r="AK168" i="5"/>
  <c r="Y24" i="5"/>
  <c r="AA10" i="5"/>
  <c r="L164" i="9"/>
  <c r="G352" i="8"/>
  <c r="G303" i="8"/>
  <c r="G298" i="8"/>
  <c r="G245" i="8"/>
  <c r="F280" i="8"/>
  <c r="F279" i="8" s="1"/>
  <c r="G308" i="8"/>
  <c r="D317" i="8"/>
  <c r="G320" i="8"/>
  <c r="G317" i="8" s="1"/>
  <c r="C334" i="8"/>
  <c r="G347" i="8"/>
  <c r="G376" i="8"/>
  <c r="G277" i="8"/>
  <c r="G281" i="8"/>
  <c r="E250" i="8"/>
  <c r="G315" i="8"/>
  <c r="G364" i="8"/>
  <c r="G160" i="9"/>
  <c r="J15" i="9"/>
  <c r="F14" i="9"/>
  <c r="F13" i="9" s="1"/>
  <c r="D109" i="9"/>
  <c r="D107" i="9" s="1"/>
  <c r="L13" i="9"/>
  <c r="K15" i="9"/>
  <c r="K21" i="9"/>
  <c r="L137" i="9"/>
  <c r="J173" i="9"/>
  <c r="K173" i="9"/>
  <c r="F167" i="9"/>
  <c r="F166" i="9" s="1"/>
  <c r="K133" i="9"/>
  <c r="J133" i="9"/>
  <c r="K108" i="9"/>
  <c r="I145" i="9"/>
  <c r="L146" i="9"/>
  <c r="K25" i="9"/>
  <c r="K131" i="9"/>
  <c r="J131" i="9"/>
  <c r="I135" i="9"/>
  <c r="L136" i="9"/>
  <c r="K19" i="9"/>
  <c r="D27" i="9"/>
  <c r="D12" i="9" s="1"/>
  <c r="D11" i="9" s="1"/>
  <c r="D10" i="9" s="1"/>
  <c r="D9" i="9" s="1"/>
  <c r="I27" i="9"/>
  <c r="I12" i="9" s="1"/>
  <c r="L28" i="9"/>
  <c r="F146" i="9"/>
  <c r="F145" i="9" s="1"/>
  <c r="F144" i="9" s="1"/>
  <c r="K148" i="9"/>
  <c r="I94" i="9"/>
  <c r="I109" i="9"/>
  <c r="I107" i="9" s="1"/>
  <c r="F164" i="9"/>
  <c r="K164" i="9" s="1"/>
  <c r="I166" i="9"/>
  <c r="I160" i="9" s="1"/>
  <c r="J170" i="9"/>
  <c r="F105" i="9"/>
  <c r="J106" i="9"/>
  <c r="J105" i="9" s="1"/>
  <c r="F142" i="9"/>
  <c r="K142" i="9" s="1"/>
  <c r="J143" i="9"/>
  <c r="J142" i="9" s="1"/>
  <c r="J174" i="9"/>
  <c r="J176" i="9"/>
  <c r="J178" i="9"/>
  <c r="J180" i="9"/>
  <c r="F39" i="9"/>
  <c r="K39" i="9" s="1"/>
  <c r="J40" i="9"/>
  <c r="J42" i="9"/>
  <c r="J44" i="9"/>
  <c r="J90" i="9"/>
  <c r="J92" i="9"/>
  <c r="J97" i="9"/>
  <c r="J99" i="9"/>
  <c r="J101" i="9"/>
  <c r="F130" i="9"/>
  <c r="J169" i="9"/>
  <c r="J16" i="9"/>
  <c r="J20" i="9"/>
  <c r="J22" i="9"/>
  <c r="J24" i="9"/>
  <c r="J26" i="9"/>
  <c r="J147" i="9"/>
  <c r="J146" i="9" s="1"/>
  <c r="J145" i="9" s="1"/>
  <c r="J144" i="9" s="1"/>
  <c r="F34" i="9"/>
  <c r="K34" i="9" s="1"/>
  <c r="F103" i="9"/>
  <c r="K103" i="9" s="1"/>
  <c r="F112" i="9"/>
  <c r="J113" i="9"/>
  <c r="J115" i="9"/>
  <c r="J117" i="9"/>
  <c r="J119" i="9"/>
  <c r="J121" i="9"/>
  <c r="J123" i="9"/>
  <c r="J125" i="9"/>
  <c r="J171" i="9"/>
  <c r="AJ24" i="5" l="1"/>
  <c r="AQ85" i="5"/>
  <c r="AJ85" i="5"/>
  <c r="AM144" i="5"/>
  <c r="AM169" i="5"/>
  <c r="AJ110" i="5"/>
  <c r="AW110" i="5" s="1"/>
  <c r="AJ79" i="5"/>
  <c r="AO92" i="5"/>
  <c r="AJ92" i="5"/>
  <c r="AB416" i="6"/>
  <c r="AG416" i="6"/>
  <c r="AC416" i="6"/>
  <c r="AF2" i="6"/>
  <c r="AF417" i="6"/>
  <c r="AD2" i="6"/>
  <c r="AD417" i="6"/>
  <c r="AE2" i="6"/>
  <c r="AE417" i="6"/>
  <c r="Y108" i="5"/>
  <c r="AM110" i="5"/>
  <c r="Z108" i="5"/>
  <c r="AN108" i="5" s="1"/>
  <c r="AN110" i="5"/>
  <c r="AA9" i="5"/>
  <c r="AC162" i="5"/>
  <c r="AD162" i="5"/>
  <c r="AA168" i="5"/>
  <c r="AO169" i="5"/>
  <c r="AR42" i="5"/>
  <c r="AB91" i="5"/>
  <c r="AP92" i="5"/>
  <c r="AB162" i="5"/>
  <c r="AD84" i="5"/>
  <c r="AR84" i="5" s="1"/>
  <c r="AR85" i="5"/>
  <c r="AA78" i="5"/>
  <c r="AO78" i="5" s="1"/>
  <c r="AO79" i="5"/>
  <c r="AK143" i="5"/>
  <c r="AK162" i="5"/>
  <c r="AK133" i="5"/>
  <c r="AC84" i="5"/>
  <c r="Y78" i="5"/>
  <c r="Y10" i="5"/>
  <c r="AA91" i="5"/>
  <c r="AE162" i="5"/>
  <c r="AE81" i="5"/>
  <c r="Y143" i="5"/>
  <c r="Y168" i="5"/>
  <c r="O6" i="8"/>
  <c r="C109" i="8"/>
  <c r="F7" i="8"/>
  <c r="K95" i="9"/>
  <c r="AK81" i="5"/>
  <c r="AE190" i="5"/>
  <c r="AA422" i="12"/>
  <c r="AC422" i="12" s="1"/>
  <c r="C65" i="8"/>
  <c r="C64" i="8" s="1"/>
  <c r="J323" i="8"/>
  <c r="S8" i="8"/>
  <c r="J312" i="8"/>
  <c r="C9" i="8"/>
  <c r="C8" i="8" s="1"/>
  <c r="H8" i="9"/>
  <c r="H7" i="9" s="1"/>
  <c r="H6" i="9" s="1"/>
  <c r="H5" i="9" s="1"/>
  <c r="P251" i="8"/>
  <c r="AC190" i="5"/>
  <c r="J45" i="9"/>
  <c r="G8" i="9"/>
  <c r="G7" i="9" s="1"/>
  <c r="G6" i="9" s="1"/>
  <c r="G5" i="9" s="1"/>
  <c r="K31" i="10" s="1"/>
  <c r="C175" i="8"/>
  <c r="C162" i="8" s="1"/>
  <c r="E8" i="9"/>
  <c r="E7" i="9" s="1"/>
  <c r="E6" i="9" s="1"/>
  <c r="E5" i="9" s="1"/>
  <c r="E249" i="8"/>
  <c r="E6" i="8" s="1"/>
  <c r="J88" i="9"/>
  <c r="K81" i="9"/>
  <c r="G322" i="8"/>
  <c r="J322" i="8" s="1"/>
  <c r="G153" i="8"/>
  <c r="P153" i="8" s="1"/>
  <c r="C8" i="9"/>
  <c r="C7" i="9" s="1"/>
  <c r="C6" i="9" s="1"/>
  <c r="C5" i="9" s="1"/>
  <c r="K136" i="9"/>
  <c r="K14" i="9"/>
  <c r="K137" i="9"/>
  <c r="J95" i="9"/>
  <c r="J94" i="9" s="1"/>
  <c r="J227" i="8"/>
  <c r="P227" i="8"/>
  <c r="J187" i="8"/>
  <c r="P187" i="8"/>
  <c r="J106" i="8"/>
  <c r="P106" i="8"/>
  <c r="J294" i="8"/>
  <c r="P294" i="8"/>
  <c r="J52" i="8"/>
  <c r="P52" i="8"/>
  <c r="J36" i="8"/>
  <c r="P36" i="8"/>
  <c r="J352" i="8"/>
  <c r="P352" i="8"/>
  <c r="J347" i="8"/>
  <c r="P347" i="8"/>
  <c r="J364" i="8"/>
  <c r="P364" i="8"/>
  <c r="C249" i="8"/>
  <c r="J81" i="8"/>
  <c r="P81" i="8"/>
  <c r="M6" i="8"/>
  <c r="J317" i="8"/>
  <c r="P317" i="8"/>
  <c r="J320" i="8"/>
  <c r="P320" i="8"/>
  <c r="J303" i="8"/>
  <c r="P303" i="8"/>
  <c r="J87" i="8"/>
  <c r="P87" i="8"/>
  <c r="J239" i="8"/>
  <c r="P239" i="8"/>
  <c r="J159" i="8"/>
  <c r="P159" i="8"/>
  <c r="J165" i="8"/>
  <c r="P165" i="8"/>
  <c r="J315" i="8"/>
  <c r="P315" i="8"/>
  <c r="J23" i="8"/>
  <c r="P23" i="8"/>
  <c r="J78" i="8"/>
  <c r="P78" i="8"/>
  <c r="J243" i="8"/>
  <c r="P243" i="8"/>
  <c r="J91" i="8"/>
  <c r="P91" i="8"/>
  <c r="J308" i="8"/>
  <c r="P308" i="8"/>
  <c r="J221" i="8"/>
  <c r="P221" i="8"/>
  <c r="J179" i="8"/>
  <c r="P179" i="8"/>
  <c r="J117" i="8"/>
  <c r="P117" i="8"/>
  <c r="J146" i="8"/>
  <c r="P146" i="8"/>
  <c r="J218" i="8"/>
  <c r="P218" i="8"/>
  <c r="J156" i="8"/>
  <c r="P156" i="8"/>
  <c r="D8" i="9"/>
  <c r="D7" i="9" s="1"/>
  <c r="D6" i="9" s="1"/>
  <c r="D5" i="9" s="1"/>
  <c r="J281" i="8"/>
  <c r="P281" i="8"/>
  <c r="J335" i="8"/>
  <c r="P335" i="8"/>
  <c r="J200" i="8"/>
  <c r="P200" i="8"/>
  <c r="J27" i="8"/>
  <c r="P27" i="8"/>
  <c r="J138" i="8"/>
  <c r="P138" i="8"/>
  <c r="J74" i="8"/>
  <c r="P74" i="8"/>
  <c r="J384" i="8"/>
  <c r="J277" i="8"/>
  <c r="P277" i="8"/>
  <c r="J245" i="8"/>
  <c r="P245" i="8"/>
  <c r="J56" i="8"/>
  <c r="P56" i="8"/>
  <c r="J230" i="8"/>
  <c r="P230" i="8"/>
  <c r="J93" i="8"/>
  <c r="P93" i="8"/>
  <c r="J135" i="8"/>
  <c r="P135" i="8"/>
  <c r="G45" i="8"/>
  <c r="P45" i="8" s="1"/>
  <c r="J19" i="8"/>
  <c r="P19" i="8"/>
  <c r="J181" i="8"/>
  <c r="P181" i="8"/>
  <c r="U32" i="10"/>
  <c r="Q6" i="8"/>
  <c r="J376" i="8"/>
  <c r="P376" i="8"/>
  <c r="J298" i="8"/>
  <c r="P298" i="8"/>
  <c r="J204" i="8"/>
  <c r="P204" i="8"/>
  <c r="J274" i="8"/>
  <c r="P274" i="8"/>
  <c r="F87" i="9"/>
  <c r="P6" i="12"/>
  <c r="J6" i="12"/>
  <c r="T46" i="8"/>
  <c r="T45" i="8" s="1"/>
  <c r="T44" i="8" s="1"/>
  <c r="T43" i="8" s="1"/>
  <c r="J207" i="8"/>
  <c r="G206" i="8"/>
  <c r="J67" i="8"/>
  <c r="G66" i="8"/>
  <c r="G168" i="8"/>
  <c r="J169" i="8"/>
  <c r="J102" i="8"/>
  <c r="G101" i="8"/>
  <c r="P101" i="8" s="1"/>
  <c r="G111" i="8"/>
  <c r="P111" i="8" s="1"/>
  <c r="D249" i="8"/>
  <c r="D6" i="8" s="1"/>
  <c r="T24" i="8"/>
  <c r="T12" i="8"/>
  <c r="T11" i="8" s="1"/>
  <c r="T10" i="8" s="1"/>
  <c r="T9" i="8" s="1"/>
  <c r="G35" i="8"/>
  <c r="P35" i="8" s="1"/>
  <c r="J39" i="8"/>
  <c r="J214" i="8"/>
  <c r="G213" i="8"/>
  <c r="J72" i="8"/>
  <c r="G71" i="8"/>
  <c r="P71" i="8" s="1"/>
  <c r="J192" i="8"/>
  <c r="G184" i="8"/>
  <c r="J185" i="8"/>
  <c r="J163" i="8"/>
  <c r="G97" i="8"/>
  <c r="P97" i="8" s="1"/>
  <c r="J98" i="8"/>
  <c r="G176" i="8"/>
  <c r="P176" i="8" s="1"/>
  <c r="J177" i="8"/>
  <c r="J131" i="8"/>
  <c r="G130" i="8"/>
  <c r="J195" i="8"/>
  <c r="G194" i="8"/>
  <c r="J238" i="8"/>
  <c r="G237" i="8"/>
  <c r="P237" i="8" s="1"/>
  <c r="G220" i="8"/>
  <c r="J224" i="8"/>
  <c r="J255" i="8"/>
  <c r="G254" i="8"/>
  <c r="P254" i="8" s="1"/>
  <c r="J258" i="8"/>
  <c r="J127" i="8"/>
  <c r="G126" i="8"/>
  <c r="I10" i="11"/>
  <c r="U13" i="10"/>
  <c r="AK423" i="6"/>
  <c r="U10" i="10" s="1"/>
  <c r="K167" i="9"/>
  <c r="J167" i="9"/>
  <c r="J166" i="9" s="1"/>
  <c r="J160" i="9" s="1"/>
  <c r="AG190" i="5"/>
  <c r="AB190" i="5"/>
  <c r="AA190" i="5"/>
  <c r="AF190" i="5"/>
  <c r="AD190" i="5"/>
  <c r="Z10" i="5"/>
  <c r="AB10" i="5"/>
  <c r="G242" i="8"/>
  <c r="G280" i="8"/>
  <c r="G334" i="8"/>
  <c r="F249" i="8"/>
  <c r="I11" i="9"/>
  <c r="L12" i="9"/>
  <c r="J112" i="9"/>
  <c r="J110" i="9" s="1"/>
  <c r="J109" i="9" s="1"/>
  <c r="J107" i="9" s="1"/>
  <c r="L160" i="9"/>
  <c r="J14" i="9"/>
  <c r="J13" i="9" s="1"/>
  <c r="L94" i="9"/>
  <c r="K94" i="9"/>
  <c r="I87" i="9"/>
  <c r="F27" i="9"/>
  <c r="F12" i="9" s="1"/>
  <c r="F11" i="9" s="1"/>
  <c r="F10" i="9" s="1"/>
  <c r="F9" i="9" s="1"/>
  <c r="K130" i="9"/>
  <c r="J130" i="9"/>
  <c r="J128" i="9" s="1"/>
  <c r="J127" i="9" s="1"/>
  <c r="J126" i="9" s="1"/>
  <c r="F128" i="9"/>
  <c r="F127" i="9" s="1"/>
  <c r="F126" i="9" s="1"/>
  <c r="J39" i="9"/>
  <c r="J27" i="9" s="1"/>
  <c r="K146" i="9"/>
  <c r="F160" i="9"/>
  <c r="K160" i="9" s="1"/>
  <c r="K105" i="9"/>
  <c r="K13" i="9"/>
  <c r="L27" i="9"/>
  <c r="I144" i="9"/>
  <c r="L145" i="9"/>
  <c r="K145" i="9"/>
  <c r="K112" i="9"/>
  <c r="F110" i="9"/>
  <c r="L109" i="9"/>
  <c r="L166" i="9"/>
  <c r="K166" i="9"/>
  <c r="I128" i="9"/>
  <c r="L135" i="9"/>
  <c r="K135" i="9"/>
  <c r="AM108" i="5" l="1"/>
  <c r="AJ108" i="5"/>
  <c r="AW108" i="5" s="1"/>
  <c r="AO91" i="5"/>
  <c r="AJ91" i="5"/>
  <c r="AJ78" i="5"/>
  <c r="AE416" i="6"/>
  <c r="AD416" i="6"/>
  <c r="AF416" i="6"/>
  <c r="Y107" i="5"/>
  <c r="Z107" i="5"/>
  <c r="AN107" i="5" s="1"/>
  <c r="Z105" i="5"/>
  <c r="Z81" i="5" s="1"/>
  <c r="Y105" i="5"/>
  <c r="AD81" i="5"/>
  <c r="AH191" i="5"/>
  <c r="Y124" i="5"/>
  <c r="AM143" i="5"/>
  <c r="AE191" i="5"/>
  <c r="AB84" i="5"/>
  <c r="AP91" i="5"/>
  <c r="AD191" i="5"/>
  <c r="AA8" i="5"/>
  <c r="AC81" i="5"/>
  <c r="AQ84" i="5"/>
  <c r="AB9" i="5"/>
  <c r="Z9" i="5"/>
  <c r="AC191" i="5"/>
  <c r="AB191" i="5"/>
  <c r="AK126" i="5"/>
  <c r="Y9" i="5"/>
  <c r="AA84" i="5"/>
  <c r="Y162" i="5"/>
  <c r="C108" i="8"/>
  <c r="C63" i="8" s="1"/>
  <c r="C7" i="8" s="1"/>
  <c r="C6" i="8" s="1"/>
  <c r="AA420" i="12"/>
  <c r="AC420" i="12" s="1"/>
  <c r="F6" i="8"/>
  <c r="G148" i="8"/>
  <c r="P148" i="8" s="1"/>
  <c r="J153" i="8"/>
  <c r="K27" i="9"/>
  <c r="T8" i="8"/>
  <c r="J87" i="9"/>
  <c r="J84" i="9" s="1"/>
  <c r="P322" i="8"/>
  <c r="G250" i="8"/>
  <c r="J250" i="8" s="1"/>
  <c r="G44" i="8"/>
  <c r="P44" i="8" s="1"/>
  <c r="J66" i="8"/>
  <c r="P66" i="8"/>
  <c r="J220" i="8"/>
  <c r="P220" i="8"/>
  <c r="J334" i="8"/>
  <c r="P334" i="8"/>
  <c r="J213" i="8"/>
  <c r="P213" i="8"/>
  <c r="J206" i="8"/>
  <c r="P206" i="8"/>
  <c r="J126" i="8"/>
  <c r="P126" i="8"/>
  <c r="J242" i="8"/>
  <c r="P242" i="8"/>
  <c r="J194" i="8"/>
  <c r="P194" i="8"/>
  <c r="J45" i="8"/>
  <c r="J130" i="8"/>
  <c r="P130" i="8"/>
  <c r="J184" i="8"/>
  <c r="P184" i="8"/>
  <c r="J280" i="8"/>
  <c r="P280" i="8"/>
  <c r="J168" i="8"/>
  <c r="P168" i="8"/>
  <c r="G110" i="8"/>
  <c r="P110" i="8" s="1"/>
  <c r="J111" i="8"/>
  <c r="J237" i="8"/>
  <c r="G236" i="8"/>
  <c r="P236" i="8" s="1"/>
  <c r="J176" i="8"/>
  <c r="G175" i="8"/>
  <c r="P175" i="8" s="1"/>
  <c r="G191" i="8"/>
  <c r="G34" i="8"/>
  <c r="J35" i="8"/>
  <c r="J101" i="8"/>
  <c r="G100" i="8"/>
  <c r="G96" i="8"/>
  <c r="P96" i="8" s="1"/>
  <c r="J97" i="8"/>
  <c r="G10" i="8"/>
  <c r="P10" i="8" s="1"/>
  <c r="J11" i="8"/>
  <c r="J254" i="8"/>
  <c r="G70" i="8"/>
  <c r="J71" i="8"/>
  <c r="G279" i="8"/>
  <c r="G241" i="8"/>
  <c r="L107" i="9"/>
  <c r="F109" i="9"/>
  <c r="K110" i="9"/>
  <c r="L87" i="9"/>
  <c r="K87" i="9"/>
  <c r="I84" i="9"/>
  <c r="K12" i="9"/>
  <c r="L128" i="9"/>
  <c r="K128" i="9"/>
  <c r="I127" i="9"/>
  <c r="F84" i="9"/>
  <c r="F8" i="9" s="1"/>
  <c r="F7" i="9" s="1"/>
  <c r="F6" i="9" s="1"/>
  <c r="F5" i="9" s="1"/>
  <c r="L144" i="9"/>
  <c r="K144" i="9"/>
  <c r="J12" i="9"/>
  <c r="J11" i="9" s="1"/>
  <c r="J10" i="9" s="1"/>
  <c r="J9" i="9" s="1"/>
  <c r="I10" i="9"/>
  <c r="L11" i="9"/>
  <c r="K11" i="9"/>
  <c r="AJ84" i="5" l="1"/>
  <c r="Y81" i="5"/>
  <c r="AJ105" i="5"/>
  <c r="AM107" i="5"/>
  <c r="AJ107" i="5"/>
  <c r="AW107" i="5" s="1"/>
  <c r="AB8" i="5"/>
  <c r="AP84" i="5"/>
  <c r="AB81" i="5"/>
  <c r="AO84" i="5"/>
  <c r="Z8" i="5"/>
  <c r="AA7" i="5"/>
  <c r="AK125" i="5"/>
  <c r="AA81" i="5"/>
  <c r="Y8" i="5"/>
  <c r="Y191" i="5"/>
  <c r="J148" i="8"/>
  <c r="G137" i="8"/>
  <c r="G109" i="8" s="1"/>
  <c r="P109" i="8" s="1"/>
  <c r="J44" i="8"/>
  <c r="G43" i="8"/>
  <c r="J43" i="8" s="1"/>
  <c r="G249" i="8"/>
  <c r="J249" i="8" s="1"/>
  <c r="J8" i="9"/>
  <c r="J7" i="9" s="1"/>
  <c r="J6" i="9" s="1"/>
  <c r="J5" i="9" s="1"/>
  <c r="P250" i="8"/>
  <c r="J100" i="8"/>
  <c r="P100" i="8"/>
  <c r="J241" i="8"/>
  <c r="P241" i="8"/>
  <c r="J279" i="8"/>
  <c r="P279" i="8"/>
  <c r="J34" i="8"/>
  <c r="P34" i="8"/>
  <c r="J70" i="8"/>
  <c r="P70" i="8"/>
  <c r="J191" i="8"/>
  <c r="P191" i="8"/>
  <c r="J175" i="8"/>
  <c r="G162" i="8"/>
  <c r="J10" i="8"/>
  <c r="G9" i="8"/>
  <c r="P9" i="8" s="1"/>
  <c r="J96" i="8"/>
  <c r="G95" i="8"/>
  <c r="P95" i="8" s="1"/>
  <c r="J110" i="8"/>
  <c r="G235" i="8"/>
  <c r="J236" i="8"/>
  <c r="AC10" i="5"/>
  <c r="AD10" i="5"/>
  <c r="AE10" i="5"/>
  <c r="I126" i="9"/>
  <c r="L127" i="9"/>
  <c r="K127" i="9"/>
  <c r="F107" i="9"/>
  <c r="K107" i="9" s="1"/>
  <c r="K109" i="9"/>
  <c r="L84" i="9"/>
  <c r="K84" i="9"/>
  <c r="L10" i="9"/>
  <c r="K10" i="9"/>
  <c r="I9" i="9"/>
  <c r="AJ81" i="5" l="1"/>
  <c r="AA6" i="5"/>
  <c r="AA5" i="5" s="1"/>
  <c r="AE9" i="5"/>
  <c r="Z7" i="5"/>
  <c r="AD9" i="5"/>
  <c r="AB7" i="5"/>
  <c r="AK124" i="5"/>
  <c r="AC9" i="5"/>
  <c r="AJ10" i="5"/>
  <c r="AW10" i="5" s="1"/>
  <c r="Y7" i="5"/>
  <c r="J137" i="8"/>
  <c r="P137" i="8"/>
  <c r="P43" i="8"/>
  <c r="P249" i="8"/>
  <c r="J162" i="8"/>
  <c r="P162" i="8"/>
  <c r="J235" i="8"/>
  <c r="P235" i="8"/>
  <c r="J109" i="8"/>
  <c r="G108" i="8"/>
  <c r="P108" i="8" s="1"/>
  <c r="G65" i="8"/>
  <c r="P65" i="8" s="1"/>
  <c r="J95" i="8"/>
  <c r="G8" i="8"/>
  <c r="J9" i="8"/>
  <c r="L9" i="9"/>
  <c r="K9" i="9"/>
  <c r="I8" i="9"/>
  <c r="L126" i="9"/>
  <c r="K126" i="9"/>
  <c r="Z6" i="5" l="1"/>
  <c r="AB6" i="5"/>
  <c r="AA4" i="5"/>
  <c r="AE8" i="5"/>
  <c r="AD8" i="5"/>
  <c r="AC8" i="5"/>
  <c r="AJ9" i="5"/>
  <c r="Y6" i="5"/>
  <c r="Y190" i="5"/>
  <c r="J8" i="8"/>
  <c r="P8" i="8"/>
  <c r="G64" i="8"/>
  <c r="J65" i="8"/>
  <c r="J108" i="8"/>
  <c r="I7" i="9"/>
  <c r="L8" i="9"/>
  <c r="K8" i="9"/>
  <c r="AA3" i="5" l="1"/>
  <c r="AE7" i="5"/>
  <c r="AB5" i="5"/>
  <c r="AD7" i="5"/>
  <c r="Y5" i="5"/>
  <c r="AC7" i="5"/>
  <c r="AJ8" i="5"/>
  <c r="J64" i="8"/>
  <c r="P64" i="8"/>
  <c r="G63" i="8"/>
  <c r="P63" i="8" s="1"/>
  <c r="AA189" i="5"/>
  <c r="I6" i="9"/>
  <c r="L7" i="9"/>
  <c r="K7" i="9"/>
  <c r="AE6" i="5" l="1"/>
  <c r="AB4" i="5"/>
  <c r="AD6" i="5"/>
  <c r="AC6" i="5"/>
  <c r="AJ7" i="5"/>
  <c r="Y4" i="5"/>
  <c r="Y189" i="5"/>
  <c r="G7" i="8"/>
  <c r="P7" i="8" s="1"/>
  <c r="J63" i="8"/>
  <c r="AB189" i="5"/>
  <c r="L6" i="9"/>
  <c r="K6" i="9"/>
  <c r="I5" i="9"/>
  <c r="AD5" i="5" l="1"/>
  <c r="Y3" i="5"/>
  <c r="AB3" i="5"/>
  <c r="AE5" i="5"/>
  <c r="AC5" i="5"/>
  <c r="AJ6" i="5"/>
  <c r="G6" i="8"/>
  <c r="J7" i="8"/>
  <c r="AA188" i="5"/>
  <c r="AK24" i="5"/>
  <c r="L5" i="9"/>
  <c r="K5" i="9"/>
  <c r="AE4" i="5" l="1"/>
  <c r="AB2" i="5"/>
  <c r="Y2" i="5"/>
  <c r="AC4" i="5"/>
  <c r="AD4" i="5"/>
  <c r="Y188" i="5"/>
  <c r="J6" i="8"/>
  <c r="P6" i="8"/>
  <c r="AD189" i="5"/>
  <c r="AE189" i="5"/>
  <c r="AC189" i="5"/>
  <c r="AK10" i="5"/>
  <c r="AC3" i="5" l="1"/>
  <c r="AD3" i="5"/>
  <c r="AE3" i="5"/>
  <c r="Y187" i="5"/>
  <c r="AB187" i="5"/>
  <c r="AB188" i="5"/>
  <c r="AG189" i="5"/>
  <c r="AK9" i="5"/>
  <c r="AH189" i="5" l="1"/>
  <c r="AE2" i="5"/>
  <c r="AD2" i="5"/>
  <c r="AC2" i="5"/>
  <c r="AF189" i="5"/>
  <c r="AK8" i="5"/>
  <c r="AE187" i="5" l="1"/>
  <c r="AE188" i="5"/>
  <c r="AD187" i="5"/>
  <c r="AD188" i="5"/>
  <c r="AC187" i="5"/>
  <c r="AC188" i="5"/>
  <c r="AK7" i="5"/>
  <c r="AH188" i="5" l="1"/>
  <c r="AG187" i="5"/>
  <c r="AG188" i="5"/>
  <c r="AK6" i="5"/>
  <c r="AH187" i="5" l="1"/>
  <c r="AF187" i="5"/>
  <c r="AF188" i="5"/>
  <c r="AK5" i="5"/>
  <c r="AK4" i="5" l="1"/>
  <c r="AK3" i="5" l="1"/>
  <c r="AK2" i="5" l="1"/>
  <c r="AA164" i="5"/>
  <c r="Z180" i="5"/>
  <c r="AJ180" i="5" s="1"/>
  <c r="AW180" i="5" s="1"/>
  <c r="Z152" i="5"/>
  <c r="Z139" i="5"/>
  <c r="AN139" i="5" l="1"/>
  <c r="AJ139" i="5"/>
  <c r="AW139" i="5" s="1"/>
  <c r="AN152" i="5"/>
  <c r="AJ152" i="5"/>
  <c r="AW152" i="5" s="1"/>
  <c r="AO164" i="5"/>
  <c r="AJ164" i="5"/>
  <c r="AV162" i="5"/>
  <c r="AV168" i="5"/>
  <c r="AU162" i="5"/>
  <c r="AU168" i="5"/>
  <c r="AS162" i="5"/>
  <c r="AS168" i="5"/>
  <c r="AM162" i="5"/>
  <c r="AM168" i="5"/>
  <c r="AO168" i="5"/>
  <c r="AP162" i="5"/>
  <c r="AP168" i="5"/>
  <c r="AT162" i="5"/>
  <c r="AT168" i="5"/>
  <c r="AQ162" i="5"/>
  <c r="AQ168" i="5"/>
  <c r="AN180" i="5"/>
  <c r="AR162" i="5"/>
  <c r="AR168" i="5"/>
  <c r="AA163" i="5"/>
  <c r="Z126" i="5"/>
  <c r="AJ126" i="5" s="1"/>
  <c r="Z145" i="5"/>
  <c r="Z5" i="5"/>
  <c r="Z169" i="5"/>
  <c r="AJ169" i="5" s="1"/>
  <c r="AW169" i="5" s="1"/>
  <c r="R191" i="5"/>
  <c r="S191" i="5"/>
  <c r="AW164" i="5" l="1"/>
  <c r="AW191" i="5" s="1"/>
  <c r="AN145" i="5"/>
  <c r="AJ145" i="5"/>
  <c r="AW145" i="5" s="1"/>
  <c r="AO163" i="5"/>
  <c r="AJ163" i="5"/>
  <c r="AW163" i="5" s="1"/>
  <c r="P191" i="5"/>
  <c r="Q191" i="5"/>
  <c r="N191" i="5"/>
  <c r="O191" i="5"/>
  <c r="Z125" i="5"/>
  <c r="AN126" i="5"/>
  <c r="AN169" i="5"/>
  <c r="AJ5" i="5"/>
  <c r="Z144" i="5"/>
  <c r="AA162" i="5"/>
  <c r="J16" i="10"/>
  <c r="J14" i="10" s="1"/>
  <c r="Z168" i="5"/>
  <c r="AJ168" i="5" s="1"/>
  <c r="AW168" i="5" s="1"/>
  <c r="Z189" i="5"/>
  <c r="AR191" i="5"/>
  <c r="M191" i="5"/>
  <c r="K22" i="10"/>
  <c r="K16" i="10"/>
  <c r="K14" i="10" s="1"/>
  <c r="AN144" i="5" l="1"/>
  <c r="AJ144" i="5"/>
  <c r="AW144" i="5" s="1"/>
  <c r="AN125" i="5"/>
  <c r="AJ125" i="5"/>
  <c r="AN168" i="5"/>
  <c r="AA2" i="5"/>
  <c r="AO162" i="5"/>
  <c r="Z143" i="5"/>
  <c r="AA191" i="5"/>
  <c r="Z162" i="5"/>
  <c r="AJ162" i="5" s="1"/>
  <c r="AW162" i="5" s="1"/>
  <c r="K21" i="10"/>
  <c r="K27" i="10"/>
  <c r="J27" i="10" s="1"/>
  <c r="K12" i="10"/>
  <c r="AN143" i="5" l="1"/>
  <c r="AJ143" i="5"/>
  <c r="AW143" i="5" s="1"/>
  <c r="AN162" i="5"/>
  <c r="AA187" i="5"/>
  <c r="Z124" i="5"/>
  <c r="Z191" i="5"/>
  <c r="K26" i="10"/>
  <c r="K10" i="10"/>
  <c r="K7" i="10" s="1"/>
  <c r="AN124" i="5" l="1"/>
  <c r="AJ124" i="5"/>
  <c r="Z4" i="5"/>
  <c r="AJ191" i="5"/>
  <c r="D10" i="11" s="1"/>
  <c r="K24" i="10"/>
  <c r="J26" i="10"/>
  <c r="J25" i="10" s="1"/>
  <c r="K25" i="10"/>
  <c r="Z3" i="5" l="1"/>
  <c r="Z190" i="5"/>
  <c r="K23" i="10"/>
  <c r="K20" i="10" s="1"/>
  <c r="K19" i="10" s="1"/>
  <c r="K18" i="10" s="1"/>
  <c r="Z2" i="5" l="1"/>
  <c r="AJ4" i="5"/>
  <c r="Z188" i="5"/>
  <c r="L196" i="14"/>
  <c r="AJ196" i="14" s="1"/>
  <c r="X18" i="10"/>
  <c r="AJ3" i="5" l="1"/>
  <c r="Z187" i="5"/>
  <c r="K6" i="10"/>
  <c r="K5" i="10" s="1"/>
  <c r="K4" i="10" s="1"/>
  <c r="AJ189" i="5"/>
  <c r="D7" i="11" s="1"/>
  <c r="AJ190" i="5"/>
  <c r="D9" i="11" s="1"/>
  <c r="D5" i="11" l="1"/>
  <c r="D4" i="11" s="1"/>
  <c r="AJ2" i="5"/>
  <c r="L185" i="14"/>
  <c r="AJ185" i="14" s="1"/>
  <c r="K30" i="10"/>
  <c r="K32" i="10" s="1"/>
  <c r="AJ188" i="5" l="1"/>
  <c r="L127" i="4"/>
  <c r="L129" i="4" s="1"/>
  <c r="AJ187" i="5" l="1"/>
  <c r="G406" i="1"/>
  <c r="AU9" i="1"/>
  <c r="AU42" i="1"/>
  <c r="AU41" i="1"/>
  <c r="AU40" i="1"/>
  <c r="AU38" i="1"/>
  <c r="AU37" i="1"/>
  <c r="AU33" i="1"/>
  <c r="AU32" i="1"/>
  <c r="AU31" i="1"/>
  <c r="AU30" i="1"/>
  <c r="AU29" i="1"/>
  <c r="AU28" i="1"/>
  <c r="AU26" i="1"/>
  <c r="AU25" i="1"/>
  <c r="AU24" i="1"/>
  <c r="AU22" i="1"/>
  <c r="AU21" i="1"/>
  <c r="AU20" i="1"/>
  <c r="AU18" i="1"/>
  <c r="AU17" i="1"/>
  <c r="AU16" i="1"/>
  <c r="AU15" i="1"/>
  <c r="AU14" i="1"/>
  <c r="AU13" i="1"/>
  <c r="AU12" i="1"/>
  <c r="I14" i="4" l="1"/>
  <c r="I13" i="4" s="1"/>
  <c r="I12" i="4" s="1"/>
  <c r="I11" i="4" s="1"/>
  <c r="I10" i="4" s="1"/>
  <c r="I9" i="4" s="1"/>
  <c r="I8" i="4" s="1"/>
  <c r="I7" i="4" s="1"/>
  <c r="I6" i="4" s="1"/>
  <c r="H14" i="4"/>
  <c r="H13" i="4" s="1"/>
  <c r="H12" i="4" s="1"/>
  <c r="H11" i="4" s="1"/>
  <c r="H10" i="4" s="1"/>
  <c r="H9" i="4" s="1"/>
  <c r="H8" i="4" s="1"/>
  <c r="H7" i="4" s="1"/>
  <c r="H6" i="4" s="1"/>
  <c r="G14" i="4"/>
  <c r="G13" i="4" s="1"/>
  <c r="E14" i="4"/>
  <c r="E13" i="4" s="1"/>
  <c r="D14" i="4"/>
  <c r="D13" i="4" s="1"/>
  <c r="J101" i="4" l="1"/>
  <c r="I101" i="4"/>
  <c r="H101" i="4"/>
  <c r="G101" i="4"/>
  <c r="E101" i="4"/>
  <c r="D101" i="4"/>
  <c r="Z101" i="4" s="1"/>
  <c r="C101" i="4"/>
  <c r="Y101" i="4" s="1"/>
  <c r="I162" i="4"/>
  <c r="I161" i="4" s="1"/>
  <c r="H162" i="4"/>
  <c r="H161" i="4" s="1"/>
  <c r="G162" i="4"/>
  <c r="G161" i="4" s="1"/>
  <c r="I157" i="4"/>
  <c r="H157" i="4"/>
  <c r="G157" i="4"/>
  <c r="D175" i="4"/>
  <c r="Z175" i="4" s="1"/>
  <c r="F106" i="4"/>
  <c r="K106" i="4" s="1"/>
  <c r="F102" i="4"/>
  <c r="K102" i="4" s="1"/>
  <c r="E157" i="4"/>
  <c r="D157" i="4"/>
  <c r="C157" i="4"/>
  <c r="F155" i="4"/>
  <c r="K155" i="4" s="1"/>
  <c r="F154" i="4"/>
  <c r="K154" i="4" s="1"/>
  <c r="F153" i="4"/>
  <c r="K153" i="4" s="1"/>
  <c r="F152" i="4"/>
  <c r="K152" i="4" s="1"/>
  <c r="F151" i="4"/>
  <c r="K151" i="4" s="1"/>
  <c r="F150" i="4"/>
  <c r="K150" i="4" s="1"/>
  <c r="F149" i="4"/>
  <c r="K149" i="4" s="1"/>
  <c r="F148" i="4"/>
  <c r="K148" i="4" s="1"/>
  <c r="F147" i="4"/>
  <c r="K147" i="4" s="1"/>
  <c r="F146" i="4"/>
  <c r="K146" i="4" s="1"/>
  <c r="F145" i="4"/>
  <c r="K145" i="4" s="1"/>
  <c r="J159" i="4"/>
  <c r="I159" i="4"/>
  <c r="H159" i="4"/>
  <c r="G159" i="4"/>
  <c r="E159" i="4"/>
  <c r="D159" i="4"/>
  <c r="Z159" i="4" s="1"/>
  <c r="C159" i="4"/>
  <c r="Y159" i="4" s="1"/>
  <c r="F160" i="4"/>
  <c r="K160" i="4" s="1"/>
  <c r="W14" i="4"/>
  <c r="W13" i="4" s="1"/>
  <c r="W12" i="4" s="1"/>
  <c r="W11" i="4" s="1"/>
  <c r="W10" i="4" s="1"/>
  <c r="W9" i="4" s="1"/>
  <c r="W8" i="4" s="1"/>
  <c r="W7" i="4" s="1"/>
  <c r="W6" i="4" s="1"/>
  <c r="V14" i="4"/>
  <c r="V13" i="4" s="1"/>
  <c r="V12" i="4" s="1"/>
  <c r="V11" i="4" s="1"/>
  <c r="V10" i="4" s="1"/>
  <c r="V9" i="4" s="1"/>
  <c r="V8" i="4" s="1"/>
  <c r="V7" i="4" s="1"/>
  <c r="V6" i="4" s="1"/>
  <c r="U14" i="4"/>
  <c r="U13" i="4" s="1"/>
  <c r="U12" i="4" s="1"/>
  <c r="U11" i="4" s="1"/>
  <c r="U10" i="4" s="1"/>
  <c r="U9" i="4" s="1"/>
  <c r="U8" i="4" s="1"/>
  <c r="U7" i="4" s="1"/>
  <c r="U6" i="4" s="1"/>
  <c r="T14" i="4"/>
  <c r="T13" i="4" s="1"/>
  <c r="T12" i="4" s="1"/>
  <c r="T11" i="4" s="1"/>
  <c r="T10" i="4" s="1"/>
  <c r="T9" i="4" s="1"/>
  <c r="T8" i="4" s="1"/>
  <c r="T7" i="4" s="1"/>
  <c r="T6" i="4" s="1"/>
  <c r="S14" i="4"/>
  <c r="S13" i="4" s="1"/>
  <c r="S12" i="4" s="1"/>
  <c r="S11" i="4" s="1"/>
  <c r="S10" i="4" s="1"/>
  <c r="S9" i="4" s="1"/>
  <c r="S8" i="4" s="1"/>
  <c r="S7" i="4" s="1"/>
  <c r="S6" i="4" s="1"/>
  <c r="R14" i="4"/>
  <c r="R13" i="4" s="1"/>
  <c r="R12" i="4" s="1"/>
  <c r="R11" i="4" s="1"/>
  <c r="R10" i="4" s="1"/>
  <c r="R9" i="4" s="1"/>
  <c r="R8" i="4" s="1"/>
  <c r="R7" i="4" s="1"/>
  <c r="R6" i="4" s="1"/>
  <c r="Q14" i="4"/>
  <c r="Q13" i="4" s="1"/>
  <c r="Q12" i="4" s="1"/>
  <c r="Q11" i="4" s="1"/>
  <c r="Q10" i="4" s="1"/>
  <c r="Q9" i="4" s="1"/>
  <c r="Q8" i="4" s="1"/>
  <c r="Q7" i="4" s="1"/>
  <c r="Q6" i="4" s="1"/>
  <c r="P14" i="4"/>
  <c r="P13" i="4" s="1"/>
  <c r="P12" i="4" s="1"/>
  <c r="P11" i="4" s="1"/>
  <c r="P10" i="4" s="1"/>
  <c r="P9" i="4" s="1"/>
  <c r="P8" i="4" s="1"/>
  <c r="P7" i="4" s="1"/>
  <c r="P6" i="4" s="1"/>
  <c r="O14" i="4"/>
  <c r="O13" i="4" s="1"/>
  <c r="O12" i="4" s="1"/>
  <c r="O11" i="4" s="1"/>
  <c r="O10" i="4" s="1"/>
  <c r="O9" i="4" s="1"/>
  <c r="O8" i="4" s="1"/>
  <c r="O7" i="4" s="1"/>
  <c r="O6" i="4" s="1"/>
  <c r="W157" i="4"/>
  <c r="W156" i="4" s="1"/>
  <c r="V157" i="4"/>
  <c r="V156" i="4" s="1"/>
  <c r="U157" i="4"/>
  <c r="U156" i="4" s="1"/>
  <c r="T157" i="4"/>
  <c r="T156" i="4" s="1"/>
  <c r="S157" i="4"/>
  <c r="S156" i="4" s="1"/>
  <c r="R157" i="4"/>
  <c r="R156" i="4" s="1"/>
  <c r="Q157" i="4"/>
  <c r="Q156" i="4" s="1"/>
  <c r="P157" i="4"/>
  <c r="O157" i="4"/>
  <c r="P162" i="4"/>
  <c r="P161" i="4" s="1"/>
  <c r="O162" i="4"/>
  <c r="O161" i="4" s="1"/>
  <c r="E162" i="4"/>
  <c r="E161" i="4" s="1"/>
  <c r="C162" i="4"/>
  <c r="C161" i="4" s="1"/>
  <c r="D162" i="4"/>
  <c r="Y152" i="4"/>
  <c r="Z152" i="4"/>
  <c r="Y153" i="4"/>
  <c r="Z153" i="4"/>
  <c r="Y154" i="4"/>
  <c r="Z154" i="4"/>
  <c r="Y155" i="4"/>
  <c r="Z155" i="4"/>
  <c r="Y158" i="4"/>
  <c r="Z158" i="4"/>
  <c r="Y160" i="4"/>
  <c r="Z160" i="4"/>
  <c r="Y163" i="4"/>
  <c r="Z163" i="4"/>
  <c r="Y164" i="4"/>
  <c r="Z164" i="4"/>
  <c r="Y165" i="4"/>
  <c r="Z165" i="4"/>
  <c r="Y166" i="4"/>
  <c r="Z166" i="4"/>
  <c r="Y167" i="4"/>
  <c r="Z167" i="4"/>
  <c r="Y168" i="4"/>
  <c r="Z168" i="4"/>
  <c r="Y169" i="4"/>
  <c r="Z169" i="4"/>
  <c r="Y170" i="4"/>
  <c r="Z170" i="4"/>
  <c r="Y171" i="4"/>
  <c r="Z171" i="4"/>
  <c r="Y172" i="4"/>
  <c r="Z172" i="4"/>
  <c r="Y173" i="4"/>
  <c r="Z173" i="4"/>
  <c r="Y174" i="4"/>
  <c r="Z174" i="4"/>
  <c r="Y175" i="4"/>
  <c r="Y144" i="4"/>
  <c r="Z144" i="4"/>
  <c r="Y145" i="4"/>
  <c r="Z145" i="4"/>
  <c r="Y146" i="4"/>
  <c r="Z146" i="4"/>
  <c r="Y147" i="4"/>
  <c r="Z147" i="4"/>
  <c r="Y148" i="4"/>
  <c r="Z148" i="4"/>
  <c r="Y149" i="4"/>
  <c r="Z149" i="4"/>
  <c r="Y150" i="4"/>
  <c r="Z150" i="4"/>
  <c r="Y151" i="4"/>
  <c r="Z151" i="4"/>
  <c r="Y176" i="4"/>
  <c r="Z176" i="4"/>
  <c r="Y177" i="4"/>
  <c r="Z177" i="4"/>
  <c r="Y178" i="4"/>
  <c r="Y179" i="4"/>
  <c r="Z179" i="4"/>
  <c r="Y180" i="4"/>
  <c r="Y181" i="4"/>
  <c r="Z181" i="4"/>
  <c r="Y182" i="4"/>
  <c r="Z182" i="4"/>
  <c r="G143" i="4"/>
  <c r="E143" i="4"/>
  <c r="D143" i="4"/>
  <c r="Z143" i="4" s="1"/>
  <c r="C143" i="4"/>
  <c r="Y143" i="4" s="1"/>
  <c r="Y87" i="4"/>
  <c r="Z87" i="4"/>
  <c r="Y88" i="4"/>
  <c r="Z88" i="4"/>
  <c r="Y89" i="4"/>
  <c r="Z89" i="4"/>
  <c r="Y90" i="4"/>
  <c r="Z90" i="4"/>
  <c r="Y91" i="4"/>
  <c r="Z91" i="4"/>
  <c r="Y94" i="4"/>
  <c r="Z94" i="4"/>
  <c r="Y95" i="4"/>
  <c r="Z95" i="4"/>
  <c r="Y96" i="4"/>
  <c r="Z96" i="4"/>
  <c r="Y97" i="4"/>
  <c r="Z97" i="4"/>
  <c r="Y98" i="4"/>
  <c r="Z98" i="4"/>
  <c r="Y99" i="4"/>
  <c r="Z99" i="4"/>
  <c r="Y100" i="4"/>
  <c r="Z100" i="4"/>
  <c r="Y102" i="4"/>
  <c r="Z102" i="4"/>
  <c r="Y104" i="4"/>
  <c r="Z104" i="4"/>
  <c r="Y106" i="4"/>
  <c r="Z106" i="4"/>
  <c r="Y109" i="4"/>
  <c r="Z109" i="4"/>
  <c r="Y111" i="4"/>
  <c r="Z111" i="4"/>
  <c r="Y112" i="4"/>
  <c r="Z112" i="4"/>
  <c r="Y113" i="4"/>
  <c r="Z113" i="4"/>
  <c r="Y114" i="4"/>
  <c r="Z114" i="4"/>
  <c r="Y115" i="4"/>
  <c r="Z115" i="4"/>
  <c r="Y116" i="4"/>
  <c r="Z116" i="4"/>
  <c r="Y117" i="4"/>
  <c r="Z117" i="4"/>
  <c r="Y118" i="4"/>
  <c r="Z118" i="4"/>
  <c r="Y119" i="4"/>
  <c r="Z119" i="4"/>
  <c r="Y120" i="4"/>
  <c r="Z120" i="4"/>
  <c r="Y121" i="4"/>
  <c r="Z121" i="4"/>
  <c r="Y122" i="4"/>
  <c r="Z122" i="4"/>
  <c r="Y123" i="4"/>
  <c r="Z123" i="4"/>
  <c r="Y127" i="4"/>
  <c r="Z127" i="4"/>
  <c r="Y128" i="4"/>
  <c r="Z128" i="4"/>
  <c r="Y129" i="4"/>
  <c r="Z129" i="4"/>
  <c r="Y130" i="4"/>
  <c r="Z130" i="4"/>
  <c r="Y131" i="4"/>
  <c r="Z131" i="4"/>
  <c r="Y132" i="4"/>
  <c r="Z132" i="4"/>
  <c r="Y136" i="4"/>
  <c r="Z136" i="4"/>
  <c r="Y137" i="4"/>
  <c r="Z137" i="4"/>
  <c r="Y138" i="4"/>
  <c r="Z138" i="4"/>
  <c r="Y140" i="4"/>
  <c r="Z140" i="4"/>
  <c r="Z83" i="4"/>
  <c r="Y83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4" i="4"/>
  <c r="Y44" i="4"/>
  <c r="Z43" i="4"/>
  <c r="Y43" i="4"/>
  <c r="Z42" i="4"/>
  <c r="Y42" i="4"/>
  <c r="Z41" i="4"/>
  <c r="Y41" i="4"/>
  <c r="Z40" i="4"/>
  <c r="Y40" i="4"/>
  <c r="Z38" i="4"/>
  <c r="Y38" i="4"/>
  <c r="Z37" i="4"/>
  <c r="Y37" i="4"/>
  <c r="Z36" i="4"/>
  <c r="Y36" i="4"/>
  <c r="Z35" i="4"/>
  <c r="Y35" i="4"/>
  <c r="Z33" i="4"/>
  <c r="Y33" i="4"/>
  <c r="Z32" i="4"/>
  <c r="Y32" i="4"/>
  <c r="Z31" i="4"/>
  <c r="Y31" i="4"/>
  <c r="Z30" i="4"/>
  <c r="Y30" i="4"/>
  <c r="Z29" i="4"/>
  <c r="Y29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D161" i="4" l="1"/>
  <c r="D156" i="4" s="1"/>
  <c r="C156" i="4"/>
  <c r="F159" i="4"/>
  <c r="K159" i="4" s="1"/>
  <c r="E156" i="4"/>
  <c r="F101" i="4"/>
  <c r="K101" i="4" s="1"/>
  <c r="O156" i="4"/>
  <c r="O5" i="4" s="1"/>
  <c r="S5" i="4"/>
  <c r="P156" i="4"/>
  <c r="P5" i="4" s="1"/>
  <c r="G156" i="4"/>
  <c r="H156" i="4"/>
  <c r="H5" i="4" s="1"/>
  <c r="I156" i="4"/>
  <c r="I5" i="4" s="1"/>
  <c r="T5" i="4"/>
  <c r="Q5" i="4"/>
  <c r="W5" i="4"/>
  <c r="R5" i="4"/>
  <c r="V5" i="4"/>
  <c r="U5" i="4"/>
  <c r="E193" i="1"/>
  <c r="AS193" i="1" s="1"/>
  <c r="E28" i="1"/>
  <c r="AS28" i="1" s="1"/>
  <c r="AS397" i="1"/>
  <c r="AS398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5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7" i="1"/>
  <c r="AS216" i="1"/>
  <c r="AS215" i="1"/>
  <c r="AS214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0" i="1"/>
  <c r="AS189" i="1"/>
  <c r="AS188" i="1"/>
  <c r="AS187" i="1"/>
  <c r="AS186" i="1"/>
  <c r="AS185" i="1"/>
  <c r="AS183" i="1"/>
  <c r="AS182" i="1"/>
  <c r="AS180" i="1"/>
  <c r="AS179" i="1"/>
  <c r="AS178" i="1"/>
  <c r="AS177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6" i="1"/>
  <c r="AS25" i="1"/>
  <c r="AS24" i="1"/>
  <c r="AS22" i="1"/>
  <c r="AS21" i="1"/>
  <c r="AS20" i="1"/>
  <c r="AS18" i="1"/>
  <c r="AS17" i="1"/>
  <c r="AS16" i="1"/>
  <c r="AS15" i="1"/>
  <c r="AS14" i="1"/>
  <c r="AS13" i="1"/>
  <c r="AS12" i="1"/>
  <c r="F67" i="1"/>
  <c r="F66" i="1" s="1"/>
  <c r="F65" i="1" s="1"/>
  <c r="F64" i="1" s="1"/>
  <c r="E67" i="1"/>
  <c r="E66" i="1" s="1"/>
  <c r="D67" i="1"/>
  <c r="D66" i="1" s="1"/>
  <c r="D65" i="1" s="1"/>
  <c r="F111" i="1"/>
  <c r="F110" i="1" s="1"/>
  <c r="F109" i="1" s="1"/>
  <c r="E111" i="1"/>
  <c r="E110" i="1" s="1"/>
  <c r="E109" i="1" s="1"/>
  <c r="AS109" i="1" s="1"/>
  <c r="D111" i="1"/>
  <c r="D110" i="1" s="1"/>
  <c r="F181" i="1"/>
  <c r="F176" i="1" s="1"/>
  <c r="E181" i="1"/>
  <c r="AS181" i="1" s="1"/>
  <c r="D182" i="1"/>
  <c r="D181" i="1" s="1"/>
  <c r="D176" i="1" s="1"/>
  <c r="F184" i="1"/>
  <c r="E184" i="1"/>
  <c r="AS184" i="1" s="1"/>
  <c r="D190" i="1"/>
  <c r="D184" i="1" s="1"/>
  <c r="F192" i="1"/>
  <c r="D193" i="1"/>
  <c r="D192" i="1" s="1"/>
  <c r="F213" i="1"/>
  <c r="E213" i="1"/>
  <c r="AS213" i="1" s="1"/>
  <c r="D217" i="1"/>
  <c r="D213" i="1" s="1"/>
  <c r="F218" i="1"/>
  <c r="E218" i="1"/>
  <c r="AS218" i="1" s="1"/>
  <c r="D219" i="1"/>
  <c r="D218" i="1" s="1"/>
  <c r="G247" i="1"/>
  <c r="F242" i="1"/>
  <c r="F241" i="1" s="1"/>
  <c r="E242" i="1"/>
  <c r="AS242" i="1" s="1"/>
  <c r="D248" i="1"/>
  <c r="D242" i="1" s="1"/>
  <c r="D241" i="1" s="1"/>
  <c r="E192" i="1" l="1"/>
  <c r="AS192" i="1" s="1"/>
  <c r="G248" i="1"/>
  <c r="E241" i="1"/>
  <c r="AS241" i="1" s="1"/>
  <c r="E176" i="1"/>
  <c r="AS176" i="1" s="1"/>
  <c r="G190" i="1"/>
  <c r="D191" i="1"/>
  <c r="D175" i="1"/>
  <c r="F191" i="1"/>
  <c r="F175" i="1"/>
  <c r="E65" i="1"/>
  <c r="AS66" i="1"/>
  <c r="AS67" i="1"/>
  <c r="AS110" i="1"/>
  <c r="AS111" i="1"/>
  <c r="D64" i="1"/>
  <c r="D109" i="1"/>
  <c r="E191" i="1" l="1"/>
  <c r="AS191" i="1" s="1"/>
  <c r="D162" i="1"/>
  <c r="D108" i="1" s="1"/>
  <c r="D63" i="1" s="1"/>
  <c r="F162" i="1"/>
  <c r="F108" i="1" s="1"/>
  <c r="F63" i="1" s="1"/>
  <c r="E175" i="1"/>
  <c r="AS175" i="1" s="1"/>
  <c r="E64" i="1"/>
  <c r="AS64" i="1" s="1"/>
  <c r="AS65" i="1"/>
  <c r="R29" i="1"/>
  <c r="R28" i="1"/>
  <c r="E162" i="1" l="1"/>
  <c r="AS162" i="1" s="1"/>
  <c r="D27" i="1"/>
  <c r="E27" i="1"/>
  <c r="AS27" i="1" s="1"/>
  <c r="F27" i="1"/>
  <c r="D23" i="1"/>
  <c r="E23" i="1"/>
  <c r="AS23" i="1" s="1"/>
  <c r="F23" i="1"/>
  <c r="D19" i="1"/>
  <c r="D11" i="1" s="1"/>
  <c r="E19" i="1"/>
  <c r="F19" i="1"/>
  <c r="F11" i="1" s="1"/>
  <c r="C326" i="1"/>
  <c r="G326" i="1" s="1"/>
  <c r="C324" i="1"/>
  <c r="C319" i="1"/>
  <c r="G319" i="1" s="1"/>
  <c r="C316" i="1"/>
  <c r="G316" i="1" s="1"/>
  <c r="C314" i="1"/>
  <c r="C311" i="1"/>
  <c r="G311" i="1" s="1"/>
  <c r="C308" i="1"/>
  <c r="G308" i="1" s="1"/>
  <c r="C303" i="1"/>
  <c r="G303" i="1" s="1"/>
  <c r="C298" i="1"/>
  <c r="G298" i="1" s="1"/>
  <c r="C294" i="1"/>
  <c r="G294" i="1" s="1"/>
  <c r="C281" i="1"/>
  <c r="G281" i="1" s="1"/>
  <c r="C277" i="1"/>
  <c r="G277" i="1" s="1"/>
  <c r="C275" i="1"/>
  <c r="G275" i="1" s="1"/>
  <c r="C258" i="1"/>
  <c r="G258" i="1" s="1"/>
  <c r="C255" i="1"/>
  <c r="G255" i="1" s="1"/>
  <c r="C251" i="1"/>
  <c r="G251" i="1" s="1"/>
  <c r="C245" i="1"/>
  <c r="G245" i="1" s="1"/>
  <c r="C243" i="1"/>
  <c r="C239" i="1"/>
  <c r="G239" i="1" s="1"/>
  <c r="C237" i="1"/>
  <c r="G237" i="1" s="1"/>
  <c r="C230" i="1"/>
  <c r="G230" i="1" s="1"/>
  <c r="C227" i="1"/>
  <c r="C224" i="1"/>
  <c r="G224" i="1" s="1"/>
  <c r="C221" i="1"/>
  <c r="G221" i="1" s="1"/>
  <c r="C218" i="1"/>
  <c r="C214" i="1"/>
  <c r="C210" i="1"/>
  <c r="G210" i="1" s="1"/>
  <c r="C207" i="1"/>
  <c r="G207" i="1" s="1"/>
  <c r="C204" i="1"/>
  <c r="G204" i="1" s="1"/>
  <c r="C200" i="1"/>
  <c r="G200" i="1" s="1"/>
  <c r="C194" i="1"/>
  <c r="C192" i="1"/>
  <c r="C187" i="1"/>
  <c r="G187" i="1" s="1"/>
  <c r="C185" i="1"/>
  <c r="C181" i="1"/>
  <c r="C179" i="1"/>
  <c r="G179" i="1" s="1"/>
  <c r="C177" i="1"/>
  <c r="G177" i="1" s="1"/>
  <c r="C169" i="1"/>
  <c r="C168" i="1" s="1"/>
  <c r="G168" i="1" s="1"/>
  <c r="C166" i="1"/>
  <c r="C165" i="1" s="1"/>
  <c r="C163" i="1"/>
  <c r="G163" i="1" s="1"/>
  <c r="C159" i="1"/>
  <c r="G159" i="1" s="1"/>
  <c r="C156" i="1"/>
  <c r="G156" i="1" s="1"/>
  <c r="C153" i="1"/>
  <c r="G153" i="1" s="1"/>
  <c r="C146" i="1"/>
  <c r="G146" i="1" s="1"/>
  <c r="C138" i="1"/>
  <c r="C135" i="1"/>
  <c r="G135" i="1" s="1"/>
  <c r="C131" i="1"/>
  <c r="G131" i="1" s="1"/>
  <c r="C127" i="1"/>
  <c r="G127" i="1" s="1"/>
  <c r="C117" i="1"/>
  <c r="C111" i="1" s="1"/>
  <c r="C106" i="1"/>
  <c r="G106" i="1" s="1"/>
  <c r="C102" i="1"/>
  <c r="G102" i="1" s="1"/>
  <c r="C98" i="1"/>
  <c r="C97" i="1" s="1"/>
  <c r="C93" i="1"/>
  <c r="G93" i="1" s="1"/>
  <c r="C91" i="1"/>
  <c r="G91" i="1" s="1"/>
  <c r="C87" i="1"/>
  <c r="G87" i="1" s="1"/>
  <c r="C81" i="1"/>
  <c r="G81" i="1" s="1"/>
  <c r="C78" i="1"/>
  <c r="G78" i="1" s="1"/>
  <c r="C74" i="1"/>
  <c r="G74" i="1" s="1"/>
  <c r="C72" i="1"/>
  <c r="G72" i="1" s="1"/>
  <c r="C67" i="1"/>
  <c r="C56" i="1"/>
  <c r="G56" i="1" s="1"/>
  <c r="C52" i="1"/>
  <c r="G52" i="1" s="1"/>
  <c r="C39" i="1"/>
  <c r="C36" i="1"/>
  <c r="G36" i="1" s="1"/>
  <c r="C27" i="1"/>
  <c r="C23" i="1"/>
  <c r="C19" i="1"/>
  <c r="C11" i="1" s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5" i="1"/>
  <c r="G323" i="1"/>
  <c r="G322" i="1"/>
  <c r="G321" i="1"/>
  <c r="G320" i="1"/>
  <c r="G317" i="1"/>
  <c r="G315" i="1"/>
  <c r="G312" i="1"/>
  <c r="G310" i="1"/>
  <c r="G309" i="1"/>
  <c r="G307" i="1"/>
  <c r="G306" i="1"/>
  <c r="G305" i="1"/>
  <c r="G304" i="1"/>
  <c r="G302" i="1"/>
  <c r="G301" i="1"/>
  <c r="G300" i="1"/>
  <c r="G299" i="1"/>
  <c r="G297" i="1"/>
  <c r="G296" i="1"/>
  <c r="G295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78" i="1"/>
  <c r="G276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7" i="1"/>
  <c r="G256" i="1"/>
  <c r="G253" i="1"/>
  <c r="G252" i="1"/>
  <c r="G246" i="1"/>
  <c r="G244" i="1"/>
  <c r="G240" i="1"/>
  <c r="G413" i="1" s="1"/>
  <c r="G238" i="1"/>
  <c r="G417" i="1" s="1"/>
  <c r="G234" i="1"/>
  <c r="G233" i="1"/>
  <c r="G232" i="1"/>
  <c r="G231" i="1"/>
  <c r="G229" i="1"/>
  <c r="G228" i="1"/>
  <c r="G226" i="1"/>
  <c r="G225" i="1"/>
  <c r="G223" i="1"/>
  <c r="G222" i="1"/>
  <c r="G219" i="1"/>
  <c r="G218" i="1" s="1"/>
  <c r="G217" i="1"/>
  <c r="G216" i="1"/>
  <c r="G215" i="1"/>
  <c r="G212" i="1"/>
  <c r="G211" i="1"/>
  <c r="G209" i="1"/>
  <c r="G208" i="1"/>
  <c r="G205" i="1"/>
  <c r="G203" i="1"/>
  <c r="G202" i="1"/>
  <c r="G201" i="1"/>
  <c r="G199" i="1"/>
  <c r="G198" i="1"/>
  <c r="G197" i="1"/>
  <c r="G196" i="1"/>
  <c r="G195" i="1"/>
  <c r="G193" i="1"/>
  <c r="G192" i="1" s="1"/>
  <c r="G189" i="1"/>
  <c r="G188" i="1"/>
  <c r="G186" i="1"/>
  <c r="G183" i="1"/>
  <c r="G182" i="1"/>
  <c r="G181" i="1" s="1"/>
  <c r="G180" i="1"/>
  <c r="G178" i="1"/>
  <c r="G174" i="1"/>
  <c r="G173" i="1"/>
  <c r="G172" i="1"/>
  <c r="G171" i="1"/>
  <c r="G170" i="1"/>
  <c r="G167" i="1"/>
  <c r="G164" i="1"/>
  <c r="G161" i="1"/>
  <c r="G160" i="1"/>
  <c r="G158" i="1"/>
  <c r="G157" i="1"/>
  <c r="G155" i="1"/>
  <c r="G154" i="1"/>
  <c r="G152" i="1"/>
  <c r="G151" i="1"/>
  <c r="G150" i="1"/>
  <c r="G149" i="1"/>
  <c r="G147" i="1"/>
  <c r="G145" i="1"/>
  <c r="G144" i="1"/>
  <c r="G143" i="1"/>
  <c r="G142" i="1"/>
  <c r="G141" i="1"/>
  <c r="G140" i="1"/>
  <c r="G139" i="1"/>
  <c r="G136" i="1"/>
  <c r="G134" i="1"/>
  <c r="G133" i="1"/>
  <c r="G132" i="1"/>
  <c r="G129" i="1"/>
  <c r="G128" i="1"/>
  <c r="G125" i="1"/>
  <c r="G124" i="1"/>
  <c r="G123" i="1"/>
  <c r="G122" i="1"/>
  <c r="G121" i="1"/>
  <c r="G120" i="1"/>
  <c r="G119" i="1"/>
  <c r="G118" i="1"/>
  <c r="G116" i="1"/>
  <c r="G115" i="1"/>
  <c r="G114" i="1"/>
  <c r="G113" i="1"/>
  <c r="G112" i="1"/>
  <c r="G107" i="1"/>
  <c r="G105" i="1"/>
  <c r="G104" i="1"/>
  <c r="G103" i="1"/>
  <c r="G99" i="1"/>
  <c r="G94" i="1"/>
  <c r="G92" i="1"/>
  <c r="G90" i="1"/>
  <c r="G89" i="1"/>
  <c r="G88" i="1"/>
  <c r="G86" i="1"/>
  <c r="G85" i="1"/>
  <c r="G84" i="1"/>
  <c r="G83" i="1"/>
  <c r="G82" i="1"/>
  <c r="G80" i="1"/>
  <c r="G79" i="1"/>
  <c r="G77" i="1"/>
  <c r="G76" i="1"/>
  <c r="G75" i="1"/>
  <c r="G73" i="1"/>
  <c r="G69" i="1"/>
  <c r="G68" i="1"/>
  <c r="G62" i="1"/>
  <c r="G61" i="1"/>
  <c r="G60" i="1"/>
  <c r="G59" i="1"/>
  <c r="G58" i="1"/>
  <c r="G57" i="1"/>
  <c r="G55" i="1"/>
  <c r="G54" i="1"/>
  <c r="G53" i="1"/>
  <c r="G51" i="1"/>
  <c r="G50" i="1"/>
  <c r="G49" i="1"/>
  <c r="G48" i="1"/>
  <c r="G47" i="1"/>
  <c r="G46" i="1"/>
  <c r="G42" i="1"/>
  <c r="G41" i="1"/>
  <c r="G40" i="1"/>
  <c r="G38" i="1"/>
  <c r="G37" i="1"/>
  <c r="G33" i="1"/>
  <c r="G32" i="1"/>
  <c r="G31" i="1"/>
  <c r="G30" i="1"/>
  <c r="G29" i="1"/>
  <c r="G28" i="1"/>
  <c r="G26" i="1"/>
  <c r="G25" i="1"/>
  <c r="G24" i="1"/>
  <c r="G22" i="1"/>
  <c r="G21" i="1"/>
  <c r="G20" i="1"/>
  <c r="G18" i="1"/>
  <c r="G17" i="1"/>
  <c r="G16" i="1"/>
  <c r="G14" i="1"/>
  <c r="G13" i="1"/>
  <c r="J13" i="1" s="1"/>
  <c r="G12" i="1"/>
  <c r="G15" i="1"/>
  <c r="E108" i="1" l="1"/>
  <c r="AS108" i="1" s="1"/>
  <c r="G67" i="1"/>
  <c r="G66" i="1" s="1"/>
  <c r="G176" i="1"/>
  <c r="G185" i="1"/>
  <c r="G184" i="1" s="1"/>
  <c r="C184" i="1"/>
  <c r="G243" i="1"/>
  <c r="G242" i="1" s="1"/>
  <c r="G241" i="1" s="1"/>
  <c r="G416" i="1" s="1"/>
  <c r="C242" i="1"/>
  <c r="E11" i="1"/>
  <c r="AS11" i="1" s="1"/>
  <c r="AS19" i="1"/>
  <c r="C313" i="1"/>
  <c r="G313" i="1" s="1"/>
  <c r="G314" i="1"/>
  <c r="G19" i="1"/>
  <c r="G11" i="1" s="1"/>
  <c r="G23" i="1"/>
  <c r="C45" i="1"/>
  <c r="G45" i="1" s="1"/>
  <c r="C254" i="1"/>
  <c r="G254" i="1" s="1"/>
  <c r="C148" i="1"/>
  <c r="G148" i="1" s="1"/>
  <c r="G98" i="1"/>
  <c r="C318" i="1"/>
  <c r="G318" i="1" s="1"/>
  <c r="G27" i="1"/>
  <c r="C66" i="1"/>
  <c r="C130" i="1"/>
  <c r="G130" i="1" s="1"/>
  <c r="C220" i="1"/>
  <c r="G220" i="1" s="1"/>
  <c r="C274" i="1"/>
  <c r="G274" i="1" s="1"/>
  <c r="F10" i="1"/>
  <c r="F9" i="1" s="1"/>
  <c r="F8" i="1" s="1"/>
  <c r="F7" i="1" s="1"/>
  <c r="F6" i="1" s="1"/>
  <c r="D10" i="1"/>
  <c r="D9" i="1" s="1"/>
  <c r="D8" i="1" s="1"/>
  <c r="D7" i="1" s="1"/>
  <c r="C96" i="1"/>
  <c r="G96" i="1" s="1"/>
  <c r="G97" i="1"/>
  <c r="C110" i="1"/>
  <c r="G117" i="1"/>
  <c r="G111" i="1" s="1"/>
  <c r="G110" i="1" s="1"/>
  <c r="G214" i="1"/>
  <c r="G213" i="1" s="1"/>
  <c r="C35" i="1"/>
  <c r="G35" i="1" s="1"/>
  <c r="C101" i="1"/>
  <c r="G101" i="1" s="1"/>
  <c r="C213" i="1"/>
  <c r="G227" i="1"/>
  <c r="C176" i="1"/>
  <c r="C126" i="1"/>
  <c r="G126" i="1" s="1"/>
  <c r="C206" i="1"/>
  <c r="G206" i="1" s="1"/>
  <c r="C236" i="1"/>
  <c r="C235" i="1" s="1"/>
  <c r="G235" i="1" s="1"/>
  <c r="C280" i="1"/>
  <c r="G280" i="1" s="1"/>
  <c r="G324" i="1"/>
  <c r="G194" i="1"/>
  <c r="G169" i="1"/>
  <c r="G166" i="1"/>
  <c r="G165" i="1"/>
  <c r="C71" i="1"/>
  <c r="G71" i="1" s="1"/>
  <c r="G39" i="1"/>
  <c r="C10" i="1"/>
  <c r="E63" i="1" l="1"/>
  <c r="AS63" i="1" s="1"/>
  <c r="G191" i="1"/>
  <c r="G175" i="1"/>
  <c r="E10" i="1"/>
  <c r="D6" i="1"/>
  <c r="C44" i="1"/>
  <c r="C43" i="1" s="1"/>
  <c r="G43" i="1" s="1"/>
  <c r="G10" i="1"/>
  <c r="C241" i="1"/>
  <c r="G236" i="1"/>
  <c r="C100" i="1"/>
  <c r="G100" i="1" s="1"/>
  <c r="C279" i="1"/>
  <c r="G279" i="1" s="1"/>
  <c r="G399" i="1" s="1"/>
  <c r="C250" i="1"/>
  <c r="G250" i="1" s="1"/>
  <c r="C175" i="1"/>
  <c r="C191" i="1"/>
  <c r="C34" i="1"/>
  <c r="G34" i="1" s="1"/>
  <c r="C70" i="1"/>
  <c r="G70" i="1" s="1"/>
  <c r="G162" i="1" l="1"/>
  <c r="E9" i="1"/>
  <c r="AS10" i="1"/>
  <c r="G44" i="1"/>
  <c r="C249" i="1"/>
  <c r="G249" i="1" s="1"/>
  <c r="G407" i="1" s="1"/>
  <c r="G9" i="1"/>
  <c r="C95" i="1"/>
  <c r="G95" i="1" s="1"/>
  <c r="G65" i="1" s="1"/>
  <c r="G64" i="1" s="1"/>
  <c r="C9" i="1"/>
  <c r="C8" i="1" s="1"/>
  <c r="C162" i="1"/>
  <c r="G8" i="1" l="1"/>
  <c r="G412" i="1" s="1"/>
  <c r="G414" i="1" s="1"/>
  <c r="AW8" i="1"/>
  <c r="AS9" i="1"/>
  <c r="E8" i="1"/>
  <c r="C65" i="1"/>
  <c r="C64" i="1" s="1"/>
  <c r="N252" i="6"/>
  <c r="AR252" i="6" s="1"/>
  <c r="S218" i="6"/>
  <c r="AW218" i="6" s="1"/>
  <c r="R218" i="6"/>
  <c r="AV218" i="6" s="1"/>
  <c r="Q218" i="6"/>
  <c r="AU218" i="6" s="1"/>
  <c r="H220" i="6"/>
  <c r="H218" i="6" s="1"/>
  <c r="J389" i="6"/>
  <c r="U389" i="6" s="1"/>
  <c r="J388" i="6"/>
  <c r="U388" i="6" s="1"/>
  <c r="J387" i="6"/>
  <c r="U387" i="6" s="1"/>
  <c r="J386" i="6"/>
  <c r="U386" i="6" s="1"/>
  <c r="J385" i="6"/>
  <c r="U385" i="6" s="1"/>
  <c r="J384" i="6"/>
  <c r="U384" i="6" s="1"/>
  <c r="J383" i="6"/>
  <c r="U383" i="6" s="1"/>
  <c r="J382" i="6"/>
  <c r="U382" i="6" s="1"/>
  <c r="T381" i="6"/>
  <c r="S381" i="6"/>
  <c r="AW381" i="6" s="1"/>
  <c r="R381" i="6"/>
  <c r="AV381" i="6" s="1"/>
  <c r="Q381" i="6"/>
  <c r="AU381" i="6" s="1"/>
  <c r="P381" i="6"/>
  <c r="AT381" i="6" s="1"/>
  <c r="O381" i="6"/>
  <c r="AS381" i="6" s="1"/>
  <c r="N381" i="6"/>
  <c r="AR381" i="6" s="1"/>
  <c r="M381" i="6"/>
  <c r="AQ381" i="6" s="1"/>
  <c r="L381" i="6"/>
  <c r="AP381" i="6" s="1"/>
  <c r="K381" i="6"/>
  <c r="AO381" i="6" s="1"/>
  <c r="I381" i="6"/>
  <c r="H381" i="6"/>
  <c r="H380" i="6"/>
  <c r="J380" i="6" s="1"/>
  <c r="U380" i="6" s="1"/>
  <c r="J379" i="6"/>
  <c r="U379" i="6" s="1"/>
  <c r="J378" i="6"/>
  <c r="U378" i="6" s="1"/>
  <c r="J377" i="6"/>
  <c r="U377" i="6" s="1"/>
  <c r="J376" i="6"/>
  <c r="U376" i="6" s="1"/>
  <c r="J375" i="6"/>
  <c r="U375" i="6" s="1"/>
  <c r="J374" i="6"/>
  <c r="U374" i="6" s="1"/>
  <c r="T373" i="6"/>
  <c r="S373" i="6"/>
  <c r="AW373" i="6" s="1"/>
  <c r="R373" i="6"/>
  <c r="AV373" i="6" s="1"/>
  <c r="Q373" i="6"/>
  <c r="AU373" i="6" s="1"/>
  <c r="P373" i="6"/>
  <c r="AT373" i="6" s="1"/>
  <c r="O373" i="6"/>
  <c r="AS373" i="6" s="1"/>
  <c r="N373" i="6"/>
  <c r="AR373" i="6" s="1"/>
  <c r="M373" i="6"/>
  <c r="AQ373" i="6" s="1"/>
  <c r="L373" i="6"/>
  <c r="AP373" i="6" s="1"/>
  <c r="K373" i="6"/>
  <c r="AO373" i="6" s="1"/>
  <c r="I373" i="6"/>
  <c r="J372" i="6"/>
  <c r="U372" i="6" s="1"/>
  <c r="J371" i="6"/>
  <c r="U371" i="6" s="1"/>
  <c r="J370" i="6"/>
  <c r="U370" i="6" s="1"/>
  <c r="J369" i="6"/>
  <c r="U369" i="6" s="1"/>
  <c r="J368" i="6"/>
  <c r="U368" i="6" s="1"/>
  <c r="J367" i="6"/>
  <c r="U367" i="6" s="1"/>
  <c r="J366" i="6"/>
  <c r="U366" i="6" s="1"/>
  <c r="J365" i="6"/>
  <c r="U365" i="6" s="1"/>
  <c r="J364" i="6"/>
  <c r="U364" i="6" s="1"/>
  <c r="J363" i="6"/>
  <c r="U363" i="6" s="1"/>
  <c r="J362" i="6"/>
  <c r="U362" i="6" s="1"/>
  <c r="T361" i="6"/>
  <c r="S361" i="6"/>
  <c r="AW361" i="6" s="1"/>
  <c r="R361" i="6"/>
  <c r="AV361" i="6" s="1"/>
  <c r="Q361" i="6"/>
  <c r="AU361" i="6" s="1"/>
  <c r="P361" i="6"/>
  <c r="AT361" i="6" s="1"/>
  <c r="O361" i="6"/>
  <c r="AS361" i="6" s="1"/>
  <c r="N361" i="6"/>
  <c r="AR361" i="6" s="1"/>
  <c r="M361" i="6"/>
  <c r="AQ361" i="6" s="1"/>
  <c r="L361" i="6"/>
  <c r="AP361" i="6" s="1"/>
  <c r="K361" i="6"/>
  <c r="AO361" i="6" s="1"/>
  <c r="I361" i="6"/>
  <c r="H361" i="6"/>
  <c r="J360" i="6"/>
  <c r="U360" i="6" s="1"/>
  <c r="J359" i="6"/>
  <c r="U359" i="6" s="1"/>
  <c r="J358" i="6"/>
  <c r="U358" i="6" s="1"/>
  <c r="J356" i="6"/>
  <c r="U356" i="6" s="1"/>
  <c r="J355" i="6"/>
  <c r="U355" i="6" s="1"/>
  <c r="J354" i="6"/>
  <c r="U354" i="6" s="1"/>
  <c r="J353" i="6"/>
  <c r="U353" i="6" s="1"/>
  <c r="J352" i="6"/>
  <c r="U352" i="6" s="1"/>
  <c r="H351" i="6"/>
  <c r="J351" i="6" s="1"/>
  <c r="U351" i="6" s="1"/>
  <c r="J350" i="6"/>
  <c r="U350" i="6" s="1"/>
  <c r="T349" i="6"/>
  <c r="S349" i="6"/>
  <c r="AW349" i="6" s="1"/>
  <c r="R349" i="6"/>
  <c r="AV349" i="6" s="1"/>
  <c r="Q349" i="6"/>
  <c r="AU349" i="6" s="1"/>
  <c r="P349" i="6"/>
  <c r="AT349" i="6" s="1"/>
  <c r="O349" i="6"/>
  <c r="AS349" i="6" s="1"/>
  <c r="N349" i="6"/>
  <c r="AR349" i="6" s="1"/>
  <c r="M349" i="6"/>
  <c r="AQ349" i="6" s="1"/>
  <c r="L349" i="6"/>
  <c r="AP349" i="6" s="1"/>
  <c r="K349" i="6"/>
  <c r="AO349" i="6" s="1"/>
  <c r="I349" i="6"/>
  <c r="J348" i="6"/>
  <c r="U348" i="6" s="1"/>
  <c r="J346" i="6"/>
  <c r="U346" i="6" s="1"/>
  <c r="J345" i="6"/>
  <c r="U345" i="6" s="1"/>
  <c r="T344" i="6"/>
  <c r="S344" i="6"/>
  <c r="AW344" i="6" s="1"/>
  <c r="R344" i="6"/>
  <c r="AV344" i="6" s="1"/>
  <c r="Q344" i="6"/>
  <c r="AU344" i="6" s="1"/>
  <c r="P344" i="6"/>
  <c r="AT344" i="6" s="1"/>
  <c r="O344" i="6"/>
  <c r="AS344" i="6" s="1"/>
  <c r="N344" i="6"/>
  <c r="AR344" i="6" s="1"/>
  <c r="M344" i="6"/>
  <c r="AQ344" i="6" s="1"/>
  <c r="L344" i="6"/>
  <c r="AP344" i="6" s="1"/>
  <c r="K344" i="6"/>
  <c r="AO344" i="6" s="1"/>
  <c r="I344" i="6"/>
  <c r="H344" i="6"/>
  <c r="J340" i="6"/>
  <c r="U340" i="6" s="1"/>
  <c r="J339" i="6"/>
  <c r="U339" i="6" s="1"/>
  <c r="J338" i="6"/>
  <c r="U338" i="6" s="1"/>
  <c r="J337" i="6"/>
  <c r="U337" i="6" s="1"/>
  <c r="K336" i="6"/>
  <c r="U336" i="6" s="1"/>
  <c r="J335" i="6"/>
  <c r="U335" i="6" s="1"/>
  <c r="J334" i="6"/>
  <c r="U334" i="6" s="1"/>
  <c r="V330" i="6"/>
  <c r="T329" i="6"/>
  <c r="T319" i="6" s="1"/>
  <c r="S329" i="6"/>
  <c r="R329" i="6"/>
  <c r="Q329" i="6"/>
  <c r="P329" i="6"/>
  <c r="O329" i="6"/>
  <c r="AS329" i="6" s="1"/>
  <c r="N329" i="6"/>
  <c r="AR329" i="6" s="1"/>
  <c r="M329" i="6"/>
  <c r="AQ329" i="6" s="1"/>
  <c r="L329" i="6"/>
  <c r="AP329" i="6" s="1"/>
  <c r="K329" i="6"/>
  <c r="AO329" i="6" s="1"/>
  <c r="J329" i="6"/>
  <c r="AN329" i="6" s="1"/>
  <c r="I329" i="6"/>
  <c r="H329" i="6"/>
  <c r="H319" i="6" s="1"/>
  <c r="X324" i="6"/>
  <c r="X323" i="6"/>
  <c r="V322" i="6"/>
  <c r="X322" i="6" s="1"/>
  <c r="V321" i="6"/>
  <c r="V318" i="6"/>
  <c r="T317" i="6"/>
  <c r="S317" i="6"/>
  <c r="AW317" i="6" s="1"/>
  <c r="R317" i="6"/>
  <c r="AV317" i="6" s="1"/>
  <c r="Q317" i="6"/>
  <c r="AU317" i="6" s="1"/>
  <c r="P317" i="6"/>
  <c r="AT317" i="6" s="1"/>
  <c r="O317" i="6"/>
  <c r="AS317" i="6" s="1"/>
  <c r="N317" i="6"/>
  <c r="AR317" i="6" s="1"/>
  <c r="M317" i="6"/>
  <c r="AQ317" i="6" s="1"/>
  <c r="L317" i="6"/>
  <c r="AP317" i="6" s="1"/>
  <c r="K317" i="6"/>
  <c r="AO317" i="6" s="1"/>
  <c r="J317" i="6"/>
  <c r="AN317" i="6" s="1"/>
  <c r="I317" i="6"/>
  <c r="H317" i="6"/>
  <c r="V316" i="6"/>
  <c r="T315" i="6"/>
  <c r="S315" i="6"/>
  <c r="AW315" i="6" s="1"/>
  <c r="R315" i="6"/>
  <c r="AV315" i="6" s="1"/>
  <c r="Q315" i="6"/>
  <c r="AU315" i="6" s="1"/>
  <c r="P315" i="6"/>
  <c r="AT315" i="6" s="1"/>
  <c r="O315" i="6"/>
  <c r="AS315" i="6" s="1"/>
  <c r="N315" i="6"/>
  <c r="AR315" i="6" s="1"/>
  <c r="M315" i="6"/>
  <c r="AQ315" i="6" s="1"/>
  <c r="L315" i="6"/>
  <c r="AP315" i="6" s="1"/>
  <c r="K315" i="6"/>
  <c r="AO315" i="6" s="1"/>
  <c r="J315" i="6"/>
  <c r="AN315" i="6" s="1"/>
  <c r="I315" i="6"/>
  <c r="H315" i="6"/>
  <c r="V313" i="6"/>
  <c r="T312" i="6"/>
  <c r="S312" i="6"/>
  <c r="AW312" i="6" s="1"/>
  <c r="R312" i="6"/>
  <c r="AV312" i="6" s="1"/>
  <c r="Q312" i="6"/>
  <c r="AU312" i="6" s="1"/>
  <c r="P312" i="6"/>
  <c r="AT312" i="6" s="1"/>
  <c r="O312" i="6"/>
  <c r="AS312" i="6" s="1"/>
  <c r="N312" i="6"/>
  <c r="AR312" i="6" s="1"/>
  <c r="M312" i="6"/>
  <c r="AQ312" i="6" s="1"/>
  <c r="L312" i="6"/>
  <c r="AP312" i="6" s="1"/>
  <c r="K312" i="6"/>
  <c r="AO312" i="6" s="1"/>
  <c r="J312" i="6"/>
  <c r="AN312" i="6" s="1"/>
  <c r="I312" i="6"/>
  <c r="H312" i="6"/>
  <c r="V311" i="6"/>
  <c r="X311" i="6" s="1"/>
  <c r="V310" i="6"/>
  <c r="X310" i="6" s="1"/>
  <c r="T309" i="6"/>
  <c r="S309" i="6"/>
  <c r="AW309" i="6" s="1"/>
  <c r="R309" i="6"/>
  <c r="AV309" i="6" s="1"/>
  <c r="Q309" i="6"/>
  <c r="AU309" i="6" s="1"/>
  <c r="P309" i="6"/>
  <c r="AT309" i="6" s="1"/>
  <c r="O309" i="6"/>
  <c r="AS309" i="6" s="1"/>
  <c r="N309" i="6"/>
  <c r="AR309" i="6" s="1"/>
  <c r="M309" i="6"/>
  <c r="AQ309" i="6" s="1"/>
  <c r="L309" i="6"/>
  <c r="AP309" i="6" s="1"/>
  <c r="K309" i="6"/>
  <c r="AO309" i="6" s="1"/>
  <c r="J309" i="6"/>
  <c r="AN309" i="6" s="1"/>
  <c r="I309" i="6"/>
  <c r="H309" i="6"/>
  <c r="X304" i="6"/>
  <c r="X302" i="6"/>
  <c r="X301" i="6"/>
  <c r="T300" i="6"/>
  <c r="S300" i="6"/>
  <c r="AW300" i="6" s="1"/>
  <c r="R300" i="6"/>
  <c r="AV300" i="6" s="1"/>
  <c r="Q300" i="6"/>
  <c r="AU300" i="6" s="1"/>
  <c r="P300" i="6"/>
  <c r="AT300" i="6" s="1"/>
  <c r="O300" i="6"/>
  <c r="AS300" i="6" s="1"/>
  <c r="N300" i="6"/>
  <c r="AR300" i="6" s="1"/>
  <c r="M300" i="6"/>
  <c r="AQ300" i="6" s="1"/>
  <c r="L300" i="6"/>
  <c r="AP300" i="6" s="1"/>
  <c r="K300" i="6"/>
  <c r="AO300" i="6" s="1"/>
  <c r="J300" i="6"/>
  <c r="AN300" i="6" s="1"/>
  <c r="I300" i="6"/>
  <c r="H300" i="6"/>
  <c r="V299" i="6"/>
  <c r="X299" i="6" s="1"/>
  <c r="V298" i="6"/>
  <c r="X298" i="6" s="1"/>
  <c r="V297" i="6"/>
  <c r="X297" i="6" s="1"/>
  <c r="V296" i="6"/>
  <c r="X296" i="6" s="1"/>
  <c r="T295" i="6"/>
  <c r="S295" i="6"/>
  <c r="AW295" i="6" s="1"/>
  <c r="R295" i="6"/>
  <c r="AV295" i="6" s="1"/>
  <c r="Q295" i="6"/>
  <c r="AU295" i="6" s="1"/>
  <c r="P295" i="6"/>
  <c r="AT295" i="6" s="1"/>
  <c r="O295" i="6"/>
  <c r="AS295" i="6" s="1"/>
  <c r="N295" i="6"/>
  <c r="AR295" i="6" s="1"/>
  <c r="M295" i="6"/>
  <c r="AQ295" i="6" s="1"/>
  <c r="L295" i="6"/>
  <c r="AP295" i="6" s="1"/>
  <c r="K295" i="6"/>
  <c r="AO295" i="6" s="1"/>
  <c r="J295" i="6"/>
  <c r="AN295" i="6" s="1"/>
  <c r="I295" i="6"/>
  <c r="H295" i="6"/>
  <c r="X294" i="6"/>
  <c r="X293" i="6"/>
  <c r="T291" i="6"/>
  <c r="S291" i="6"/>
  <c r="AW291" i="6" s="1"/>
  <c r="R291" i="6"/>
  <c r="AV291" i="6" s="1"/>
  <c r="Q291" i="6"/>
  <c r="AU291" i="6" s="1"/>
  <c r="P291" i="6"/>
  <c r="AT291" i="6" s="1"/>
  <c r="O291" i="6"/>
  <c r="AS291" i="6" s="1"/>
  <c r="N291" i="6"/>
  <c r="AR291" i="6" s="1"/>
  <c r="M291" i="6"/>
  <c r="AQ291" i="6" s="1"/>
  <c r="L291" i="6"/>
  <c r="AP291" i="6" s="1"/>
  <c r="K291" i="6"/>
  <c r="AO291" i="6" s="1"/>
  <c r="J291" i="6"/>
  <c r="AN291" i="6" s="1"/>
  <c r="I291" i="6"/>
  <c r="H291" i="6"/>
  <c r="X289" i="6"/>
  <c r="X288" i="6"/>
  <c r="X287" i="6"/>
  <c r="X286" i="6"/>
  <c r="X283" i="6"/>
  <c r="V279" i="6"/>
  <c r="V275" i="6"/>
  <c r="T274" i="6"/>
  <c r="S274" i="6"/>
  <c r="AW274" i="6" s="1"/>
  <c r="R274" i="6"/>
  <c r="AV274" i="6" s="1"/>
  <c r="Q274" i="6"/>
  <c r="AU274" i="6" s="1"/>
  <c r="P274" i="6"/>
  <c r="AT274" i="6" s="1"/>
  <c r="O274" i="6"/>
  <c r="AS274" i="6" s="1"/>
  <c r="N274" i="6"/>
  <c r="AR274" i="6" s="1"/>
  <c r="M274" i="6"/>
  <c r="AQ274" i="6" s="1"/>
  <c r="L274" i="6"/>
  <c r="AP274" i="6" s="1"/>
  <c r="K274" i="6"/>
  <c r="AO274" i="6" s="1"/>
  <c r="J274" i="6"/>
  <c r="AN274" i="6" s="1"/>
  <c r="I274" i="6"/>
  <c r="H274" i="6"/>
  <c r="V273" i="6"/>
  <c r="I272" i="6"/>
  <c r="H272" i="6"/>
  <c r="X254" i="6"/>
  <c r="T252" i="6"/>
  <c r="T251" i="6" s="1"/>
  <c r="S252" i="6"/>
  <c r="R252" i="6"/>
  <c r="Q252" i="6"/>
  <c r="P252" i="6"/>
  <c r="O252" i="6"/>
  <c r="AS252" i="6" s="1"/>
  <c r="M252" i="6"/>
  <c r="AQ252" i="6" s="1"/>
  <c r="L252" i="6"/>
  <c r="AP252" i="6" s="1"/>
  <c r="K252" i="6"/>
  <c r="AO252" i="6" s="1"/>
  <c r="J252" i="6"/>
  <c r="AN252" i="6" s="1"/>
  <c r="I252" i="6"/>
  <c r="H252" i="6"/>
  <c r="V250" i="6"/>
  <c r="X250" i="6" s="1"/>
  <c r="V249" i="6"/>
  <c r="I244" i="6"/>
  <c r="U244" i="6" s="1"/>
  <c r="T239" i="6"/>
  <c r="T238" i="6" s="1"/>
  <c r="S239" i="6"/>
  <c r="R239" i="6"/>
  <c r="Q239" i="6"/>
  <c r="P239" i="6"/>
  <c r="N239" i="6"/>
  <c r="AR239" i="6" s="1"/>
  <c r="H239" i="6"/>
  <c r="H238" i="6" s="1"/>
  <c r="V237" i="6"/>
  <c r="T236" i="6"/>
  <c r="T425" i="6" s="1"/>
  <c r="S236" i="6"/>
  <c r="R236" i="6"/>
  <c r="Q236" i="6"/>
  <c r="P236" i="6"/>
  <c r="O236" i="6"/>
  <c r="N236" i="6"/>
  <c r="M236" i="6"/>
  <c r="L236" i="6"/>
  <c r="K236" i="6"/>
  <c r="J236" i="6"/>
  <c r="I236" i="6"/>
  <c r="H236" i="6"/>
  <c r="V161" i="6"/>
  <c r="V160" i="6" s="1"/>
  <c r="V231" i="6"/>
  <c r="X231" i="6" s="1"/>
  <c r="V230" i="6"/>
  <c r="X230" i="6" s="1"/>
  <c r="V229" i="6"/>
  <c r="X229" i="6" s="1"/>
  <c r="V228" i="6"/>
  <c r="X228" i="6" s="1"/>
  <c r="T227" i="6"/>
  <c r="S227" i="6"/>
  <c r="AW227" i="6" s="1"/>
  <c r="R227" i="6"/>
  <c r="AV227" i="6" s="1"/>
  <c r="Q227" i="6"/>
  <c r="AU227" i="6" s="1"/>
  <c r="P227" i="6"/>
  <c r="AT227" i="6" s="1"/>
  <c r="O227" i="6"/>
  <c r="AS227" i="6" s="1"/>
  <c r="N227" i="6"/>
  <c r="AR227" i="6" s="1"/>
  <c r="M227" i="6"/>
  <c r="AQ227" i="6" s="1"/>
  <c r="L227" i="6"/>
  <c r="AP227" i="6" s="1"/>
  <c r="K227" i="6"/>
  <c r="AO227" i="6" s="1"/>
  <c r="J227" i="6"/>
  <c r="AN227" i="6" s="1"/>
  <c r="I227" i="6"/>
  <c r="H227" i="6"/>
  <c r="V226" i="6"/>
  <c r="X226" i="6" s="1"/>
  <c r="V225" i="6"/>
  <c r="X225" i="6" s="1"/>
  <c r="T224" i="6"/>
  <c r="S224" i="6"/>
  <c r="AW224" i="6" s="1"/>
  <c r="R224" i="6"/>
  <c r="AV224" i="6" s="1"/>
  <c r="Q224" i="6"/>
  <c r="AU224" i="6" s="1"/>
  <c r="P224" i="6"/>
  <c r="AT224" i="6" s="1"/>
  <c r="O224" i="6"/>
  <c r="AS224" i="6" s="1"/>
  <c r="N224" i="6"/>
  <c r="AR224" i="6" s="1"/>
  <c r="M224" i="6"/>
  <c r="AQ224" i="6" s="1"/>
  <c r="L224" i="6"/>
  <c r="AP224" i="6" s="1"/>
  <c r="K224" i="6"/>
  <c r="AO224" i="6" s="1"/>
  <c r="J224" i="6"/>
  <c r="AN224" i="6" s="1"/>
  <c r="I224" i="6"/>
  <c r="H224" i="6"/>
  <c r="V223" i="6"/>
  <c r="X223" i="6" s="1"/>
  <c r="V222" i="6"/>
  <c r="X222" i="6" s="1"/>
  <c r="T221" i="6"/>
  <c r="S221" i="6"/>
  <c r="AW221" i="6" s="1"/>
  <c r="R221" i="6"/>
  <c r="AV221" i="6" s="1"/>
  <c r="Q221" i="6"/>
  <c r="AU221" i="6" s="1"/>
  <c r="P221" i="6"/>
  <c r="AT221" i="6" s="1"/>
  <c r="O221" i="6"/>
  <c r="AS221" i="6" s="1"/>
  <c r="N221" i="6"/>
  <c r="AR221" i="6" s="1"/>
  <c r="M221" i="6"/>
  <c r="AQ221" i="6" s="1"/>
  <c r="L221" i="6"/>
  <c r="AP221" i="6" s="1"/>
  <c r="K221" i="6"/>
  <c r="AO221" i="6" s="1"/>
  <c r="J221" i="6"/>
  <c r="AN221" i="6" s="1"/>
  <c r="I221" i="6"/>
  <c r="H221" i="6"/>
  <c r="X219" i="6"/>
  <c r="V216" i="6"/>
  <c r="T215" i="6"/>
  <c r="S215" i="6"/>
  <c r="AW215" i="6" s="1"/>
  <c r="R215" i="6"/>
  <c r="AV215" i="6" s="1"/>
  <c r="Q215" i="6"/>
  <c r="AU215" i="6" s="1"/>
  <c r="P215" i="6"/>
  <c r="AT215" i="6" s="1"/>
  <c r="O215" i="6"/>
  <c r="AS215" i="6" s="1"/>
  <c r="N215" i="6"/>
  <c r="AR215" i="6" s="1"/>
  <c r="M215" i="6"/>
  <c r="AQ215" i="6" s="1"/>
  <c r="L215" i="6"/>
  <c r="AP215" i="6" s="1"/>
  <c r="K215" i="6"/>
  <c r="AO215" i="6" s="1"/>
  <c r="J215" i="6"/>
  <c r="AN215" i="6" s="1"/>
  <c r="I215" i="6"/>
  <c r="H215" i="6"/>
  <c r="V214" i="6"/>
  <c r="X214" i="6" s="1"/>
  <c r="V213" i="6"/>
  <c r="X213" i="6" s="1"/>
  <c r="V212" i="6"/>
  <c r="V211" i="6" s="1"/>
  <c r="V202" i="6"/>
  <c r="T201" i="6"/>
  <c r="S201" i="6"/>
  <c r="AW201" i="6" s="1"/>
  <c r="R201" i="6"/>
  <c r="AV201" i="6" s="1"/>
  <c r="Q201" i="6"/>
  <c r="AU201" i="6" s="1"/>
  <c r="P201" i="6"/>
  <c r="AT201" i="6" s="1"/>
  <c r="O201" i="6"/>
  <c r="AS201" i="6" s="1"/>
  <c r="N201" i="6"/>
  <c r="AR201" i="6" s="1"/>
  <c r="M201" i="6"/>
  <c r="AQ201" i="6" s="1"/>
  <c r="L201" i="6"/>
  <c r="AP201" i="6" s="1"/>
  <c r="K201" i="6"/>
  <c r="AO201" i="6" s="1"/>
  <c r="J201" i="6"/>
  <c r="AN201" i="6" s="1"/>
  <c r="I201" i="6"/>
  <c r="H201" i="6"/>
  <c r="V200" i="6"/>
  <c r="X200" i="6" s="1"/>
  <c r="V199" i="6"/>
  <c r="X199" i="6" s="1"/>
  <c r="V198" i="6"/>
  <c r="X198" i="6" s="1"/>
  <c r="T197" i="6"/>
  <c r="S197" i="6"/>
  <c r="AW197" i="6" s="1"/>
  <c r="R197" i="6"/>
  <c r="AV197" i="6" s="1"/>
  <c r="Q197" i="6"/>
  <c r="AU197" i="6" s="1"/>
  <c r="P197" i="6"/>
  <c r="AT197" i="6" s="1"/>
  <c r="O197" i="6"/>
  <c r="AS197" i="6" s="1"/>
  <c r="N197" i="6"/>
  <c r="AR197" i="6" s="1"/>
  <c r="M197" i="6"/>
  <c r="AQ197" i="6" s="1"/>
  <c r="L197" i="6"/>
  <c r="AP197" i="6" s="1"/>
  <c r="K197" i="6"/>
  <c r="AO197" i="6" s="1"/>
  <c r="J197" i="6"/>
  <c r="AN197" i="6" s="1"/>
  <c r="I197" i="6"/>
  <c r="H197" i="6"/>
  <c r="P195" i="6"/>
  <c r="U195" i="6" s="1"/>
  <c r="V194" i="6"/>
  <c r="X194" i="6" s="1"/>
  <c r="V193" i="6"/>
  <c r="T192" i="6"/>
  <c r="T191" i="6" s="1"/>
  <c r="S192" i="6"/>
  <c r="R192" i="6"/>
  <c r="Q192" i="6"/>
  <c r="P192" i="6"/>
  <c r="AT192" i="6" s="1"/>
  <c r="O192" i="6"/>
  <c r="AS192" i="6" s="1"/>
  <c r="N192" i="6"/>
  <c r="AR192" i="6" s="1"/>
  <c r="M192" i="6"/>
  <c r="AQ192" i="6" s="1"/>
  <c r="L192" i="6"/>
  <c r="AP192" i="6" s="1"/>
  <c r="K192" i="6"/>
  <c r="AO192" i="6" s="1"/>
  <c r="J192" i="6"/>
  <c r="AN192" i="6" s="1"/>
  <c r="I192" i="6"/>
  <c r="H192" i="6"/>
  <c r="V189" i="6"/>
  <c r="X189" i="6" s="1"/>
  <c r="T189" i="6"/>
  <c r="S189" i="6"/>
  <c r="AW189" i="6" s="1"/>
  <c r="R189" i="6"/>
  <c r="AV189" i="6" s="1"/>
  <c r="Q189" i="6"/>
  <c r="AU189" i="6" s="1"/>
  <c r="P189" i="6"/>
  <c r="AT189" i="6" s="1"/>
  <c r="O189" i="6"/>
  <c r="AS189" i="6" s="1"/>
  <c r="N189" i="6"/>
  <c r="AR189" i="6" s="1"/>
  <c r="M189" i="6"/>
  <c r="AQ189" i="6" s="1"/>
  <c r="L189" i="6"/>
  <c r="AP189" i="6" s="1"/>
  <c r="K189" i="6"/>
  <c r="AO189" i="6" s="1"/>
  <c r="J189" i="6"/>
  <c r="AN189" i="6" s="1"/>
  <c r="I189" i="6"/>
  <c r="H189" i="6"/>
  <c r="X186" i="6"/>
  <c r="V185" i="6"/>
  <c r="X185" i="6" s="1"/>
  <c r="T184" i="6"/>
  <c r="T181" i="6" s="1"/>
  <c r="S184" i="6"/>
  <c r="R184" i="6"/>
  <c r="Q184" i="6"/>
  <c r="P184" i="6"/>
  <c r="O184" i="6"/>
  <c r="AS184" i="6" s="1"/>
  <c r="N184" i="6"/>
  <c r="AR184" i="6" s="1"/>
  <c r="M184" i="6"/>
  <c r="AQ184" i="6" s="1"/>
  <c r="L184" i="6"/>
  <c r="AP184" i="6" s="1"/>
  <c r="K184" i="6"/>
  <c r="AO184" i="6" s="1"/>
  <c r="J184" i="6"/>
  <c r="AN184" i="6" s="1"/>
  <c r="I184" i="6"/>
  <c r="H184" i="6"/>
  <c r="H181" i="6" s="1"/>
  <c r="V183" i="6"/>
  <c r="V182" i="6" s="1"/>
  <c r="V180" i="6"/>
  <c r="X180" i="6" s="1"/>
  <c r="V179" i="6"/>
  <c r="T178" i="6"/>
  <c r="S178" i="6"/>
  <c r="AW178" i="6" s="1"/>
  <c r="R178" i="6"/>
  <c r="AV178" i="6" s="1"/>
  <c r="Q178" i="6"/>
  <c r="AU178" i="6" s="1"/>
  <c r="P178" i="6"/>
  <c r="AT178" i="6" s="1"/>
  <c r="O178" i="6"/>
  <c r="AS178" i="6" s="1"/>
  <c r="N178" i="6"/>
  <c r="AR178" i="6" s="1"/>
  <c r="M178" i="6"/>
  <c r="AQ178" i="6" s="1"/>
  <c r="L178" i="6"/>
  <c r="AP178" i="6" s="1"/>
  <c r="K178" i="6"/>
  <c r="AO178" i="6" s="1"/>
  <c r="J178" i="6"/>
  <c r="AN178" i="6" s="1"/>
  <c r="I178" i="6"/>
  <c r="H178" i="6"/>
  <c r="V177" i="6"/>
  <c r="T176" i="6"/>
  <c r="S176" i="6"/>
  <c r="AW176" i="6" s="1"/>
  <c r="R176" i="6"/>
  <c r="AV176" i="6" s="1"/>
  <c r="Q176" i="6"/>
  <c r="AU176" i="6" s="1"/>
  <c r="P176" i="6"/>
  <c r="AT176" i="6" s="1"/>
  <c r="O176" i="6"/>
  <c r="AS176" i="6" s="1"/>
  <c r="N176" i="6"/>
  <c r="AR176" i="6" s="1"/>
  <c r="M176" i="6"/>
  <c r="AQ176" i="6" s="1"/>
  <c r="L176" i="6"/>
  <c r="AP176" i="6" s="1"/>
  <c r="K176" i="6"/>
  <c r="AO176" i="6" s="1"/>
  <c r="J176" i="6"/>
  <c r="AN176" i="6" s="1"/>
  <c r="I176" i="6"/>
  <c r="H176" i="6"/>
  <c r="V175" i="6"/>
  <c r="V174" i="6" s="1"/>
  <c r="V171" i="6"/>
  <c r="V170" i="6"/>
  <c r="X170" i="6" s="1"/>
  <c r="V169" i="6"/>
  <c r="X169" i="6" s="1"/>
  <c r="V168" i="6"/>
  <c r="X168" i="6" s="1"/>
  <c r="V167" i="6"/>
  <c r="X167" i="6" s="1"/>
  <c r="T166" i="6"/>
  <c r="T165" i="6" s="1"/>
  <c r="S166" i="6"/>
  <c r="R166" i="6"/>
  <c r="Q166" i="6"/>
  <c r="P166" i="6"/>
  <c r="O166" i="6"/>
  <c r="AS166" i="6" s="1"/>
  <c r="N166" i="6"/>
  <c r="AR166" i="6" s="1"/>
  <c r="M166" i="6"/>
  <c r="AQ166" i="6" s="1"/>
  <c r="L166" i="6"/>
  <c r="AP166" i="6" s="1"/>
  <c r="K166" i="6"/>
  <c r="AO166" i="6" s="1"/>
  <c r="J166" i="6"/>
  <c r="AN166" i="6" s="1"/>
  <c r="I166" i="6"/>
  <c r="H166" i="6"/>
  <c r="V152" i="6"/>
  <c r="X152" i="6" s="1"/>
  <c r="V151" i="6"/>
  <c r="T145" i="6"/>
  <c r="S145" i="6"/>
  <c r="AW145" i="6" s="1"/>
  <c r="R145" i="6"/>
  <c r="AV145" i="6" s="1"/>
  <c r="Q145" i="6"/>
  <c r="AU145" i="6" s="1"/>
  <c r="P145" i="6"/>
  <c r="AT145" i="6" s="1"/>
  <c r="O145" i="6"/>
  <c r="AS145" i="6" s="1"/>
  <c r="N145" i="6"/>
  <c r="AR145" i="6" s="1"/>
  <c r="M145" i="6"/>
  <c r="AQ145" i="6" s="1"/>
  <c r="L145" i="6"/>
  <c r="AP145" i="6" s="1"/>
  <c r="K145" i="6"/>
  <c r="AO145" i="6" s="1"/>
  <c r="J145" i="6"/>
  <c r="AN145" i="6" s="1"/>
  <c r="I145" i="6"/>
  <c r="H145" i="6"/>
  <c r="V147" i="6"/>
  <c r="V144" i="6"/>
  <c r="T143" i="6"/>
  <c r="S143" i="6"/>
  <c r="AW143" i="6" s="1"/>
  <c r="R143" i="6"/>
  <c r="AV143" i="6" s="1"/>
  <c r="Q143" i="6"/>
  <c r="AU143" i="6" s="1"/>
  <c r="P143" i="6"/>
  <c r="AT143" i="6" s="1"/>
  <c r="O143" i="6"/>
  <c r="AS143" i="6" s="1"/>
  <c r="N143" i="6"/>
  <c r="AR143" i="6" s="1"/>
  <c r="M143" i="6"/>
  <c r="AQ143" i="6" s="1"/>
  <c r="L143" i="6"/>
  <c r="AP143" i="6" s="1"/>
  <c r="K143" i="6"/>
  <c r="AO143" i="6" s="1"/>
  <c r="J143" i="6"/>
  <c r="AN143" i="6" s="1"/>
  <c r="I143" i="6"/>
  <c r="H143" i="6"/>
  <c r="V142" i="6"/>
  <c r="X142" i="6" s="1"/>
  <c r="V141" i="6"/>
  <c r="X141" i="6" s="1"/>
  <c r="V140" i="6"/>
  <c r="X140" i="6" s="1"/>
  <c r="V139" i="6"/>
  <c r="X139" i="6" s="1"/>
  <c r="V138" i="6"/>
  <c r="X138" i="6" s="1"/>
  <c r="V137" i="6"/>
  <c r="X137" i="6" s="1"/>
  <c r="V136" i="6"/>
  <c r="V133" i="6"/>
  <c r="H132" i="6"/>
  <c r="V131" i="6"/>
  <c r="X131" i="6" s="1"/>
  <c r="V130" i="6"/>
  <c r="X130" i="6" s="1"/>
  <c r="V129" i="6"/>
  <c r="X129" i="6" s="1"/>
  <c r="T128" i="6"/>
  <c r="T127" i="6" s="1"/>
  <c r="S128" i="6"/>
  <c r="R128" i="6"/>
  <c r="Q128" i="6"/>
  <c r="P128" i="6"/>
  <c r="O128" i="6"/>
  <c r="AS128" i="6" s="1"/>
  <c r="N128" i="6"/>
  <c r="AR128" i="6" s="1"/>
  <c r="M128" i="6"/>
  <c r="AQ128" i="6" s="1"/>
  <c r="L128" i="6"/>
  <c r="AP128" i="6" s="1"/>
  <c r="K128" i="6"/>
  <c r="AO128" i="6" s="1"/>
  <c r="J128" i="6"/>
  <c r="AN128" i="6" s="1"/>
  <c r="I128" i="6"/>
  <c r="H128" i="6"/>
  <c r="V126" i="6"/>
  <c r="X126" i="6" s="1"/>
  <c r="V125" i="6"/>
  <c r="V122" i="6"/>
  <c r="X122" i="6" s="1"/>
  <c r="V121" i="6"/>
  <c r="X121" i="6" s="1"/>
  <c r="V120" i="6"/>
  <c r="X120" i="6" s="1"/>
  <c r="V119" i="6"/>
  <c r="X119" i="6" s="1"/>
  <c r="V118" i="6"/>
  <c r="X118" i="6" s="1"/>
  <c r="V117" i="6"/>
  <c r="X117" i="6" s="1"/>
  <c r="V116" i="6"/>
  <c r="X116" i="6" s="1"/>
  <c r="V115" i="6"/>
  <c r="X115" i="6" s="1"/>
  <c r="T114" i="6"/>
  <c r="T108" i="6" s="1"/>
  <c r="T107" i="6" s="1"/>
  <c r="S114" i="6"/>
  <c r="R114" i="6"/>
  <c r="Q114" i="6"/>
  <c r="P114" i="6"/>
  <c r="O114" i="6"/>
  <c r="AS114" i="6" s="1"/>
  <c r="N114" i="6"/>
  <c r="AR114" i="6" s="1"/>
  <c r="M114" i="6"/>
  <c r="AQ114" i="6" s="1"/>
  <c r="L114" i="6"/>
  <c r="AP114" i="6" s="1"/>
  <c r="K114" i="6"/>
  <c r="AO114" i="6" s="1"/>
  <c r="J114" i="6"/>
  <c r="AN114" i="6" s="1"/>
  <c r="I114" i="6"/>
  <c r="H114" i="6"/>
  <c r="H108" i="6" s="1"/>
  <c r="H107" i="6" s="1"/>
  <c r="V112" i="6"/>
  <c r="X112" i="6" s="1"/>
  <c r="V111" i="6"/>
  <c r="X111" i="6" s="1"/>
  <c r="V110" i="6"/>
  <c r="X110" i="6" s="1"/>
  <c r="V109" i="6"/>
  <c r="V104" i="6"/>
  <c r="T103" i="6"/>
  <c r="S103" i="6"/>
  <c r="AW103" i="6" s="1"/>
  <c r="R103" i="6"/>
  <c r="AV103" i="6" s="1"/>
  <c r="Q103" i="6"/>
  <c r="AU103" i="6" s="1"/>
  <c r="P103" i="6"/>
  <c r="AT103" i="6" s="1"/>
  <c r="O103" i="6"/>
  <c r="AS103" i="6" s="1"/>
  <c r="N103" i="6"/>
  <c r="AR103" i="6" s="1"/>
  <c r="M103" i="6"/>
  <c r="AQ103" i="6" s="1"/>
  <c r="L103" i="6"/>
  <c r="AP103" i="6" s="1"/>
  <c r="K103" i="6"/>
  <c r="AO103" i="6" s="1"/>
  <c r="J103" i="6"/>
  <c r="AN103" i="6" s="1"/>
  <c r="I103" i="6"/>
  <c r="H103" i="6"/>
  <c r="V102" i="6"/>
  <c r="X102" i="6" s="1"/>
  <c r="V101" i="6"/>
  <c r="X101" i="6" s="1"/>
  <c r="V100" i="6"/>
  <c r="X100" i="6" s="1"/>
  <c r="Y100" i="6" s="1"/>
  <c r="T99" i="6"/>
  <c r="T98" i="6" s="1"/>
  <c r="T97" i="6" s="1"/>
  <c r="S99" i="6"/>
  <c r="R99" i="6"/>
  <c r="Q99" i="6"/>
  <c r="P99" i="6"/>
  <c r="O99" i="6"/>
  <c r="AS99" i="6" s="1"/>
  <c r="N99" i="6"/>
  <c r="AR99" i="6" s="1"/>
  <c r="M99" i="6"/>
  <c r="AQ99" i="6" s="1"/>
  <c r="L99" i="6"/>
  <c r="AP99" i="6" s="1"/>
  <c r="K99" i="6"/>
  <c r="AO99" i="6" s="1"/>
  <c r="J99" i="6"/>
  <c r="AN99" i="6" s="1"/>
  <c r="I99" i="6"/>
  <c r="H99" i="6"/>
  <c r="X94" i="6"/>
  <c r="Y94" i="6" s="1"/>
  <c r="T92" i="6"/>
  <c r="S92" i="6"/>
  <c r="AW92" i="6" s="1"/>
  <c r="R92" i="6"/>
  <c r="AV92" i="6" s="1"/>
  <c r="Q92" i="6"/>
  <c r="AU92" i="6" s="1"/>
  <c r="P92" i="6"/>
  <c r="AT92" i="6" s="1"/>
  <c r="O92" i="6"/>
  <c r="AS92" i="6" s="1"/>
  <c r="N92" i="6"/>
  <c r="AR92" i="6" s="1"/>
  <c r="M92" i="6"/>
  <c r="AQ92" i="6" s="1"/>
  <c r="L92" i="6"/>
  <c r="AP92" i="6" s="1"/>
  <c r="K92" i="6"/>
  <c r="AO92" i="6" s="1"/>
  <c r="J92" i="6"/>
  <c r="AN92" i="6" s="1"/>
  <c r="I92" i="6"/>
  <c r="H92" i="6"/>
  <c r="V89" i="6"/>
  <c r="X89" i="6" s="1"/>
  <c r="T89" i="6"/>
  <c r="S89" i="6"/>
  <c r="AW89" i="6" s="1"/>
  <c r="R89" i="6"/>
  <c r="AV89" i="6" s="1"/>
  <c r="Q89" i="6"/>
  <c r="AU89" i="6" s="1"/>
  <c r="P89" i="6"/>
  <c r="AT89" i="6" s="1"/>
  <c r="O89" i="6"/>
  <c r="AS89" i="6" s="1"/>
  <c r="N89" i="6"/>
  <c r="AR89" i="6" s="1"/>
  <c r="M89" i="6"/>
  <c r="AQ89" i="6" s="1"/>
  <c r="L89" i="6"/>
  <c r="AP89" i="6" s="1"/>
  <c r="K89" i="6"/>
  <c r="AO89" i="6" s="1"/>
  <c r="J89" i="6"/>
  <c r="AN89" i="6" s="1"/>
  <c r="I89" i="6"/>
  <c r="H89" i="6"/>
  <c r="V88" i="6"/>
  <c r="T87" i="6"/>
  <c r="S87" i="6"/>
  <c r="AW87" i="6" s="1"/>
  <c r="R87" i="6"/>
  <c r="AV87" i="6" s="1"/>
  <c r="Q87" i="6"/>
  <c r="AU87" i="6" s="1"/>
  <c r="P87" i="6"/>
  <c r="AT87" i="6" s="1"/>
  <c r="O87" i="6"/>
  <c r="AS87" i="6" s="1"/>
  <c r="N87" i="6"/>
  <c r="AR87" i="6" s="1"/>
  <c r="M87" i="6"/>
  <c r="AQ87" i="6" s="1"/>
  <c r="L87" i="6"/>
  <c r="AP87" i="6" s="1"/>
  <c r="K87" i="6"/>
  <c r="AO87" i="6" s="1"/>
  <c r="J87" i="6"/>
  <c r="AN87" i="6" s="1"/>
  <c r="I87" i="6"/>
  <c r="H87" i="6"/>
  <c r="V86" i="6"/>
  <c r="X86" i="6" s="1"/>
  <c r="V85" i="6"/>
  <c r="X85" i="6" s="1"/>
  <c r="V84" i="6"/>
  <c r="X84" i="6" s="1"/>
  <c r="T83" i="6"/>
  <c r="S83" i="6"/>
  <c r="AW83" i="6" s="1"/>
  <c r="R83" i="6"/>
  <c r="AV83" i="6" s="1"/>
  <c r="Q83" i="6"/>
  <c r="AU83" i="6" s="1"/>
  <c r="P83" i="6"/>
  <c r="AT83" i="6" s="1"/>
  <c r="O83" i="6"/>
  <c r="AS83" i="6" s="1"/>
  <c r="N83" i="6"/>
  <c r="AR83" i="6" s="1"/>
  <c r="M83" i="6"/>
  <c r="AQ83" i="6" s="1"/>
  <c r="L83" i="6"/>
  <c r="AP83" i="6" s="1"/>
  <c r="K83" i="6"/>
  <c r="AO83" i="6" s="1"/>
  <c r="J83" i="6"/>
  <c r="AN83" i="6" s="1"/>
  <c r="I83" i="6"/>
  <c r="H83" i="6"/>
  <c r="P74" i="6"/>
  <c r="AT74" i="6" s="1"/>
  <c r="T74" i="6"/>
  <c r="R74" i="6"/>
  <c r="AV74" i="6" s="1"/>
  <c r="Q74" i="6"/>
  <c r="AU74" i="6" s="1"/>
  <c r="O74" i="6"/>
  <c r="AS74" i="6" s="1"/>
  <c r="N74" i="6"/>
  <c r="AR74" i="6" s="1"/>
  <c r="M74" i="6"/>
  <c r="AQ74" i="6" s="1"/>
  <c r="L74" i="6"/>
  <c r="AP74" i="6" s="1"/>
  <c r="K74" i="6"/>
  <c r="AO74" i="6" s="1"/>
  <c r="J74" i="6"/>
  <c r="AN74" i="6" s="1"/>
  <c r="I74" i="6"/>
  <c r="H74" i="6"/>
  <c r="V73" i="6"/>
  <c r="X73" i="6" s="1"/>
  <c r="V72" i="6"/>
  <c r="V69" i="6"/>
  <c r="V68" i="6" s="1"/>
  <c r="V65" i="6"/>
  <c r="X65" i="6" s="1"/>
  <c r="V64" i="6"/>
  <c r="V58" i="6"/>
  <c r="X58" i="6" s="1"/>
  <c r="V57" i="6"/>
  <c r="X57" i="6" s="1"/>
  <c r="V56" i="6"/>
  <c r="X56" i="6" s="1"/>
  <c r="V55" i="6"/>
  <c r="X55" i="6" s="1"/>
  <c r="V54" i="6"/>
  <c r="X54" i="6" s="1"/>
  <c r="V53" i="6"/>
  <c r="X53" i="6" s="1"/>
  <c r="T52" i="6"/>
  <c r="S52" i="6"/>
  <c r="AW52" i="6" s="1"/>
  <c r="R52" i="6"/>
  <c r="AV52" i="6" s="1"/>
  <c r="Q52" i="6"/>
  <c r="AU52" i="6" s="1"/>
  <c r="P52" i="6"/>
  <c r="AT52" i="6" s="1"/>
  <c r="O52" i="6"/>
  <c r="AS52" i="6" s="1"/>
  <c r="N52" i="6"/>
  <c r="AR52" i="6" s="1"/>
  <c r="M52" i="6"/>
  <c r="AQ52" i="6" s="1"/>
  <c r="L52" i="6"/>
  <c r="AP52" i="6" s="1"/>
  <c r="K52" i="6"/>
  <c r="AO52" i="6" s="1"/>
  <c r="J52" i="6"/>
  <c r="AN52" i="6" s="1"/>
  <c r="I52" i="6"/>
  <c r="H52" i="6"/>
  <c r="V51" i="6"/>
  <c r="X51" i="6" s="1"/>
  <c r="T50" i="6"/>
  <c r="T48" i="6" s="1"/>
  <c r="H50" i="6"/>
  <c r="H48" i="6" s="1"/>
  <c r="V49" i="6"/>
  <c r="X49" i="6" s="1"/>
  <c r="S48" i="6"/>
  <c r="AW48" i="6" s="1"/>
  <c r="R48" i="6"/>
  <c r="Q48" i="6"/>
  <c r="P48" i="6"/>
  <c r="O48" i="6"/>
  <c r="AS48" i="6" s="1"/>
  <c r="N48" i="6"/>
  <c r="AR48" i="6" s="1"/>
  <c r="M48" i="6"/>
  <c r="AQ48" i="6" s="1"/>
  <c r="L48" i="6"/>
  <c r="AP48" i="6" s="1"/>
  <c r="K48" i="6"/>
  <c r="AO48" i="6" s="1"/>
  <c r="J48" i="6"/>
  <c r="AN48" i="6" s="1"/>
  <c r="I48" i="6"/>
  <c r="V47" i="6"/>
  <c r="X47" i="6" s="1"/>
  <c r="V46" i="6"/>
  <c r="X46" i="6" s="1"/>
  <c r="V45" i="6"/>
  <c r="X45" i="6" s="1"/>
  <c r="V44" i="6"/>
  <c r="X44" i="6" s="1"/>
  <c r="V43" i="6"/>
  <c r="X43" i="6" s="1"/>
  <c r="V38" i="6"/>
  <c r="X38" i="6" s="1"/>
  <c r="V37" i="6"/>
  <c r="X37" i="6" s="1"/>
  <c r="V36" i="6"/>
  <c r="X36" i="6" s="1"/>
  <c r="T35" i="6"/>
  <c r="S35" i="6"/>
  <c r="AW35" i="6" s="1"/>
  <c r="R35" i="6"/>
  <c r="AV35" i="6" s="1"/>
  <c r="Q35" i="6"/>
  <c r="AU35" i="6" s="1"/>
  <c r="P35" i="6"/>
  <c r="AT35" i="6" s="1"/>
  <c r="O35" i="6"/>
  <c r="AS35" i="6" s="1"/>
  <c r="N35" i="6"/>
  <c r="AR35" i="6" s="1"/>
  <c r="M35" i="6"/>
  <c r="AQ35" i="6" s="1"/>
  <c r="L35" i="6"/>
  <c r="AP35" i="6" s="1"/>
  <c r="K35" i="6"/>
  <c r="AO35" i="6" s="1"/>
  <c r="J35" i="6"/>
  <c r="AN35" i="6" s="1"/>
  <c r="I35" i="6"/>
  <c r="H35" i="6"/>
  <c r="T34" i="6"/>
  <c r="V33" i="6"/>
  <c r="X33" i="6" s="1"/>
  <c r="S32" i="6"/>
  <c r="AW32" i="6" s="1"/>
  <c r="R32" i="6"/>
  <c r="AV32" i="6" s="1"/>
  <c r="Q32" i="6"/>
  <c r="AU32" i="6" s="1"/>
  <c r="P32" i="6"/>
  <c r="AT32" i="6" s="1"/>
  <c r="O32" i="6"/>
  <c r="AS32" i="6" s="1"/>
  <c r="N32" i="6"/>
  <c r="AR32" i="6" s="1"/>
  <c r="M32" i="6"/>
  <c r="AQ32" i="6" s="1"/>
  <c r="L32" i="6"/>
  <c r="AP32" i="6" s="1"/>
  <c r="K32" i="6"/>
  <c r="AO32" i="6" s="1"/>
  <c r="J32" i="6"/>
  <c r="AN32" i="6" s="1"/>
  <c r="I32" i="6"/>
  <c r="H32" i="6"/>
  <c r="V29" i="6"/>
  <c r="X29" i="6" s="1"/>
  <c r="V28" i="6"/>
  <c r="X28" i="6" s="1"/>
  <c r="V27" i="6"/>
  <c r="X27" i="6" s="1"/>
  <c r="V26" i="6"/>
  <c r="X26" i="6" s="1"/>
  <c r="V25" i="6"/>
  <c r="X25" i="6" s="1"/>
  <c r="V24" i="6"/>
  <c r="X24" i="6" s="1"/>
  <c r="T23" i="6"/>
  <c r="S23" i="6"/>
  <c r="AW23" i="6" s="1"/>
  <c r="R23" i="6"/>
  <c r="AV23" i="6" s="1"/>
  <c r="Q23" i="6"/>
  <c r="AU23" i="6" s="1"/>
  <c r="P23" i="6"/>
  <c r="AT23" i="6" s="1"/>
  <c r="O23" i="6"/>
  <c r="AS23" i="6" s="1"/>
  <c r="N23" i="6"/>
  <c r="AR23" i="6" s="1"/>
  <c r="M23" i="6"/>
  <c r="AQ23" i="6" s="1"/>
  <c r="L23" i="6"/>
  <c r="AP23" i="6" s="1"/>
  <c r="K23" i="6"/>
  <c r="AO23" i="6" s="1"/>
  <c r="J23" i="6"/>
  <c r="AN23" i="6" s="1"/>
  <c r="I23" i="6"/>
  <c r="H23" i="6"/>
  <c r="V22" i="6"/>
  <c r="X22" i="6" s="1"/>
  <c r="V21" i="6"/>
  <c r="X21" i="6" s="1"/>
  <c r="V20" i="6"/>
  <c r="X20" i="6" s="1"/>
  <c r="T19" i="6"/>
  <c r="S19" i="6"/>
  <c r="AW19" i="6" s="1"/>
  <c r="R19" i="6"/>
  <c r="AV19" i="6" s="1"/>
  <c r="Q19" i="6"/>
  <c r="AU19" i="6" s="1"/>
  <c r="P19" i="6"/>
  <c r="AT19" i="6" s="1"/>
  <c r="O19" i="6"/>
  <c r="AS19" i="6" s="1"/>
  <c r="N19" i="6"/>
  <c r="AR19" i="6" s="1"/>
  <c r="M19" i="6"/>
  <c r="AQ19" i="6" s="1"/>
  <c r="L19" i="6"/>
  <c r="AP19" i="6" s="1"/>
  <c r="K19" i="6"/>
  <c r="AO19" i="6" s="1"/>
  <c r="J19" i="6"/>
  <c r="AN19" i="6" s="1"/>
  <c r="I19" i="6"/>
  <c r="H19" i="6"/>
  <c r="V18" i="6"/>
  <c r="X18" i="6" s="1"/>
  <c r="V17" i="6"/>
  <c r="X17" i="6" s="1"/>
  <c r="V16" i="6"/>
  <c r="X16" i="6" s="1"/>
  <c r="T15" i="6"/>
  <c r="S15" i="6"/>
  <c r="R15" i="6"/>
  <c r="Q15" i="6"/>
  <c r="P15" i="6"/>
  <c r="O15" i="6"/>
  <c r="AS15" i="6" s="1"/>
  <c r="N15" i="6"/>
  <c r="AR15" i="6" s="1"/>
  <c r="M15" i="6"/>
  <c r="AQ15" i="6" s="1"/>
  <c r="L15" i="6"/>
  <c r="AP15" i="6" s="1"/>
  <c r="K15" i="6"/>
  <c r="AO15" i="6" s="1"/>
  <c r="J15" i="6"/>
  <c r="AN15" i="6" s="1"/>
  <c r="I15" i="6"/>
  <c r="H15" i="6"/>
  <c r="H7" i="6" s="1"/>
  <c r="H6" i="6" s="1"/>
  <c r="V14" i="6"/>
  <c r="X14" i="6" s="1"/>
  <c r="V13" i="6"/>
  <c r="X13" i="6" s="1"/>
  <c r="V12" i="6"/>
  <c r="X12" i="6" s="1"/>
  <c r="V11" i="6"/>
  <c r="X11" i="6" s="1"/>
  <c r="T10" i="6"/>
  <c r="V9" i="6"/>
  <c r="X9" i="6" s="1"/>
  <c r="V8" i="6"/>
  <c r="U32" i="6" l="1"/>
  <c r="U99" i="6"/>
  <c r="U103" i="6"/>
  <c r="U166" i="6"/>
  <c r="U189" i="6"/>
  <c r="U15" i="6"/>
  <c r="U19" i="6"/>
  <c r="U23" i="6"/>
  <c r="U35" i="6"/>
  <c r="U83" i="6"/>
  <c r="U87" i="6"/>
  <c r="U192" i="6"/>
  <c r="U197" i="6"/>
  <c r="U201" i="6"/>
  <c r="U221" i="6"/>
  <c r="U236" i="6"/>
  <c r="U252" i="6"/>
  <c r="U274" i="6"/>
  <c r="U215" i="6"/>
  <c r="U315" i="6"/>
  <c r="U329" i="6"/>
  <c r="U128" i="6"/>
  <c r="AM145" i="6"/>
  <c r="U145" i="6"/>
  <c r="U178" i="6"/>
  <c r="U184" i="6"/>
  <c r="U295" i="6"/>
  <c r="U312" i="6"/>
  <c r="U48" i="6"/>
  <c r="U52" i="6"/>
  <c r="U74" i="6"/>
  <c r="U92" i="6"/>
  <c r="U114" i="6"/>
  <c r="U143" i="6"/>
  <c r="U291" i="6"/>
  <c r="U300" i="6"/>
  <c r="U309" i="6"/>
  <c r="U176" i="6"/>
  <c r="AM272" i="6"/>
  <c r="U272" i="6"/>
  <c r="U89" i="6"/>
  <c r="U227" i="6"/>
  <c r="U224" i="6"/>
  <c r="U317" i="6"/>
  <c r="AM19" i="6"/>
  <c r="AM192" i="6"/>
  <c r="AM197" i="6"/>
  <c r="AM201" i="6"/>
  <c r="AM221" i="6"/>
  <c r="AM252" i="6"/>
  <c r="AM274" i="6"/>
  <c r="AO336" i="6"/>
  <c r="AN351" i="6"/>
  <c r="AN360" i="6"/>
  <c r="AN365" i="6"/>
  <c r="AM373" i="6"/>
  <c r="AN379" i="6"/>
  <c r="AN384" i="6"/>
  <c r="AM23" i="6"/>
  <c r="AM35" i="6"/>
  <c r="AM83" i="6"/>
  <c r="AM87" i="6"/>
  <c r="AM215" i="6"/>
  <c r="AM315" i="6"/>
  <c r="AM329" i="6"/>
  <c r="AN337" i="6"/>
  <c r="AN345" i="6"/>
  <c r="AN352" i="6"/>
  <c r="AN366" i="6"/>
  <c r="AN380" i="6"/>
  <c r="AN385" i="6"/>
  <c r="AM99" i="6"/>
  <c r="AM103" i="6"/>
  <c r="AN338" i="6"/>
  <c r="AM128" i="6"/>
  <c r="AM178" i="6"/>
  <c r="AM184" i="6"/>
  <c r="AM295" i="6"/>
  <c r="AM312" i="6"/>
  <c r="AN339" i="6"/>
  <c r="AN348" i="6"/>
  <c r="AN354" i="6"/>
  <c r="AN368" i="6"/>
  <c r="AN374" i="6"/>
  <c r="AM381" i="6"/>
  <c r="AN387" i="6"/>
  <c r="AM15" i="6"/>
  <c r="AM189" i="6"/>
  <c r="AM361" i="6"/>
  <c r="AM48" i="6"/>
  <c r="AM52" i="6"/>
  <c r="AM74" i="6"/>
  <c r="AM92" i="6"/>
  <c r="AM114" i="6"/>
  <c r="AM143" i="6"/>
  <c r="AM244" i="6"/>
  <c r="AM291" i="6"/>
  <c r="AM300" i="6"/>
  <c r="AM309" i="6"/>
  <c r="AN340" i="6"/>
  <c r="AM349" i="6"/>
  <c r="AN355" i="6"/>
  <c r="AN369" i="6"/>
  <c r="AN375" i="6"/>
  <c r="AN388" i="6"/>
  <c r="AN367" i="6"/>
  <c r="AN386" i="6"/>
  <c r="AM176" i="6"/>
  <c r="AN356" i="6"/>
  <c r="AN362" i="6"/>
  <c r="AN370" i="6"/>
  <c r="AN376" i="6"/>
  <c r="AN389" i="6"/>
  <c r="AM32" i="6"/>
  <c r="AM166" i="6"/>
  <c r="AN346" i="6"/>
  <c r="AN353" i="6"/>
  <c r="AM89" i="6"/>
  <c r="AT195" i="6"/>
  <c r="AM227" i="6"/>
  <c r="AN334" i="6"/>
  <c r="AM344" i="6"/>
  <c r="AN358" i="6"/>
  <c r="AN363" i="6"/>
  <c r="AN371" i="6"/>
  <c r="AN377" i="6"/>
  <c r="AN382" i="6"/>
  <c r="AM224" i="6"/>
  <c r="AM317" i="6"/>
  <c r="AN335" i="6"/>
  <c r="AN350" i="6"/>
  <c r="AN359" i="6"/>
  <c r="AN364" i="6"/>
  <c r="AN372" i="6"/>
  <c r="AN378" i="6"/>
  <c r="AN383" i="6"/>
  <c r="Q41" i="6"/>
  <c r="AU48" i="6"/>
  <c r="R127" i="6"/>
  <c r="AV127" i="6" s="1"/>
  <c r="AV128" i="6"/>
  <c r="R41" i="6"/>
  <c r="AV48" i="6"/>
  <c r="R108" i="6"/>
  <c r="AV114" i="6"/>
  <c r="P7" i="6"/>
  <c r="AT15" i="6"/>
  <c r="S108" i="6"/>
  <c r="AW114" i="6"/>
  <c r="AS236" i="6"/>
  <c r="AS425" i="6" s="1"/>
  <c r="P251" i="6"/>
  <c r="AT251" i="6" s="1"/>
  <c r="AT252" i="6"/>
  <c r="S165" i="6"/>
  <c r="AW165" i="6" s="1"/>
  <c r="AW166" i="6"/>
  <c r="AQ236" i="6"/>
  <c r="AQ425" i="6" s="1"/>
  <c r="S127" i="6"/>
  <c r="AW127" i="6" s="1"/>
  <c r="AW128" i="6"/>
  <c r="Q7" i="6"/>
  <c r="AU15" i="6"/>
  <c r="P425" i="6"/>
  <c r="AT236" i="6"/>
  <c r="AT425" i="6" s="1"/>
  <c r="P238" i="6"/>
  <c r="AT238" i="6" s="1"/>
  <c r="AT426" i="6" s="1"/>
  <c r="AT239" i="6"/>
  <c r="Q251" i="6"/>
  <c r="AU251" i="6" s="1"/>
  <c r="AU252" i="6"/>
  <c r="AR236" i="6"/>
  <c r="AR425" i="6" s="1"/>
  <c r="R7" i="6"/>
  <c r="AV15" i="6"/>
  <c r="Q191" i="6"/>
  <c r="AU191" i="6" s="1"/>
  <c r="AU192" i="6"/>
  <c r="AM236" i="6"/>
  <c r="AM425" i="6" s="1"/>
  <c r="Q425" i="6"/>
  <c r="AU236" i="6"/>
  <c r="AU425" i="6" s="1"/>
  <c r="Q238" i="6"/>
  <c r="AU238" i="6" s="1"/>
  <c r="AU426" i="6" s="1"/>
  <c r="AU239" i="6"/>
  <c r="R251" i="6"/>
  <c r="AV251" i="6" s="1"/>
  <c r="AV252" i="6"/>
  <c r="P319" i="6"/>
  <c r="AT319" i="6" s="1"/>
  <c r="AT431" i="6" s="1"/>
  <c r="AT329" i="6"/>
  <c r="R181" i="6"/>
  <c r="AV181" i="6" s="1"/>
  <c r="AV184" i="6"/>
  <c r="S7" i="6"/>
  <c r="AW15" i="6"/>
  <c r="P98" i="6"/>
  <c r="AT99" i="6"/>
  <c r="P165" i="6"/>
  <c r="AT165" i="6" s="1"/>
  <c r="AT166" i="6"/>
  <c r="R191" i="6"/>
  <c r="AV191" i="6" s="1"/>
  <c r="AV192" i="6"/>
  <c r="AN236" i="6"/>
  <c r="AN425" i="6" s="1"/>
  <c r="R425" i="6"/>
  <c r="AV236" i="6"/>
  <c r="AV425" i="6" s="1"/>
  <c r="R238" i="6"/>
  <c r="AV238" i="6" s="1"/>
  <c r="AV426" i="6" s="1"/>
  <c r="AV239" i="6"/>
  <c r="S251" i="6"/>
  <c r="AW251" i="6" s="1"/>
  <c r="AW252" i="6"/>
  <c r="Q319" i="6"/>
  <c r="AU319" i="6" s="1"/>
  <c r="AU431" i="6" s="1"/>
  <c r="AU329" i="6"/>
  <c r="S98" i="6"/>
  <c r="AW99" i="6"/>
  <c r="Q108" i="6"/>
  <c r="AU114" i="6"/>
  <c r="Q98" i="6"/>
  <c r="AU99" i="6"/>
  <c r="P127" i="6"/>
  <c r="AT127" i="6" s="1"/>
  <c r="AT128" i="6"/>
  <c r="Q165" i="6"/>
  <c r="AU165" i="6" s="1"/>
  <c r="AU166" i="6"/>
  <c r="P181" i="6"/>
  <c r="AT181" i="6" s="1"/>
  <c r="AT184" i="6"/>
  <c r="S191" i="6"/>
  <c r="AW191" i="6" s="1"/>
  <c r="AW192" i="6"/>
  <c r="AO236" i="6"/>
  <c r="AO425" i="6" s="1"/>
  <c r="S425" i="6"/>
  <c r="AW236" i="6"/>
  <c r="S238" i="6"/>
  <c r="AW238" i="6" s="1"/>
  <c r="AW239" i="6"/>
  <c r="R319" i="6"/>
  <c r="AV319" i="6" s="1"/>
  <c r="AV431" i="6" s="1"/>
  <c r="AV329" i="6"/>
  <c r="S181" i="6"/>
  <c r="AW181" i="6" s="1"/>
  <c r="AW184" i="6"/>
  <c r="P41" i="6"/>
  <c r="AT48" i="6"/>
  <c r="R98" i="6"/>
  <c r="AV99" i="6"/>
  <c r="P108" i="6"/>
  <c r="AT114" i="6"/>
  <c r="Q127" i="6"/>
  <c r="AU127" i="6" s="1"/>
  <c r="AU128" i="6"/>
  <c r="R165" i="6"/>
  <c r="AV165" i="6" s="1"/>
  <c r="AV166" i="6"/>
  <c r="Q181" i="6"/>
  <c r="AU181" i="6" s="1"/>
  <c r="AU184" i="6"/>
  <c r="AP236" i="6"/>
  <c r="AP425" i="6" s="1"/>
  <c r="S319" i="6"/>
  <c r="AW319" i="6" s="1"/>
  <c r="AW329" i="6"/>
  <c r="T247" i="6"/>
  <c r="T173" i="6"/>
  <c r="T172" i="6" s="1"/>
  <c r="N7" i="6"/>
  <c r="I108" i="6"/>
  <c r="L319" i="6"/>
  <c r="O7" i="6"/>
  <c r="J108" i="6"/>
  <c r="AN108" i="6" s="1"/>
  <c r="M319" i="6"/>
  <c r="K108" i="6"/>
  <c r="AO108" i="6" s="1"/>
  <c r="N238" i="6"/>
  <c r="N319" i="6"/>
  <c r="I7" i="6"/>
  <c r="L108" i="6"/>
  <c r="AP108" i="6" s="1"/>
  <c r="O319" i="6"/>
  <c r="J7" i="6"/>
  <c r="M108" i="6"/>
  <c r="AQ108" i="6" s="1"/>
  <c r="L173" i="6"/>
  <c r="AP173" i="6" s="1"/>
  <c r="N181" i="6"/>
  <c r="AR181" i="6" s="1"/>
  <c r="K7" i="6"/>
  <c r="N108" i="6"/>
  <c r="AR108" i="6" s="1"/>
  <c r="M173" i="6"/>
  <c r="AQ173" i="6" s="1"/>
  <c r="I319" i="6"/>
  <c r="K332" i="6"/>
  <c r="AO332" i="6" s="1"/>
  <c r="L7" i="6"/>
  <c r="O108" i="6"/>
  <c r="AS108" i="6" s="1"/>
  <c r="J319" i="6"/>
  <c r="M7" i="6"/>
  <c r="I181" i="6"/>
  <c r="K319" i="6"/>
  <c r="I173" i="6"/>
  <c r="Q173" i="6"/>
  <c r="T7" i="6"/>
  <c r="T6" i="6" s="1"/>
  <c r="N173" i="6"/>
  <c r="AR173" i="6" s="1"/>
  <c r="J173" i="6"/>
  <c r="AN173" i="6" s="1"/>
  <c r="R173" i="6"/>
  <c r="X125" i="6"/>
  <c r="X124" i="6" s="1"/>
  <c r="X123" i="6" s="1"/>
  <c r="V124" i="6"/>
  <c r="V123" i="6" s="1"/>
  <c r="H173" i="6"/>
  <c r="H172" i="6" s="1"/>
  <c r="P173" i="6"/>
  <c r="AT173" i="6" s="1"/>
  <c r="K173" i="6"/>
  <c r="AO173" i="6" s="1"/>
  <c r="S173" i="6"/>
  <c r="O331" i="6"/>
  <c r="O173" i="6"/>
  <c r="AS173" i="6" s="1"/>
  <c r="V210" i="6"/>
  <c r="V248" i="6"/>
  <c r="L331" i="6"/>
  <c r="T331" i="6"/>
  <c r="T432" i="6" s="1"/>
  <c r="I331" i="6"/>
  <c r="M331" i="6"/>
  <c r="R331" i="6"/>
  <c r="N331" i="6"/>
  <c r="V320" i="6"/>
  <c r="P331" i="6"/>
  <c r="Q331" i="6"/>
  <c r="S331" i="6"/>
  <c r="J332" i="6"/>
  <c r="R134" i="6"/>
  <c r="N277" i="6"/>
  <c r="AR277" i="6" s="1"/>
  <c r="I277" i="6"/>
  <c r="Q277" i="6"/>
  <c r="Q134" i="6"/>
  <c r="H277" i="6"/>
  <c r="H276" i="6" s="1"/>
  <c r="P277" i="6"/>
  <c r="S277" i="6"/>
  <c r="X321" i="6"/>
  <c r="X320" i="6" s="1"/>
  <c r="L277" i="6"/>
  <c r="AP277" i="6" s="1"/>
  <c r="T277" i="6"/>
  <c r="T276" i="6" s="1"/>
  <c r="T429" i="6" s="1"/>
  <c r="K277" i="6"/>
  <c r="AO277" i="6" s="1"/>
  <c r="M277" i="6"/>
  <c r="AQ277" i="6" s="1"/>
  <c r="O277" i="6"/>
  <c r="AS277" i="6" s="1"/>
  <c r="X279" i="6"/>
  <c r="V278" i="6"/>
  <c r="X278" i="6" s="1"/>
  <c r="J277" i="6"/>
  <c r="AN277" i="6" s="1"/>
  <c r="R277" i="6"/>
  <c r="X249" i="6"/>
  <c r="X248" i="6" s="1"/>
  <c r="I242" i="6"/>
  <c r="K240" i="6"/>
  <c r="J239" i="6"/>
  <c r="AN239" i="6" s="1"/>
  <c r="L239" i="6"/>
  <c r="AP239" i="6" s="1"/>
  <c r="M239" i="6"/>
  <c r="AQ239" i="6" s="1"/>
  <c r="P134" i="6"/>
  <c r="O239" i="6"/>
  <c r="AS239" i="6" s="1"/>
  <c r="J181" i="6"/>
  <c r="AN181" i="6" s="1"/>
  <c r="K181" i="6"/>
  <c r="AO181" i="6" s="1"/>
  <c r="L181" i="6"/>
  <c r="AP181" i="6" s="1"/>
  <c r="M181" i="6"/>
  <c r="AQ181" i="6" s="1"/>
  <c r="O181" i="6"/>
  <c r="AS181" i="6" s="1"/>
  <c r="N67" i="6"/>
  <c r="AR67" i="6" s="1"/>
  <c r="T134" i="6"/>
  <c r="T106" i="6" s="1"/>
  <c r="X151" i="6"/>
  <c r="V150" i="6"/>
  <c r="V145" i="6" s="1"/>
  <c r="S134" i="6"/>
  <c r="X147" i="6"/>
  <c r="X136" i="6"/>
  <c r="V135" i="6"/>
  <c r="X135" i="6" s="1"/>
  <c r="X109" i="6"/>
  <c r="X72" i="6"/>
  <c r="V70" i="6"/>
  <c r="X70" i="6" s="1"/>
  <c r="O67" i="6"/>
  <c r="AS67" i="6" s="1"/>
  <c r="H67" i="6"/>
  <c r="H66" i="6" s="1"/>
  <c r="I67" i="6"/>
  <c r="Q67" i="6"/>
  <c r="J67" i="6"/>
  <c r="AN67" i="6" s="1"/>
  <c r="R67" i="6"/>
  <c r="P67" i="6"/>
  <c r="K67" i="6"/>
  <c r="AO67" i="6" s="1"/>
  <c r="L67" i="6"/>
  <c r="AP67" i="6" s="1"/>
  <c r="T67" i="6"/>
  <c r="T66" i="6" s="1"/>
  <c r="M67" i="6"/>
  <c r="AQ67" i="6" s="1"/>
  <c r="V10" i="6"/>
  <c r="X10" i="6" s="1"/>
  <c r="X8" i="6"/>
  <c r="X64" i="6"/>
  <c r="V63" i="6"/>
  <c r="V62" i="6" s="1"/>
  <c r="V388" i="6"/>
  <c r="X388" i="6" s="1"/>
  <c r="V389" i="6"/>
  <c r="X389" i="6" s="1"/>
  <c r="V387" i="6"/>
  <c r="X387" i="6" s="1"/>
  <c r="X161" i="6"/>
  <c r="X160" i="6" s="1"/>
  <c r="V143" i="6"/>
  <c r="X143" i="6" s="1"/>
  <c r="X144" i="6"/>
  <c r="X175" i="6"/>
  <c r="X174" i="6" s="1"/>
  <c r="V274" i="6"/>
  <c r="X274" i="6" s="1"/>
  <c r="X275" i="6"/>
  <c r="V312" i="6"/>
  <c r="X312" i="6" s="1"/>
  <c r="X313" i="6"/>
  <c r="V236" i="6"/>
  <c r="X236" i="6" s="1"/>
  <c r="X237" i="6"/>
  <c r="V87" i="6"/>
  <c r="X87" i="6" s="1"/>
  <c r="X88" i="6"/>
  <c r="V252" i="6"/>
  <c r="X252" i="6" s="1"/>
  <c r="X171" i="6"/>
  <c r="X212" i="6"/>
  <c r="X211" i="6" s="1"/>
  <c r="X210" i="6" s="1"/>
  <c r="V215" i="6"/>
  <c r="X215" i="6" s="1"/>
  <c r="X216" i="6"/>
  <c r="V272" i="6"/>
  <c r="X273" i="6"/>
  <c r="X68" i="6"/>
  <c r="X69" i="6"/>
  <c r="X182" i="6"/>
  <c r="X183" i="6"/>
  <c r="V103" i="6"/>
  <c r="X103" i="6" s="1"/>
  <c r="X104" i="6"/>
  <c r="V178" i="6"/>
  <c r="X178" i="6" s="1"/>
  <c r="X179" i="6"/>
  <c r="X203" i="6"/>
  <c r="X209" i="6"/>
  <c r="V317" i="6"/>
  <c r="X317" i="6" s="1"/>
  <c r="X318" i="6"/>
  <c r="V329" i="6"/>
  <c r="X329" i="6" s="1"/>
  <c r="X330" i="6"/>
  <c r="V132" i="6"/>
  <c r="X132" i="6" s="1"/>
  <c r="X133" i="6"/>
  <c r="V176" i="6"/>
  <c r="X176" i="6" s="1"/>
  <c r="X177" i="6"/>
  <c r="V192" i="6"/>
  <c r="X192" i="6" s="1"/>
  <c r="X193" i="6"/>
  <c r="V201" i="6"/>
  <c r="X201" i="6" s="1"/>
  <c r="X202" i="6"/>
  <c r="V315" i="6"/>
  <c r="X315" i="6" s="1"/>
  <c r="X316" i="6"/>
  <c r="V195" i="6"/>
  <c r="L425" i="6"/>
  <c r="M425" i="6"/>
  <c r="O425" i="6"/>
  <c r="I425" i="6"/>
  <c r="J425" i="6"/>
  <c r="N425" i="6"/>
  <c r="K425" i="6"/>
  <c r="M41" i="6"/>
  <c r="AQ41" i="6" s="1"/>
  <c r="J98" i="6"/>
  <c r="AN98" i="6" s="1"/>
  <c r="L127" i="6"/>
  <c r="AP127" i="6" s="1"/>
  <c r="O251" i="6"/>
  <c r="AS251" i="6" s="1"/>
  <c r="M251" i="6"/>
  <c r="AQ251" i="6" s="1"/>
  <c r="K98" i="6"/>
  <c r="AO98" i="6" s="1"/>
  <c r="M127" i="6"/>
  <c r="AQ127" i="6" s="1"/>
  <c r="I165" i="6"/>
  <c r="I191" i="6"/>
  <c r="M218" i="6"/>
  <c r="AQ218" i="6" s="1"/>
  <c r="K127" i="6"/>
  <c r="AO127" i="6" s="1"/>
  <c r="O191" i="6"/>
  <c r="AS191" i="6" s="1"/>
  <c r="O41" i="6"/>
  <c r="AS41" i="6" s="1"/>
  <c r="L98" i="6"/>
  <c r="AP98" i="6" s="1"/>
  <c r="I134" i="6"/>
  <c r="J165" i="6"/>
  <c r="AN165" i="6" s="1"/>
  <c r="M98" i="6"/>
  <c r="AQ98" i="6" s="1"/>
  <c r="O127" i="6"/>
  <c r="AS127" i="6" s="1"/>
  <c r="K165" i="6"/>
  <c r="AO165" i="6" s="1"/>
  <c r="K191" i="6"/>
  <c r="AO191" i="6" s="1"/>
  <c r="I251" i="6"/>
  <c r="O218" i="6"/>
  <c r="AS218" i="6" s="1"/>
  <c r="O165" i="6"/>
  <c r="AS165" i="6" s="1"/>
  <c r="I41" i="6"/>
  <c r="L165" i="6"/>
  <c r="AP165" i="6" s="1"/>
  <c r="L191" i="6"/>
  <c r="AP191" i="6" s="1"/>
  <c r="J251" i="6"/>
  <c r="AN251" i="6" s="1"/>
  <c r="K218" i="6"/>
  <c r="AO218" i="6" s="1"/>
  <c r="J41" i="6"/>
  <c r="AN41" i="6" s="1"/>
  <c r="O98" i="6"/>
  <c r="AS98" i="6" s="1"/>
  <c r="I127" i="6"/>
  <c r="M165" i="6"/>
  <c r="AQ165" i="6" s="1"/>
  <c r="M191" i="6"/>
  <c r="AQ191" i="6" s="1"/>
  <c r="K251" i="6"/>
  <c r="AO251" i="6" s="1"/>
  <c r="I218" i="6"/>
  <c r="L41" i="6"/>
  <c r="AP41" i="6" s="1"/>
  <c r="I98" i="6"/>
  <c r="K41" i="6"/>
  <c r="AO41" i="6" s="1"/>
  <c r="J127" i="6"/>
  <c r="AN127" i="6" s="1"/>
  <c r="L251" i="6"/>
  <c r="AP251" i="6" s="1"/>
  <c r="I271" i="6"/>
  <c r="J218" i="6"/>
  <c r="AN218" i="6" s="1"/>
  <c r="N127" i="6"/>
  <c r="AR127" i="6" s="1"/>
  <c r="V357" i="6"/>
  <c r="X357" i="6" s="1"/>
  <c r="V370" i="6"/>
  <c r="X370" i="6" s="1"/>
  <c r="V376" i="6"/>
  <c r="X376" i="6" s="1"/>
  <c r="N251" i="6"/>
  <c r="AR251" i="6" s="1"/>
  <c r="N41" i="6"/>
  <c r="AR41" i="6" s="1"/>
  <c r="V241" i="6"/>
  <c r="V240" i="6" s="1"/>
  <c r="V337" i="6"/>
  <c r="X337" i="6" s="1"/>
  <c r="V358" i="6"/>
  <c r="X358" i="6" s="1"/>
  <c r="V363" i="6"/>
  <c r="X363" i="6" s="1"/>
  <c r="V371" i="6"/>
  <c r="X371" i="6" s="1"/>
  <c r="V377" i="6"/>
  <c r="X377" i="6" s="1"/>
  <c r="N191" i="6"/>
  <c r="AR191" i="6" s="1"/>
  <c r="V338" i="6"/>
  <c r="X338" i="6" s="1"/>
  <c r="V345" i="6"/>
  <c r="X345" i="6" s="1"/>
  <c r="V351" i="6"/>
  <c r="X351" i="6" s="1"/>
  <c r="V359" i="6"/>
  <c r="X359" i="6" s="1"/>
  <c r="V364" i="6"/>
  <c r="X364" i="6" s="1"/>
  <c r="V372" i="6"/>
  <c r="X372" i="6" s="1"/>
  <c r="V378" i="6"/>
  <c r="X378" i="6" s="1"/>
  <c r="V383" i="6"/>
  <c r="X383" i="6" s="1"/>
  <c r="V339" i="6"/>
  <c r="X339" i="6" s="1"/>
  <c r="V346" i="6"/>
  <c r="X346" i="6" s="1"/>
  <c r="V352" i="6"/>
  <c r="X352" i="6" s="1"/>
  <c r="V360" i="6"/>
  <c r="X360" i="6" s="1"/>
  <c r="V365" i="6"/>
  <c r="X365" i="6" s="1"/>
  <c r="V379" i="6"/>
  <c r="X379" i="6" s="1"/>
  <c r="V384" i="6"/>
  <c r="X384" i="6" s="1"/>
  <c r="N134" i="6"/>
  <c r="AR134" i="6" s="1"/>
  <c r="V347" i="6"/>
  <c r="X347" i="6" s="1"/>
  <c r="V353" i="6"/>
  <c r="X353" i="6" s="1"/>
  <c r="V366" i="6"/>
  <c r="X366" i="6" s="1"/>
  <c r="V385" i="6"/>
  <c r="X385" i="6" s="1"/>
  <c r="N165" i="6"/>
  <c r="AR165" i="6" s="1"/>
  <c r="V333" i="6"/>
  <c r="X341" i="6"/>
  <c r="V354" i="6"/>
  <c r="X354" i="6" s="1"/>
  <c r="V367" i="6"/>
  <c r="X367" i="6" s="1"/>
  <c r="V386" i="6"/>
  <c r="X386" i="6" s="1"/>
  <c r="V334" i="6"/>
  <c r="X334" i="6" s="1"/>
  <c r="V355" i="6"/>
  <c r="X355" i="6" s="1"/>
  <c r="V368" i="6"/>
  <c r="X368" i="6" s="1"/>
  <c r="V374" i="6"/>
  <c r="X374" i="6" s="1"/>
  <c r="N98" i="6"/>
  <c r="AR98" i="6" s="1"/>
  <c r="V244" i="6"/>
  <c r="V242" i="6" s="1"/>
  <c r="V335" i="6"/>
  <c r="X335" i="6" s="1"/>
  <c r="V356" i="6"/>
  <c r="X356" i="6" s="1"/>
  <c r="V369" i="6"/>
  <c r="X369" i="6" s="1"/>
  <c r="V375" i="6"/>
  <c r="X375" i="6" s="1"/>
  <c r="AW9" i="1"/>
  <c r="AX9" i="1" s="1"/>
  <c r="AS8" i="1"/>
  <c r="E7" i="1"/>
  <c r="K31" i="6"/>
  <c r="AO31" i="6" s="1"/>
  <c r="L218" i="6"/>
  <c r="AP218" i="6" s="1"/>
  <c r="T218" i="6"/>
  <c r="T217" i="6" s="1"/>
  <c r="N218" i="6"/>
  <c r="AR218" i="6" s="1"/>
  <c r="P218" i="6"/>
  <c r="X220" i="6"/>
  <c r="N31" i="6"/>
  <c r="AR31" i="6" s="1"/>
  <c r="S31" i="6"/>
  <c r="S30" i="6" s="1"/>
  <c r="P31" i="6"/>
  <c r="Q31" i="6"/>
  <c r="I31" i="6"/>
  <c r="P314" i="6"/>
  <c r="M31" i="6"/>
  <c r="AQ31" i="6" s="1"/>
  <c r="H314" i="6"/>
  <c r="N314" i="6"/>
  <c r="I314" i="6"/>
  <c r="Q314" i="6"/>
  <c r="V50" i="6"/>
  <c r="V309" i="6"/>
  <c r="X309" i="6" s="1"/>
  <c r="V92" i="6"/>
  <c r="X92" i="6" s="1"/>
  <c r="H349" i="6"/>
  <c r="H191" i="6"/>
  <c r="T426" i="6"/>
  <c r="O31" i="6"/>
  <c r="AS31" i="6" s="1"/>
  <c r="L314" i="6"/>
  <c r="T314" i="6"/>
  <c r="T430" i="6" s="1"/>
  <c r="T91" i="6"/>
  <c r="R314" i="6"/>
  <c r="V221" i="6"/>
  <c r="X221" i="6" s="1"/>
  <c r="O314" i="6"/>
  <c r="H134" i="6"/>
  <c r="V300" i="6"/>
  <c r="X300" i="6" s="1"/>
  <c r="P431" i="6"/>
  <c r="Q217" i="6"/>
  <c r="AU217" i="6" s="1"/>
  <c r="J314" i="6"/>
  <c r="K314" i="6"/>
  <c r="S314" i="6"/>
  <c r="V19" i="6"/>
  <c r="X19" i="6" s="1"/>
  <c r="V184" i="6"/>
  <c r="V181" i="6" s="1"/>
  <c r="S217" i="6"/>
  <c r="AW217" i="6" s="1"/>
  <c r="J344" i="6"/>
  <c r="AN344" i="6" s="1"/>
  <c r="T431" i="6"/>
  <c r="V99" i="6"/>
  <c r="V15" i="6"/>
  <c r="J361" i="6"/>
  <c r="AN361" i="6" s="1"/>
  <c r="V197" i="6"/>
  <c r="X197" i="6" s="1"/>
  <c r="H251" i="6"/>
  <c r="V52" i="6"/>
  <c r="X52" i="6" s="1"/>
  <c r="M314" i="6"/>
  <c r="V336" i="6"/>
  <c r="X336" i="6" s="1"/>
  <c r="V340" i="6"/>
  <c r="X340" i="6" s="1"/>
  <c r="V348" i="6"/>
  <c r="X348" i="6" s="1"/>
  <c r="H373" i="6"/>
  <c r="P191" i="6"/>
  <c r="J31" i="6"/>
  <c r="AN31" i="6" s="1"/>
  <c r="R31" i="6"/>
  <c r="V35" i="6"/>
  <c r="X35" i="6" s="1"/>
  <c r="R217" i="6"/>
  <c r="AV217" i="6" s="1"/>
  <c r="V362" i="6"/>
  <c r="X362" i="6" s="1"/>
  <c r="V224" i="6"/>
  <c r="X224" i="6" s="1"/>
  <c r="L31" i="6"/>
  <c r="AP31" i="6" s="1"/>
  <c r="H31" i="6"/>
  <c r="H30" i="6" s="1"/>
  <c r="H5" i="6" s="1"/>
  <c r="H165" i="6"/>
  <c r="V166" i="6"/>
  <c r="V295" i="6"/>
  <c r="X295" i="6" s="1"/>
  <c r="H41" i="6"/>
  <c r="S41" i="6"/>
  <c r="T41" i="6"/>
  <c r="T40" i="6" s="1"/>
  <c r="T39" i="6" s="1"/>
  <c r="T420" i="6" s="1"/>
  <c r="V23" i="6"/>
  <c r="X23" i="6" s="1"/>
  <c r="T32" i="6"/>
  <c r="T31" i="6" s="1"/>
  <c r="T30" i="6" s="1"/>
  <c r="V34" i="6"/>
  <c r="H98" i="6"/>
  <c r="V227" i="6"/>
  <c r="X227" i="6" s="1"/>
  <c r="V83" i="6"/>
  <c r="X83" i="6" s="1"/>
  <c r="H127" i="6"/>
  <c r="V128" i="6"/>
  <c r="J191" i="6"/>
  <c r="AN191" i="6" s="1"/>
  <c r="H217" i="6"/>
  <c r="X77" i="6"/>
  <c r="V114" i="6"/>
  <c r="V108" i="6" s="1"/>
  <c r="V107" i="6" s="1"/>
  <c r="T188" i="6"/>
  <c r="H271" i="6"/>
  <c r="V350" i="6"/>
  <c r="X350" i="6" s="1"/>
  <c r="J349" i="6"/>
  <c r="AN349" i="6" s="1"/>
  <c r="J373" i="6"/>
  <c r="AN373" i="6" s="1"/>
  <c r="V380" i="6"/>
  <c r="X380" i="6" s="1"/>
  <c r="V291" i="6"/>
  <c r="X291" i="6" s="1"/>
  <c r="J381" i="6"/>
  <c r="AN381" i="6" s="1"/>
  <c r="V382" i="6"/>
  <c r="Q426" i="6" l="1"/>
  <c r="Q431" i="6"/>
  <c r="U98" i="6"/>
  <c r="U251" i="6"/>
  <c r="U361" i="6"/>
  <c r="AM108" i="6"/>
  <c r="U108" i="6"/>
  <c r="U218" i="6"/>
  <c r="AM277" i="6"/>
  <c r="U277" i="6"/>
  <c r="U373" i="6"/>
  <c r="AM181" i="6"/>
  <c r="U181" i="6"/>
  <c r="U31" i="6"/>
  <c r="AM271" i="6"/>
  <c r="U271" i="6"/>
  <c r="U191" i="6"/>
  <c r="AM242" i="6"/>
  <c r="U242" i="6"/>
  <c r="U41" i="6"/>
  <c r="U165" i="6"/>
  <c r="AN332" i="6"/>
  <c r="U332" i="6"/>
  <c r="U349" i="6"/>
  <c r="U127" i="6"/>
  <c r="AM134" i="6"/>
  <c r="U344" i="6"/>
  <c r="U314" i="6"/>
  <c r="AM67" i="6"/>
  <c r="U67" i="6"/>
  <c r="AO240" i="6"/>
  <c r="U240" i="6"/>
  <c r="U173" i="6"/>
  <c r="U319" i="6"/>
  <c r="U381" i="6"/>
  <c r="AM191" i="6"/>
  <c r="AM218" i="6"/>
  <c r="AM41" i="6"/>
  <c r="AM165" i="6"/>
  <c r="AM127" i="6"/>
  <c r="AM98" i="6"/>
  <c r="AM251" i="6"/>
  <c r="S188" i="6"/>
  <c r="AW188" i="6" s="1"/>
  <c r="S431" i="6"/>
  <c r="S247" i="6"/>
  <c r="AW247" i="6" s="1"/>
  <c r="P426" i="6"/>
  <c r="R431" i="6"/>
  <c r="R188" i="6"/>
  <c r="AV188" i="6" s="1"/>
  <c r="AW425" i="6"/>
  <c r="P247" i="6"/>
  <c r="AT247" i="6" s="1"/>
  <c r="AT428" i="6" s="1"/>
  <c r="Q247" i="6"/>
  <c r="AU247" i="6" s="1"/>
  <c r="AU428" i="6" s="1"/>
  <c r="Q188" i="6"/>
  <c r="AU188" i="6" s="1"/>
  <c r="S426" i="6"/>
  <c r="R426" i="6"/>
  <c r="P172" i="6"/>
  <c r="AT172" i="6" s="1"/>
  <c r="R247" i="6"/>
  <c r="AV247" i="6" s="1"/>
  <c r="AV428" i="6" s="1"/>
  <c r="AW134" i="6"/>
  <c r="AS331" i="6"/>
  <c r="AS432" i="6" s="1"/>
  <c r="AO319" i="6"/>
  <c r="AO431" i="6" s="1"/>
  <c r="AS319" i="6"/>
  <c r="AS431" i="6" s="1"/>
  <c r="AR238" i="6"/>
  <c r="AR426" i="6" s="1"/>
  <c r="AR314" i="6"/>
  <c r="AR430" i="6" s="1"/>
  <c r="P276" i="6"/>
  <c r="AT277" i="6"/>
  <c r="S432" i="6"/>
  <c r="AW331" i="6"/>
  <c r="AM331" i="6"/>
  <c r="AM432" i="6" s="1"/>
  <c r="S172" i="6"/>
  <c r="AW172" i="6" s="1"/>
  <c r="AW173" i="6"/>
  <c r="R172" i="6"/>
  <c r="AV172" i="6" s="1"/>
  <c r="AV173" i="6"/>
  <c r="AM319" i="6"/>
  <c r="AM431" i="6" s="1"/>
  <c r="O6" i="6"/>
  <c r="AS6" i="6" s="1"/>
  <c r="AS7" i="6"/>
  <c r="AP319" i="6"/>
  <c r="AP431" i="6" s="1"/>
  <c r="P107" i="6"/>
  <c r="AT107" i="6" s="1"/>
  <c r="AT108" i="6"/>
  <c r="Q97" i="6"/>
  <c r="AU98" i="6"/>
  <c r="Q6" i="6"/>
  <c r="AU6" i="6" s="1"/>
  <c r="AU7" i="6"/>
  <c r="R107" i="6"/>
  <c r="AV107" i="6" s="1"/>
  <c r="AV108" i="6"/>
  <c r="AQ331" i="6"/>
  <c r="AQ432" i="6" s="1"/>
  <c r="P217" i="6"/>
  <c r="AT217" i="6" s="1"/>
  <c r="AT218" i="6"/>
  <c r="P66" i="6"/>
  <c r="AT66" i="6" s="1"/>
  <c r="AT67" i="6"/>
  <c r="AU134" i="6"/>
  <c r="Q432" i="6"/>
  <c r="AU331" i="6"/>
  <c r="AU432" i="6" s="1"/>
  <c r="AP331" i="6"/>
  <c r="AP432" i="6" s="1"/>
  <c r="N6" i="6"/>
  <c r="AR6" i="6" s="1"/>
  <c r="AR7" i="6"/>
  <c r="R97" i="6"/>
  <c r="AV98" i="6"/>
  <c r="Q107" i="6"/>
  <c r="AU107" i="6" s="1"/>
  <c r="AU108" i="6"/>
  <c r="R40" i="6"/>
  <c r="AV41" i="6"/>
  <c r="AM314" i="6"/>
  <c r="AM430" i="6" s="1"/>
  <c r="AP314" i="6"/>
  <c r="AP430" i="6" s="1"/>
  <c r="P430" i="6"/>
  <c r="AT314" i="6"/>
  <c r="AT430" i="6" s="1"/>
  <c r="R66" i="6"/>
  <c r="AV66" i="6" s="1"/>
  <c r="AV67" i="6"/>
  <c r="AT134" i="6"/>
  <c r="Q276" i="6"/>
  <c r="AU277" i="6"/>
  <c r="P432" i="6"/>
  <c r="AT331" i="6"/>
  <c r="AT432" i="6" s="1"/>
  <c r="L6" i="6"/>
  <c r="AP6" i="6" s="1"/>
  <c r="AP7" i="6"/>
  <c r="K6" i="6"/>
  <c r="AO6" i="6" s="1"/>
  <c r="AO7" i="6"/>
  <c r="J6" i="6"/>
  <c r="AN6" i="6" s="1"/>
  <c r="AN7" i="6"/>
  <c r="AN314" i="6"/>
  <c r="AN430" i="6" s="1"/>
  <c r="I6" i="6"/>
  <c r="AM6" i="6" s="1"/>
  <c r="AM7" i="6"/>
  <c r="R30" i="6"/>
  <c r="AV31" i="6"/>
  <c r="R276" i="6"/>
  <c r="AV277" i="6"/>
  <c r="P40" i="6"/>
  <c r="AT41" i="6"/>
  <c r="S97" i="6"/>
  <c r="AW98" i="6"/>
  <c r="P97" i="6"/>
  <c r="AT98" i="6"/>
  <c r="S107" i="6"/>
  <c r="AW107" i="6" s="1"/>
  <c r="AW108" i="6"/>
  <c r="M6" i="6"/>
  <c r="AQ6" i="6" s="1"/>
  <c r="AQ7" i="6"/>
  <c r="AQ314" i="6"/>
  <c r="AQ430" i="6" s="1"/>
  <c r="S430" i="6"/>
  <c r="AW314" i="6"/>
  <c r="AS314" i="6"/>
  <c r="AS430" i="6" s="1"/>
  <c r="Q30" i="6"/>
  <c r="AU31" i="6"/>
  <c r="Q66" i="6"/>
  <c r="AU66" i="6" s="1"/>
  <c r="AU67" i="6"/>
  <c r="AR331" i="6"/>
  <c r="AR432" i="6" s="1"/>
  <c r="Q172" i="6"/>
  <c r="AU172" i="6" s="1"/>
  <c r="AU173" i="6"/>
  <c r="R430" i="6"/>
  <c r="AV314" i="6"/>
  <c r="AV430" i="6" s="1"/>
  <c r="K331" i="6"/>
  <c r="AN319" i="6"/>
  <c r="AN431" i="6" s="1"/>
  <c r="S40" i="6"/>
  <c r="AW41" i="6"/>
  <c r="P188" i="6"/>
  <c r="AT188" i="6" s="1"/>
  <c r="AT191" i="6"/>
  <c r="AO314" i="6"/>
  <c r="AO430" i="6" s="1"/>
  <c r="Q430" i="6"/>
  <c r="AU314" i="6"/>
  <c r="AU430" i="6" s="1"/>
  <c r="P30" i="6"/>
  <c r="AT31" i="6"/>
  <c r="S276" i="6"/>
  <c r="AW277" i="6"/>
  <c r="AV134" i="6"/>
  <c r="R432" i="6"/>
  <c r="AV331" i="6"/>
  <c r="AV432" i="6" s="1"/>
  <c r="I172" i="6"/>
  <c r="AM173" i="6"/>
  <c r="AR319" i="6"/>
  <c r="AR431" i="6" s="1"/>
  <c r="AQ319" i="6"/>
  <c r="AQ431" i="6" s="1"/>
  <c r="S6" i="6"/>
  <c r="AW6" i="6" s="1"/>
  <c r="AW7" i="6"/>
  <c r="R6" i="6"/>
  <c r="AV6" i="6" s="1"/>
  <c r="AV7" i="6"/>
  <c r="P6" i="6"/>
  <c r="AT6" i="6" s="1"/>
  <c r="AT7" i="6"/>
  <c r="Q40" i="6"/>
  <c r="AU41" i="6"/>
  <c r="T5" i="6"/>
  <c r="T4" i="6" s="1"/>
  <c r="T159" i="6"/>
  <c r="N172" i="6"/>
  <c r="AR172" i="6" s="1"/>
  <c r="K276" i="6"/>
  <c r="M247" i="6"/>
  <c r="AQ247" i="6" s="1"/>
  <c r="L66" i="6"/>
  <c r="AP66" i="6" s="1"/>
  <c r="O66" i="6"/>
  <c r="AS66" i="6" s="1"/>
  <c r="L238" i="6"/>
  <c r="J107" i="6"/>
  <c r="AN107" i="6" s="1"/>
  <c r="O247" i="6"/>
  <c r="AS247" i="6" s="1"/>
  <c r="K66" i="6"/>
  <c r="AO66" i="6" s="1"/>
  <c r="J238" i="6"/>
  <c r="J276" i="6"/>
  <c r="L276" i="6"/>
  <c r="I276" i="6"/>
  <c r="J247" i="6"/>
  <c r="AN247" i="6" s="1"/>
  <c r="K239" i="6"/>
  <c r="AO239" i="6" s="1"/>
  <c r="N276" i="6"/>
  <c r="L107" i="6"/>
  <c r="AP107" i="6" s="1"/>
  <c r="K107" i="6"/>
  <c r="AO107" i="6" s="1"/>
  <c r="K247" i="6"/>
  <c r="AO247" i="6" s="1"/>
  <c r="N66" i="6"/>
  <c r="AR66" i="6" s="1"/>
  <c r="J66" i="6"/>
  <c r="AN66" i="6" s="1"/>
  <c r="O238" i="6"/>
  <c r="O276" i="6"/>
  <c r="I107" i="6"/>
  <c r="I106" i="6" s="1"/>
  <c r="L247" i="6"/>
  <c r="O107" i="6"/>
  <c r="AS107" i="6" s="1"/>
  <c r="N107" i="6"/>
  <c r="AR107" i="6" s="1"/>
  <c r="M107" i="6"/>
  <c r="AQ107" i="6" s="1"/>
  <c r="N247" i="6"/>
  <c r="AR247" i="6" s="1"/>
  <c r="AW431" i="6"/>
  <c r="U7" i="6"/>
  <c r="U6" i="6" s="1"/>
  <c r="M66" i="6"/>
  <c r="AQ66" i="6" s="1"/>
  <c r="I66" i="6"/>
  <c r="M238" i="6"/>
  <c r="M276" i="6"/>
  <c r="V7" i="6"/>
  <c r="V6" i="6" s="1"/>
  <c r="X173" i="6"/>
  <c r="V173" i="6"/>
  <c r="H247" i="6"/>
  <c r="I247" i="6"/>
  <c r="T246" i="6"/>
  <c r="T427" i="6" s="1"/>
  <c r="H331" i="6"/>
  <c r="X319" i="6"/>
  <c r="V319" i="6"/>
  <c r="V332" i="6"/>
  <c r="J331" i="6"/>
  <c r="AN331" i="6" s="1"/>
  <c r="V277" i="6"/>
  <c r="V276" i="6" s="1"/>
  <c r="I239" i="6"/>
  <c r="J172" i="6"/>
  <c r="AN172" i="6" s="1"/>
  <c r="M172" i="6"/>
  <c r="AQ172" i="6" s="1"/>
  <c r="K172" i="6"/>
  <c r="AO172" i="6" s="1"/>
  <c r="L172" i="6"/>
  <c r="AP172" i="6" s="1"/>
  <c r="O172" i="6"/>
  <c r="AS172" i="6" s="1"/>
  <c r="M134" i="6"/>
  <c r="AQ134" i="6" s="1"/>
  <c r="L134" i="6"/>
  <c r="AP134" i="6" s="1"/>
  <c r="K134" i="6"/>
  <c r="AO134" i="6" s="1"/>
  <c r="O134" i="6"/>
  <c r="AS134" i="6" s="1"/>
  <c r="J134" i="6"/>
  <c r="AN134" i="6" s="1"/>
  <c r="T61" i="6"/>
  <c r="T60" i="6" s="1"/>
  <c r="T422" i="6" s="1"/>
  <c r="X333" i="6"/>
  <c r="X332" i="6" s="1"/>
  <c r="V314" i="6"/>
  <c r="X314" i="6" s="1"/>
  <c r="V251" i="6"/>
  <c r="X251" i="6" s="1"/>
  <c r="X15" i="6"/>
  <c r="X7" i="6" s="1"/>
  <c r="X6" i="6" s="1"/>
  <c r="X114" i="6"/>
  <c r="V381" i="6"/>
  <c r="X381" i="6" s="1"/>
  <c r="X382" i="6"/>
  <c r="X62" i="6"/>
  <c r="X63" i="6"/>
  <c r="V191" i="6"/>
  <c r="X191" i="6" s="1"/>
  <c r="X195" i="6"/>
  <c r="X242" i="6"/>
  <c r="X244" i="6"/>
  <c r="V271" i="6"/>
  <c r="X271" i="6" s="1"/>
  <c r="X272" i="6"/>
  <c r="V32" i="6"/>
  <c r="X32" i="6" s="1"/>
  <c r="X34" i="6"/>
  <c r="V165" i="6"/>
  <c r="X166" i="6"/>
  <c r="X145" i="6"/>
  <c r="X150" i="6"/>
  <c r="V48" i="6"/>
  <c r="X48" i="6" s="1"/>
  <c r="X50" i="6"/>
  <c r="V127" i="6"/>
  <c r="X127" i="6" s="1"/>
  <c r="X128" i="6"/>
  <c r="X240" i="6"/>
  <c r="X241" i="6"/>
  <c r="V98" i="6"/>
  <c r="X99" i="6"/>
  <c r="X181" i="6"/>
  <c r="X184" i="6"/>
  <c r="I217" i="6"/>
  <c r="K217" i="6"/>
  <c r="AO217" i="6" s="1"/>
  <c r="K188" i="6"/>
  <c r="AO188" i="6" s="1"/>
  <c r="M188" i="6"/>
  <c r="AQ188" i="6" s="1"/>
  <c r="V373" i="6"/>
  <c r="X373" i="6" s="1"/>
  <c r="O188" i="6"/>
  <c r="AS188" i="6" s="1"/>
  <c r="N188" i="6"/>
  <c r="AR188" i="6" s="1"/>
  <c r="T428" i="6"/>
  <c r="I431" i="6"/>
  <c r="J430" i="6"/>
  <c r="L432" i="6"/>
  <c r="I430" i="6"/>
  <c r="U425" i="6"/>
  <c r="L431" i="6"/>
  <c r="K431" i="6"/>
  <c r="M217" i="6"/>
  <c r="AQ217" i="6" s="1"/>
  <c r="M430" i="6"/>
  <c r="J431" i="6"/>
  <c r="N430" i="6"/>
  <c r="O430" i="6"/>
  <c r="M431" i="6"/>
  <c r="O431" i="6"/>
  <c r="J217" i="6"/>
  <c r="AN217" i="6" s="1"/>
  <c r="I188" i="6"/>
  <c r="V344" i="6"/>
  <c r="X344" i="6" s="1"/>
  <c r="K430" i="6"/>
  <c r="M432" i="6"/>
  <c r="N432" i="6"/>
  <c r="N431" i="6"/>
  <c r="L430" i="6"/>
  <c r="L188" i="6"/>
  <c r="AP188" i="6" s="1"/>
  <c r="I432" i="6"/>
  <c r="O217" i="6"/>
  <c r="AS217" i="6" s="1"/>
  <c r="O432" i="6"/>
  <c r="O30" i="6"/>
  <c r="AS30" i="6" s="1"/>
  <c r="L217" i="6"/>
  <c r="AP217" i="6" s="1"/>
  <c r="J188" i="6"/>
  <c r="AN188" i="6" s="1"/>
  <c r="K30" i="6"/>
  <c r="AO30" i="6" s="1"/>
  <c r="L40" i="6"/>
  <c r="AP40" i="6" s="1"/>
  <c r="M97" i="6"/>
  <c r="AQ97" i="6" s="1"/>
  <c r="K97" i="6"/>
  <c r="AO97" i="6" s="1"/>
  <c r="J97" i="6"/>
  <c r="AN97" i="6" s="1"/>
  <c r="M30" i="6"/>
  <c r="AQ30" i="6" s="1"/>
  <c r="O97" i="6"/>
  <c r="AS97" i="6" s="1"/>
  <c r="I40" i="6"/>
  <c r="L97" i="6"/>
  <c r="AP97" i="6" s="1"/>
  <c r="J30" i="6"/>
  <c r="AN30" i="6" s="1"/>
  <c r="K40" i="6"/>
  <c r="AO40" i="6" s="1"/>
  <c r="M40" i="6"/>
  <c r="AQ40" i="6" s="1"/>
  <c r="L30" i="6"/>
  <c r="AP30" i="6" s="1"/>
  <c r="I97" i="6"/>
  <c r="J40" i="6"/>
  <c r="AN40" i="6" s="1"/>
  <c r="O40" i="6"/>
  <c r="AS40" i="6" s="1"/>
  <c r="V361" i="6"/>
  <c r="X361" i="6" s="1"/>
  <c r="V349" i="6"/>
  <c r="X349" i="6" s="1"/>
  <c r="N97" i="6"/>
  <c r="AR97" i="6" s="1"/>
  <c r="N30" i="6"/>
  <c r="AR30" i="6" s="1"/>
  <c r="N40" i="6"/>
  <c r="AR40" i="6" s="1"/>
  <c r="N217" i="6"/>
  <c r="AR217" i="6" s="1"/>
  <c r="AW10" i="1"/>
  <c r="AX10" i="1" s="1"/>
  <c r="E6" i="1"/>
  <c r="AS6" i="1" s="1"/>
  <c r="AS7" i="1"/>
  <c r="I30" i="6"/>
  <c r="V218" i="6"/>
  <c r="H188" i="6"/>
  <c r="H159" i="6" s="1"/>
  <c r="H106" i="6"/>
  <c r="H97" i="6"/>
  <c r="H40" i="6"/>
  <c r="U40" i="6" l="1"/>
  <c r="AM239" i="6"/>
  <c r="U239" i="6"/>
  <c r="AM247" i="6"/>
  <c r="AM428" i="6" s="1"/>
  <c r="U247" i="6"/>
  <c r="AM66" i="6"/>
  <c r="U66" i="6"/>
  <c r="U134" i="6"/>
  <c r="AM107" i="6"/>
  <c r="U107" i="6"/>
  <c r="AM106" i="6"/>
  <c r="U97" i="6"/>
  <c r="R159" i="6"/>
  <c r="AV159" i="6" s="1"/>
  <c r="U276" i="6"/>
  <c r="U331" i="6"/>
  <c r="U188" i="6"/>
  <c r="U217" i="6"/>
  <c r="U30" i="6"/>
  <c r="U5" i="6" s="1"/>
  <c r="AM172" i="6"/>
  <c r="U172" i="6"/>
  <c r="AM188" i="6"/>
  <c r="AM97" i="6"/>
  <c r="AM217" i="6"/>
  <c r="AM40" i="6"/>
  <c r="S428" i="6"/>
  <c r="AW430" i="6"/>
  <c r="S246" i="6"/>
  <c r="S427" i="6" s="1"/>
  <c r="P428" i="6"/>
  <c r="Q246" i="6"/>
  <c r="Q427" i="6" s="1"/>
  <c r="R106" i="6"/>
  <c r="AV106" i="6" s="1"/>
  <c r="Q428" i="6"/>
  <c r="P246" i="6"/>
  <c r="P427" i="6" s="1"/>
  <c r="R428" i="6"/>
  <c r="Q106" i="6"/>
  <c r="AU106" i="6" s="1"/>
  <c r="N106" i="6"/>
  <c r="AR106" i="6" s="1"/>
  <c r="Q159" i="6"/>
  <c r="AU159" i="6" s="1"/>
  <c r="P106" i="6"/>
  <c r="AT106" i="6" s="1"/>
  <c r="S159" i="6"/>
  <c r="AW159" i="6" s="1"/>
  <c r="I5" i="6"/>
  <c r="P159" i="6"/>
  <c r="AT159" i="6" s="1"/>
  <c r="AS238" i="6"/>
  <c r="AS426" i="6" s="1"/>
  <c r="AR276" i="6"/>
  <c r="AR429" i="6" s="1"/>
  <c r="Q5" i="6"/>
  <c r="Q419" i="6" s="1"/>
  <c r="AU30" i="6"/>
  <c r="AT40" i="6"/>
  <c r="P39" i="6"/>
  <c r="AQ276" i="6"/>
  <c r="AQ429" i="6" s="1"/>
  <c r="S429" i="6"/>
  <c r="AW276" i="6"/>
  <c r="S5" i="6"/>
  <c r="S419" i="6" s="1"/>
  <c r="P429" i="6"/>
  <c r="AT276" i="6"/>
  <c r="AT429" i="6" s="1"/>
  <c r="AW97" i="6"/>
  <c r="S91" i="6"/>
  <c r="AW91" i="6" s="1"/>
  <c r="AV40" i="6"/>
  <c r="R39" i="6"/>
  <c r="AS276" i="6"/>
  <c r="AS429" i="6" s="1"/>
  <c r="AU40" i="6"/>
  <c r="Q39" i="6"/>
  <c r="AU97" i="6"/>
  <c r="Q91" i="6"/>
  <c r="AU91" i="6" s="1"/>
  <c r="AQ238" i="6"/>
  <c r="AQ426" i="6" s="1"/>
  <c r="AO276" i="6"/>
  <c r="AO429" i="6" s="1"/>
  <c r="R429" i="6"/>
  <c r="AV276" i="6"/>
  <c r="AV429" i="6" s="1"/>
  <c r="Q429" i="6"/>
  <c r="AU276" i="6"/>
  <c r="AU429" i="6" s="1"/>
  <c r="AV97" i="6"/>
  <c r="R91" i="6"/>
  <c r="AV91" i="6" s="1"/>
  <c r="AO331" i="6"/>
  <c r="AO432" i="6" s="1"/>
  <c r="R246" i="6"/>
  <c r="AM276" i="6"/>
  <c r="AM429" i="6" s="1"/>
  <c r="P5" i="6"/>
  <c r="P419" i="6" s="1"/>
  <c r="AT30" i="6"/>
  <c r="S39" i="6"/>
  <c r="AW40" i="6"/>
  <c r="L246" i="6"/>
  <c r="AP246" i="6" s="1"/>
  <c r="AP427" i="6" s="1"/>
  <c r="AP247" i="6"/>
  <c r="AP428" i="6" s="1"/>
  <c r="AP276" i="6"/>
  <c r="AP429" i="6" s="1"/>
  <c r="AP238" i="6"/>
  <c r="AP426" i="6" s="1"/>
  <c r="AT97" i="6"/>
  <c r="P91" i="6"/>
  <c r="R5" i="6"/>
  <c r="R419" i="6" s="1"/>
  <c r="AV30" i="6"/>
  <c r="AN238" i="6"/>
  <c r="AN426" i="6" s="1"/>
  <c r="AN276" i="6"/>
  <c r="AN429" i="6" s="1"/>
  <c r="S106" i="6"/>
  <c r="AW106" i="6" s="1"/>
  <c r="K246" i="6"/>
  <c r="AO246" i="6" s="1"/>
  <c r="AO427" i="6" s="1"/>
  <c r="M246" i="6"/>
  <c r="AQ246" i="6" s="1"/>
  <c r="AQ427" i="6" s="1"/>
  <c r="N246" i="6"/>
  <c r="AR246" i="6" s="1"/>
  <c r="AR427" i="6" s="1"/>
  <c r="O246" i="6"/>
  <c r="AS246" i="6" s="1"/>
  <c r="AS427" i="6" s="1"/>
  <c r="O5" i="6"/>
  <c r="L5" i="6"/>
  <c r="K238" i="6"/>
  <c r="AS428" i="6"/>
  <c r="N5" i="6"/>
  <c r="AR5" i="6" s="1"/>
  <c r="I246" i="6"/>
  <c r="AQ428" i="6"/>
  <c r="I238" i="6"/>
  <c r="AN428" i="6"/>
  <c r="M5" i="6"/>
  <c r="AO428" i="6"/>
  <c r="K5" i="6"/>
  <c r="AO5" i="6" s="1"/>
  <c r="J5" i="6"/>
  <c r="AR428" i="6"/>
  <c r="J432" i="6"/>
  <c r="AN432" i="6"/>
  <c r="AW432" i="6"/>
  <c r="I159" i="6"/>
  <c r="M159" i="6"/>
  <c r="AQ159" i="6" s="1"/>
  <c r="J159" i="6"/>
  <c r="AN159" i="6" s="1"/>
  <c r="N159" i="6"/>
  <c r="O159" i="6"/>
  <c r="AS159" i="6" s="1"/>
  <c r="L159" i="6"/>
  <c r="AP159" i="6" s="1"/>
  <c r="K159" i="6"/>
  <c r="AO159" i="6" s="1"/>
  <c r="X247" i="6"/>
  <c r="V247" i="6"/>
  <c r="H246" i="6"/>
  <c r="J246" i="6"/>
  <c r="AN246" i="6" s="1"/>
  <c r="X331" i="6"/>
  <c r="V331" i="6"/>
  <c r="V239" i="6"/>
  <c r="V238" i="6" s="1"/>
  <c r="V172" i="6"/>
  <c r="X172" i="6" s="1"/>
  <c r="T105" i="6"/>
  <c r="X165" i="6"/>
  <c r="V134" i="6"/>
  <c r="X134" i="6" s="1"/>
  <c r="L106" i="6"/>
  <c r="AP106" i="6" s="1"/>
  <c r="J106" i="6"/>
  <c r="AN106" i="6" s="1"/>
  <c r="M106" i="6"/>
  <c r="AQ106" i="6" s="1"/>
  <c r="O106" i="6"/>
  <c r="AS106" i="6" s="1"/>
  <c r="K106" i="6"/>
  <c r="AO106" i="6" s="1"/>
  <c r="V31" i="6"/>
  <c r="X31" i="6" s="1"/>
  <c r="V188" i="6"/>
  <c r="X188" i="6" s="1"/>
  <c r="V41" i="6"/>
  <c r="V40" i="6" s="1"/>
  <c r="V97" i="6"/>
  <c r="X98" i="6"/>
  <c r="V217" i="6"/>
  <c r="X217" i="6" s="1"/>
  <c r="X218" i="6"/>
  <c r="X107" i="6"/>
  <c r="X108" i="6"/>
  <c r="X276" i="6"/>
  <c r="X277" i="6"/>
  <c r="L428" i="6"/>
  <c r="M428" i="6"/>
  <c r="I428" i="6"/>
  <c r="J428" i="6"/>
  <c r="K428" i="6"/>
  <c r="O428" i="6"/>
  <c r="N428" i="6"/>
  <c r="N426" i="6"/>
  <c r="T418" i="6"/>
  <c r="T419" i="6"/>
  <c r="M426" i="6"/>
  <c r="S13" i="10" s="1"/>
  <c r="K429" i="6"/>
  <c r="J429" i="6"/>
  <c r="K432" i="6"/>
  <c r="H9" i="11"/>
  <c r="U431" i="6"/>
  <c r="M429" i="6"/>
  <c r="L426" i="6"/>
  <c r="R13" i="10" s="1"/>
  <c r="J426" i="6"/>
  <c r="P13" i="10" s="1"/>
  <c r="I429" i="6"/>
  <c r="U430" i="6"/>
  <c r="T25" i="10" s="1"/>
  <c r="O429" i="6"/>
  <c r="N429" i="6"/>
  <c r="O426" i="6"/>
  <c r="L429" i="6"/>
  <c r="O91" i="6"/>
  <c r="AS91" i="6" s="1"/>
  <c r="J91" i="6"/>
  <c r="AN91" i="6" s="1"/>
  <c r="J39" i="6"/>
  <c r="AN39" i="6" s="1"/>
  <c r="I91" i="6"/>
  <c r="M39" i="6"/>
  <c r="AQ39" i="6" s="1"/>
  <c r="K91" i="6"/>
  <c r="AO91" i="6" s="1"/>
  <c r="O39" i="6"/>
  <c r="AS39" i="6" s="1"/>
  <c r="K39" i="6"/>
  <c r="AO39" i="6" s="1"/>
  <c r="L91" i="6"/>
  <c r="AP91" i="6" s="1"/>
  <c r="L39" i="6"/>
  <c r="AP39" i="6" s="1"/>
  <c r="I39" i="6"/>
  <c r="M91" i="6"/>
  <c r="AQ91" i="6" s="1"/>
  <c r="N91" i="6"/>
  <c r="AR91" i="6" s="1"/>
  <c r="N39" i="6"/>
  <c r="AR39" i="6" s="1"/>
  <c r="H105" i="6"/>
  <c r="H39" i="6"/>
  <c r="H4" i="6" s="1"/>
  <c r="H91" i="6"/>
  <c r="H61" i="6" s="1"/>
  <c r="H60" i="6" s="1"/>
  <c r="U159" i="6" l="1"/>
  <c r="U91" i="6"/>
  <c r="U39" i="6"/>
  <c r="U238" i="6"/>
  <c r="U106" i="6"/>
  <c r="AM246" i="6"/>
  <c r="AM427" i="6" s="1"/>
  <c r="U246" i="6"/>
  <c r="AM91" i="6"/>
  <c r="AW246" i="6"/>
  <c r="AW427" i="6" s="1"/>
  <c r="AM39" i="6"/>
  <c r="AM420" i="6" s="1"/>
  <c r="R105" i="6"/>
  <c r="R423" i="6" s="1"/>
  <c r="AU246" i="6"/>
  <c r="AU427" i="6" s="1"/>
  <c r="AW429" i="6"/>
  <c r="O427" i="6"/>
  <c r="S105" i="6"/>
  <c r="S423" i="6" s="1"/>
  <c r="AT246" i="6"/>
  <c r="AT427" i="6" s="1"/>
  <c r="L427" i="6"/>
  <c r="R61" i="6"/>
  <c r="AV61" i="6" s="1"/>
  <c r="Q105" i="6"/>
  <c r="AU105" i="6" s="1"/>
  <c r="AU423" i="6" s="1"/>
  <c r="P105" i="6"/>
  <c r="AT105" i="6" s="1"/>
  <c r="AT423" i="6" s="1"/>
  <c r="S4" i="6"/>
  <c r="S418" i="6" s="1"/>
  <c r="I105" i="6"/>
  <c r="AM159" i="6"/>
  <c r="AT5" i="6"/>
  <c r="AT419" i="6" s="1"/>
  <c r="P4" i="6"/>
  <c r="M419" i="6"/>
  <c r="S5" i="10" s="1"/>
  <c r="AQ5" i="6"/>
  <c r="AQ419" i="6" s="1"/>
  <c r="P420" i="6"/>
  <c r="AT39" i="6"/>
  <c r="AT420" i="6" s="1"/>
  <c r="J419" i="6"/>
  <c r="P5" i="10" s="1"/>
  <c r="AN5" i="6"/>
  <c r="AN419" i="6" s="1"/>
  <c r="Q420" i="6"/>
  <c r="AU39" i="6"/>
  <c r="AU420" i="6" s="1"/>
  <c r="AM238" i="6"/>
  <c r="AM426" i="6" s="1"/>
  <c r="AO238" i="6"/>
  <c r="AO426" i="6" s="1"/>
  <c r="AV5" i="6"/>
  <c r="AV419" i="6" s="1"/>
  <c r="R4" i="6"/>
  <c r="R427" i="6"/>
  <c r="AV246" i="6"/>
  <c r="AV427" i="6" s="1"/>
  <c r="N105" i="6"/>
  <c r="AR159" i="6"/>
  <c r="L419" i="6"/>
  <c r="R5" i="10" s="1"/>
  <c r="AP5" i="6"/>
  <c r="AP419" i="6" s="1"/>
  <c r="AT91" i="6"/>
  <c r="P61" i="6"/>
  <c r="Q61" i="6"/>
  <c r="AU5" i="6"/>
  <c r="AU419" i="6" s="1"/>
  <c r="Q4" i="6"/>
  <c r="O419" i="6"/>
  <c r="AS5" i="6"/>
  <c r="AS419" i="6" s="1"/>
  <c r="S420" i="6"/>
  <c r="AW39" i="6"/>
  <c r="R420" i="6"/>
  <c r="AV39" i="6"/>
  <c r="AV420" i="6" s="1"/>
  <c r="AO419" i="6"/>
  <c r="AW428" i="6"/>
  <c r="J4" i="6"/>
  <c r="AN4" i="6" s="1"/>
  <c r="AN420" i="6"/>
  <c r="O61" i="6"/>
  <c r="AS61" i="6" s="1"/>
  <c r="AN427" i="6"/>
  <c r="AR419" i="6"/>
  <c r="M4" i="6"/>
  <c r="AQ4" i="6" s="1"/>
  <c r="AQ420" i="6"/>
  <c r="AW426" i="6"/>
  <c r="I61" i="6"/>
  <c r="L4" i="6"/>
  <c r="AP4" i="6" s="1"/>
  <c r="AP420" i="6"/>
  <c r="I4" i="6"/>
  <c r="L61" i="6"/>
  <c r="AP61" i="6" s="1"/>
  <c r="N61" i="6"/>
  <c r="AR61" i="6" s="1"/>
  <c r="M61" i="6"/>
  <c r="AQ61" i="6" s="1"/>
  <c r="J61" i="6"/>
  <c r="AN61" i="6" s="1"/>
  <c r="K4" i="6"/>
  <c r="AO4" i="6" s="1"/>
  <c r="AO420" i="6"/>
  <c r="O4" i="6"/>
  <c r="AS4" i="6" s="1"/>
  <c r="AS420" i="6"/>
  <c r="N4" i="6"/>
  <c r="AR4" i="6" s="1"/>
  <c r="AR420" i="6"/>
  <c r="K61" i="6"/>
  <c r="AO61" i="6" s="1"/>
  <c r="X246" i="6"/>
  <c r="V159" i="6"/>
  <c r="X159" i="6"/>
  <c r="V246" i="6"/>
  <c r="T423" i="6"/>
  <c r="T59" i="6"/>
  <c r="T3" i="6" s="1"/>
  <c r="T2" i="6" s="1"/>
  <c r="J105" i="6"/>
  <c r="AN105" i="6" s="1"/>
  <c r="L105" i="6"/>
  <c r="AP105" i="6" s="1"/>
  <c r="K105" i="6"/>
  <c r="AO105" i="6" s="1"/>
  <c r="V106" i="6"/>
  <c r="O105" i="6"/>
  <c r="AS105" i="6" s="1"/>
  <c r="M105" i="6"/>
  <c r="AQ105" i="6" s="1"/>
  <c r="H420" i="6"/>
  <c r="N6" i="10" s="1"/>
  <c r="N4" i="10" s="1"/>
  <c r="K419" i="6"/>
  <c r="Q5" i="10" s="1"/>
  <c r="V30" i="6"/>
  <c r="V5" i="6" s="1"/>
  <c r="X41" i="6"/>
  <c r="V39" i="6"/>
  <c r="X39" i="6" s="1"/>
  <c r="X40" i="6"/>
  <c r="X97" i="6"/>
  <c r="V91" i="6"/>
  <c r="X238" i="6"/>
  <c r="X239" i="6"/>
  <c r="I419" i="6"/>
  <c r="O5" i="10" s="1"/>
  <c r="N420" i="6"/>
  <c r="N427" i="6"/>
  <c r="N419" i="6"/>
  <c r="U428" i="6"/>
  <c r="J427" i="6"/>
  <c r="I427" i="6"/>
  <c r="M420" i="6"/>
  <c r="S6" i="10" s="1"/>
  <c r="U429" i="6"/>
  <c r="K420" i="6"/>
  <c r="Q6" i="10" s="1"/>
  <c r="M427" i="6"/>
  <c r="J420" i="6"/>
  <c r="P6" i="10" s="1"/>
  <c r="I426" i="6"/>
  <c r="O13" i="10" s="1"/>
  <c r="U432" i="6"/>
  <c r="T28" i="10" s="1"/>
  <c r="K427" i="6"/>
  <c r="K426" i="6"/>
  <c r="Q13" i="10" s="1"/>
  <c r="O420" i="6"/>
  <c r="I420" i="6"/>
  <c r="O6" i="10" s="1"/>
  <c r="L420" i="6"/>
  <c r="R6" i="10" s="1"/>
  <c r="H59" i="6"/>
  <c r="H3" i="6" s="1"/>
  <c r="H2" i="6" s="1"/>
  <c r="U105" i="6" l="1"/>
  <c r="AM61" i="6"/>
  <c r="U61" i="6"/>
  <c r="AV105" i="6"/>
  <c r="AV423" i="6" s="1"/>
  <c r="R60" i="6"/>
  <c r="R59" i="6" s="1"/>
  <c r="R3" i="6" s="1"/>
  <c r="R417" i="6" s="1"/>
  <c r="AW105" i="6"/>
  <c r="AW423" i="6" s="1"/>
  <c r="P423" i="6"/>
  <c r="Q423" i="6"/>
  <c r="Q60" i="6"/>
  <c r="AU61" i="6"/>
  <c r="P60" i="6"/>
  <c r="AT61" i="6"/>
  <c r="AV4" i="6"/>
  <c r="AV418" i="6" s="1"/>
  <c r="R418" i="6"/>
  <c r="AT4" i="6"/>
  <c r="AT418" i="6" s="1"/>
  <c r="P418" i="6"/>
  <c r="AU4" i="6"/>
  <c r="AU418" i="6" s="1"/>
  <c r="Q418" i="6"/>
  <c r="AR105" i="6"/>
  <c r="AR423" i="6" s="1"/>
  <c r="AM105" i="6"/>
  <c r="AM423" i="6" s="1"/>
  <c r="AR418" i="6"/>
  <c r="AO418" i="6"/>
  <c r="AQ423" i="6"/>
  <c r="I60" i="6"/>
  <c r="K60" i="6"/>
  <c r="J60" i="6"/>
  <c r="L60" i="6"/>
  <c r="L422" i="6" s="1"/>
  <c r="R8" i="10" s="1"/>
  <c r="AS418" i="6"/>
  <c r="AO423" i="6"/>
  <c r="M60" i="6"/>
  <c r="AP423" i="6"/>
  <c r="AS423" i="6"/>
  <c r="U4" i="6"/>
  <c r="AW420" i="6"/>
  <c r="AN423" i="6"/>
  <c r="N60" i="6"/>
  <c r="AR60" i="6" s="1"/>
  <c r="O60" i="6"/>
  <c r="O422" i="6" s="1"/>
  <c r="V4" i="6"/>
  <c r="T421" i="6"/>
  <c r="V105" i="6"/>
  <c r="X105" i="6" s="1"/>
  <c r="X106" i="6"/>
  <c r="X30" i="6"/>
  <c r="X5" i="6" s="1"/>
  <c r="X4" i="6" s="1"/>
  <c r="X91" i="6"/>
  <c r="T19" i="10"/>
  <c r="T18" i="10" s="1"/>
  <c r="K418" i="6"/>
  <c r="J418" i="6"/>
  <c r="U419" i="6"/>
  <c r="T5" i="10" s="1"/>
  <c r="N423" i="6"/>
  <c r="M423" i="6"/>
  <c r="S10" i="10" s="1"/>
  <c r="K423" i="6"/>
  <c r="Q10" i="10" s="1"/>
  <c r="L418" i="6"/>
  <c r="O423" i="6"/>
  <c r="U420" i="6"/>
  <c r="T6" i="10" s="1"/>
  <c r="U426" i="6"/>
  <c r="L423" i="6"/>
  <c r="R10" i="10" s="1"/>
  <c r="T416" i="6"/>
  <c r="T417" i="6"/>
  <c r="I423" i="6"/>
  <c r="O10" i="10" s="1"/>
  <c r="I418" i="6"/>
  <c r="N418" i="6"/>
  <c r="O418" i="6"/>
  <c r="J423" i="6"/>
  <c r="P10" i="10" s="1"/>
  <c r="M418" i="6"/>
  <c r="U427" i="6"/>
  <c r="H11" i="11" s="1"/>
  <c r="AM60" i="6" l="1"/>
  <c r="AM422" i="6" s="1"/>
  <c r="U60" i="6"/>
  <c r="R422" i="6"/>
  <c r="R421" i="6"/>
  <c r="AV59" i="6"/>
  <c r="AV421" i="6" s="1"/>
  <c r="AV60" i="6"/>
  <c r="AV422" i="6" s="1"/>
  <c r="AO60" i="6"/>
  <c r="AO422" i="6" s="1"/>
  <c r="P422" i="6"/>
  <c r="AT60" i="6"/>
  <c r="AT422" i="6" s="1"/>
  <c r="P59" i="6"/>
  <c r="AQ60" i="6"/>
  <c r="AQ422" i="6" s="1"/>
  <c r="AS60" i="6"/>
  <c r="AS422" i="6" s="1"/>
  <c r="Q422" i="6"/>
  <c r="AU60" i="6"/>
  <c r="AU422" i="6" s="1"/>
  <c r="Q59" i="6"/>
  <c r="AN60" i="6"/>
  <c r="AN422" i="6" s="1"/>
  <c r="AP60" i="6"/>
  <c r="AP422" i="6" s="1"/>
  <c r="R2" i="6"/>
  <c r="AV3" i="6"/>
  <c r="AV417" i="6" s="1"/>
  <c r="K59" i="6"/>
  <c r="K422" i="6"/>
  <c r="Q8" i="10" s="1"/>
  <c r="L59" i="6"/>
  <c r="AP59" i="6" s="1"/>
  <c r="O59" i="6"/>
  <c r="AR422" i="6"/>
  <c r="N59" i="6"/>
  <c r="AR59" i="6" s="1"/>
  <c r="AP418" i="6"/>
  <c r="AN418" i="6"/>
  <c r="J59" i="6"/>
  <c r="AN59" i="6" s="1"/>
  <c r="AQ418" i="6"/>
  <c r="I59" i="6"/>
  <c r="M422" i="6"/>
  <c r="S8" i="10" s="1"/>
  <c r="J422" i="6"/>
  <c r="P8" i="10" s="1"/>
  <c r="M59" i="6"/>
  <c r="AQ59" i="6" s="1"/>
  <c r="I422" i="6"/>
  <c r="O8" i="10" s="1"/>
  <c r="H10" i="11"/>
  <c r="T13" i="10"/>
  <c r="N422" i="6"/>
  <c r="U423" i="6"/>
  <c r="T10" i="10" s="1"/>
  <c r="U418" i="6"/>
  <c r="H6" i="11" s="1"/>
  <c r="AM59" i="6" l="1"/>
  <c r="AM421" i="6" s="1"/>
  <c r="U59" i="6"/>
  <c r="U3" i="6" s="1"/>
  <c r="U2" i="6" s="1"/>
  <c r="P3" i="6"/>
  <c r="AT59" i="6"/>
  <c r="AT421" i="6" s="1"/>
  <c r="P421" i="6"/>
  <c r="O421" i="6"/>
  <c r="AS59" i="6"/>
  <c r="Q3" i="6"/>
  <c r="AU59" i="6"/>
  <c r="AU421" i="6" s="1"/>
  <c r="Q421" i="6"/>
  <c r="K3" i="6"/>
  <c r="K417" i="6" s="1"/>
  <c r="AO59" i="6"/>
  <c r="AO421" i="6" s="1"/>
  <c r="M421" i="6"/>
  <c r="S7" i="10" s="1"/>
  <c r="S4" i="10" s="1"/>
  <c r="AV2" i="6"/>
  <c r="AV416" i="6" s="1"/>
  <c r="R416" i="6"/>
  <c r="K421" i="6"/>
  <c r="Q7" i="10" s="1"/>
  <c r="Q4" i="10" s="1"/>
  <c r="AP421" i="6"/>
  <c r="L421" i="6"/>
  <c r="R7" i="10" s="1"/>
  <c r="R4" i="10" s="1"/>
  <c r="L3" i="6"/>
  <c r="O3" i="6"/>
  <c r="M3" i="6"/>
  <c r="N3" i="6"/>
  <c r="J3" i="6"/>
  <c r="J421" i="6"/>
  <c r="P7" i="10" s="1"/>
  <c r="P4" i="10" s="1"/>
  <c r="I3" i="6"/>
  <c r="I2" i="6" s="1"/>
  <c r="I421" i="6"/>
  <c r="O7" i="10" s="1"/>
  <c r="O4" i="10" s="1"/>
  <c r="N421" i="6"/>
  <c r="U422" i="6"/>
  <c r="T8" i="10" s="1"/>
  <c r="T7" i="10" s="1"/>
  <c r="T4" i="10" s="1"/>
  <c r="Q2" i="6" l="1"/>
  <c r="AU3" i="6"/>
  <c r="AU417" i="6" s="1"/>
  <c r="Q417" i="6"/>
  <c r="J2" i="6"/>
  <c r="AN2" i="6" s="1"/>
  <c r="AN3" i="6"/>
  <c r="K2" i="6"/>
  <c r="AO2" i="6" s="1"/>
  <c r="AO416" i="6" s="1"/>
  <c r="AO3" i="6"/>
  <c r="O2" i="6"/>
  <c r="AS2" i="6" s="1"/>
  <c r="AS416" i="6" s="1"/>
  <c r="AS3" i="6"/>
  <c r="AS417" i="6" s="1"/>
  <c r="N2" i="6"/>
  <c r="AR2" i="6" s="1"/>
  <c r="AR3" i="6"/>
  <c r="L2" i="6"/>
  <c r="AP2" i="6" s="1"/>
  <c r="AP416" i="6" s="1"/>
  <c r="AP3" i="6"/>
  <c r="AP417" i="6" s="1"/>
  <c r="M2" i="6"/>
  <c r="AQ2" i="6" s="1"/>
  <c r="AQ3" i="6"/>
  <c r="P2" i="6"/>
  <c r="AT3" i="6"/>
  <c r="AT417" i="6" s="1"/>
  <c r="P417" i="6"/>
  <c r="AS421" i="6"/>
  <c r="M417" i="6"/>
  <c r="L417" i="6"/>
  <c r="O417" i="6"/>
  <c r="AQ421" i="6"/>
  <c r="AR421" i="6"/>
  <c r="AN421" i="6"/>
  <c r="I417" i="6"/>
  <c r="J417" i="6"/>
  <c r="U421" i="6"/>
  <c r="H7" i="11" s="1"/>
  <c r="N417" i="6"/>
  <c r="J416" i="6" l="1"/>
  <c r="AT2" i="6"/>
  <c r="AT416" i="6" s="1"/>
  <c r="P416" i="6"/>
  <c r="AU2" i="6"/>
  <c r="AU416" i="6" s="1"/>
  <c r="Q416" i="6"/>
  <c r="AO417" i="6"/>
  <c r="AN416" i="6"/>
  <c r="AN417" i="6"/>
  <c r="AR416" i="6"/>
  <c r="AR417" i="6"/>
  <c r="AQ416" i="6"/>
  <c r="AQ417" i="6"/>
  <c r="N416" i="6"/>
  <c r="I416" i="6"/>
  <c r="U417" i="6"/>
  <c r="H5" i="11" s="1"/>
  <c r="K416" i="6"/>
  <c r="M416" i="6"/>
  <c r="L416" i="6"/>
  <c r="O416" i="6"/>
  <c r="G162" i="5"/>
  <c r="A26" i="10"/>
  <c r="H141" i="5"/>
  <c r="T141" i="5" s="1"/>
  <c r="AW141" i="5" s="1"/>
  <c r="G141" i="5"/>
  <c r="H135" i="5"/>
  <c r="T135" i="5" s="1"/>
  <c r="AW135" i="5" s="1"/>
  <c r="G135" i="5"/>
  <c r="G134" i="5" s="1"/>
  <c r="G133" i="5" s="1"/>
  <c r="G126" i="5" s="1"/>
  <c r="G110" i="5"/>
  <c r="H102" i="5"/>
  <c r="T102" i="5" s="1"/>
  <c r="AW102" i="5" s="1"/>
  <c r="G102" i="5"/>
  <c r="H92" i="5"/>
  <c r="T92" i="5" s="1"/>
  <c r="AW92" i="5" s="1"/>
  <c r="G92" i="5"/>
  <c r="G91" i="5" s="1"/>
  <c r="H85" i="5"/>
  <c r="T85" i="5" s="1"/>
  <c r="AW85" i="5" s="1"/>
  <c r="G85" i="5"/>
  <c r="H79" i="5"/>
  <c r="T79" i="5" s="1"/>
  <c r="AW79" i="5" s="1"/>
  <c r="G79" i="5"/>
  <c r="G78" i="5" s="1"/>
  <c r="G48" i="5"/>
  <c r="G42" i="5" s="1"/>
  <c r="H42" i="5"/>
  <c r="T42" i="5" s="1"/>
  <c r="AW42" i="5" s="1"/>
  <c r="H36" i="5"/>
  <c r="T36" i="5" s="1"/>
  <c r="AW36" i="5" s="1"/>
  <c r="G36" i="5"/>
  <c r="AM92" i="5" l="1"/>
  <c r="U92" i="5"/>
  <c r="AM36" i="5"/>
  <c r="U36" i="5"/>
  <c r="AM102" i="5"/>
  <c r="U102" i="5"/>
  <c r="AM42" i="5"/>
  <c r="U42" i="5"/>
  <c r="AM79" i="5"/>
  <c r="U79" i="5"/>
  <c r="AM85" i="5"/>
  <c r="U85" i="5"/>
  <c r="AM141" i="5"/>
  <c r="U141" i="5"/>
  <c r="AM135" i="5"/>
  <c r="U135" i="5"/>
  <c r="G191" i="5"/>
  <c r="M105" i="5"/>
  <c r="AR105" i="5" s="1"/>
  <c r="Q105" i="5"/>
  <c r="AV105" i="5" s="1"/>
  <c r="H105" i="5"/>
  <c r="O105" i="5"/>
  <c r="AT105" i="5" s="1"/>
  <c r="P105" i="5"/>
  <c r="AU105" i="5" s="1"/>
  <c r="N105" i="5"/>
  <c r="AS105" i="5" s="1"/>
  <c r="S190" i="5"/>
  <c r="H191" i="5"/>
  <c r="Q190" i="5"/>
  <c r="R190" i="5"/>
  <c r="AO191" i="5"/>
  <c r="J191" i="5"/>
  <c r="AP191" i="5"/>
  <c r="K191" i="5"/>
  <c r="AQ191" i="5"/>
  <c r="L191" i="5"/>
  <c r="U416" i="6"/>
  <c r="H4" i="11" s="1"/>
  <c r="AM191" i="5"/>
  <c r="H91" i="5"/>
  <c r="T91" i="5" s="1"/>
  <c r="AW91" i="5" s="1"/>
  <c r="H134" i="5"/>
  <c r="T134" i="5" s="1"/>
  <c r="AW134" i="5" s="1"/>
  <c r="H78" i="5"/>
  <c r="T78" i="5" s="1"/>
  <c r="AW78" i="5" s="1"/>
  <c r="P190" i="5"/>
  <c r="G125" i="5"/>
  <c r="G124" i="5" s="1"/>
  <c r="H31" i="5"/>
  <c r="G108" i="5"/>
  <c r="G105" i="5" s="1"/>
  <c r="O24" i="5"/>
  <c r="R24" i="5"/>
  <c r="G84" i="5"/>
  <c r="N24" i="5"/>
  <c r="G31" i="5"/>
  <c r="F138" i="4"/>
  <c r="K138" i="4" s="1"/>
  <c r="F137" i="4"/>
  <c r="K137" i="4" s="1"/>
  <c r="F136" i="4"/>
  <c r="K136" i="4" s="1"/>
  <c r="J176" i="4"/>
  <c r="F175" i="4"/>
  <c r="F174" i="4"/>
  <c r="K174" i="4" s="1"/>
  <c r="F173" i="4"/>
  <c r="K173" i="4" s="1"/>
  <c r="F172" i="4"/>
  <c r="K172" i="4" s="1"/>
  <c r="F171" i="4"/>
  <c r="K171" i="4" s="1"/>
  <c r="F170" i="4"/>
  <c r="K170" i="4" s="1"/>
  <c r="F169" i="4"/>
  <c r="K169" i="4" s="1"/>
  <c r="F168" i="4"/>
  <c r="F167" i="4"/>
  <c r="K167" i="4" s="1"/>
  <c r="F166" i="4"/>
  <c r="K166" i="4" s="1"/>
  <c r="F165" i="4"/>
  <c r="K165" i="4" s="1"/>
  <c r="F164" i="4"/>
  <c r="K164" i="4" s="1"/>
  <c r="F163" i="4"/>
  <c r="Z162" i="4"/>
  <c r="Y162" i="4"/>
  <c r="F158" i="4"/>
  <c r="F144" i="4"/>
  <c r="K144" i="4" s="1"/>
  <c r="G142" i="4"/>
  <c r="G141" i="4" s="1"/>
  <c r="E142" i="4"/>
  <c r="E141" i="4" s="1"/>
  <c r="F140" i="4"/>
  <c r="K140" i="4" s="1"/>
  <c r="G139" i="4"/>
  <c r="E139" i="4"/>
  <c r="D139" i="4"/>
  <c r="Z139" i="4" s="1"/>
  <c r="C139" i="4"/>
  <c r="Y139" i="4" s="1"/>
  <c r="J135" i="4"/>
  <c r="J134" i="4" s="1"/>
  <c r="J133" i="4" s="1"/>
  <c r="G135" i="4"/>
  <c r="G134" i="4" s="1"/>
  <c r="G133" i="4" s="1"/>
  <c r="G126" i="4" s="1"/>
  <c r="G125" i="4" s="1"/>
  <c r="E135" i="4"/>
  <c r="E134" i="4" s="1"/>
  <c r="E133" i="4" s="1"/>
  <c r="E126" i="4" s="1"/>
  <c r="E125" i="4" s="1"/>
  <c r="D135" i="4"/>
  <c r="Z135" i="4" s="1"/>
  <c r="C135" i="4"/>
  <c r="Y135" i="4" s="1"/>
  <c r="F132" i="4"/>
  <c r="K132" i="4" s="1"/>
  <c r="F131" i="4"/>
  <c r="K131" i="4" s="1"/>
  <c r="F130" i="4"/>
  <c r="F129" i="4"/>
  <c r="K129" i="4" s="1"/>
  <c r="F128" i="4"/>
  <c r="K128" i="4" s="1"/>
  <c r="F127" i="4"/>
  <c r="F123" i="4"/>
  <c r="K123" i="4" s="1"/>
  <c r="F122" i="4"/>
  <c r="K122" i="4" s="1"/>
  <c r="F121" i="4"/>
  <c r="K121" i="4" s="1"/>
  <c r="F120" i="4"/>
  <c r="K120" i="4" s="1"/>
  <c r="F119" i="4"/>
  <c r="K119" i="4" s="1"/>
  <c r="F118" i="4"/>
  <c r="K118" i="4" s="1"/>
  <c r="F117" i="4"/>
  <c r="F116" i="4"/>
  <c r="K116" i="4" s="1"/>
  <c r="F115" i="4"/>
  <c r="K115" i="4" s="1"/>
  <c r="F114" i="4"/>
  <c r="K114" i="4" s="1"/>
  <c r="F113" i="4"/>
  <c r="K113" i="4" s="1"/>
  <c r="F112" i="4"/>
  <c r="K112" i="4" s="1"/>
  <c r="F111" i="4"/>
  <c r="G110" i="4"/>
  <c r="G108" i="4" s="1"/>
  <c r="G107" i="4" s="1"/>
  <c r="G105" i="4" s="1"/>
  <c r="E110" i="4"/>
  <c r="E108" i="4" s="1"/>
  <c r="E107" i="4" s="1"/>
  <c r="E105" i="4" s="1"/>
  <c r="D110" i="4"/>
  <c r="Z110" i="4" s="1"/>
  <c r="C110" i="4"/>
  <c r="Y110" i="4" s="1"/>
  <c r="F109" i="4"/>
  <c r="K109" i="4" s="1"/>
  <c r="F104" i="4"/>
  <c r="K104" i="4" s="1"/>
  <c r="G103" i="4"/>
  <c r="E103" i="4"/>
  <c r="D103" i="4"/>
  <c r="Z103" i="4" s="1"/>
  <c r="C103" i="4"/>
  <c r="Y103" i="4" s="1"/>
  <c r="F100" i="4"/>
  <c r="F99" i="4"/>
  <c r="K99" i="4" s="1"/>
  <c r="F98" i="4"/>
  <c r="K98" i="4" s="1"/>
  <c r="F97" i="4"/>
  <c r="K97" i="4" s="1"/>
  <c r="F96" i="4"/>
  <c r="K96" i="4" s="1"/>
  <c r="F95" i="4"/>
  <c r="F94" i="4"/>
  <c r="G93" i="4"/>
  <c r="G92" i="4" s="1"/>
  <c r="E93" i="4"/>
  <c r="E92" i="4" s="1"/>
  <c r="D93" i="4"/>
  <c r="Z93" i="4" s="1"/>
  <c r="C93" i="4"/>
  <c r="Y93" i="4" s="1"/>
  <c r="F91" i="4"/>
  <c r="F90" i="4"/>
  <c r="F89" i="4"/>
  <c r="K89" i="4" s="1"/>
  <c r="F88" i="4"/>
  <c r="F87" i="4"/>
  <c r="K87" i="4" s="1"/>
  <c r="G86" i="4"/>
  <c r="E86" i="4"/>
  <c r="D86" i="4"/>
  <c r="Z86" i="4" s="1"/>
  <c r="C86" i="4"/>
  <c r="Y86" i="4" s="1"/>
  <c r="G82" i="4"/>
  <c r="G81" i="4" s="1"/>
  <c r="F83" i="4"/>
  <c r="K83" i="4" s="1"/>
  <c r="E82" i="4"/>
  <c r="E81" i="4" s="1"/>
  <c r="D82" i="4"/>
  <c r="C82" i="4"/>
  <c r="Y82" i="4" s="1"/>
  <c r="F80" i="4"/>
  <c r="K80" i="4" s="1"/>
  <c r="F79" i="4"/>
  <c r="K79" i="4" s="1"/>
  <c r="F78" i="4"/>
  <c r="K78" i="4" s="1"/>
  <c r="F77" i="4"/>
  <c r="F76" i="4"/>
  <c r="K76" i="4" s="1"/>
  <c r="F75" i="4"/>
  <c r="F74" i="4"/>
  <c r="K74" i="4" s="1"/>
  <c r="F73" i="4"/>
  <c r="K73" i="4" s="1"/>
  <c r="F72" i="4"/>
  <c r="K72" i="4" s="1"/>
  <c r="F71" i="4"/>
  <c r="K71" i="4" s="1"/>
  <c r="F70" i="4"/>
  <c r="F69" i="4"/>
  <c r="F68" i="4"/>
  <c r="F67" i="4"/>
  <c r="F66" i="4"/>
  <c r="K66" i="4" s="1"/>
  <c r="F65" i="4"/>
  <c r="K65" i="4" s="1"/>
  <c r="F64" i="4"/>
  <c r="K64" i="4" s="1"/>
  <c r="F63" i="4"/>
  <c r="K63" i="4" s="1"/>
  <c r="F62" i="4"/>
  <c r="K62" i="4" s="1"/>
  <c r="F61" i="4"/>
  <c r="K61" i="4" s="1"/>
  <c r="F60" i="4"/>
  <c r="F59" i="4"/>
  <c r="F58" i="4"/>
  <c r="K58" i="4" s="1"/>
  <c r="F57" i="4"/>
  <c r="K57" i="4" s="1"/>
  <c r="F56" i="4"/>
  <c r="K56" i="4" s="1"/>
  <c r="F55" i="4"/>
  <c r="K55" i="4" s="1"/>
  <c r="F54" i="4"/>
  <c r="K54" i="4" s="1"/>
  <c r="F53" i="4"/>
  <c r="K53" i="4" s="1"/>
  <c r="F52" i="4"/>
  <c r="F51" i="4"/>
  <c r="F50" i="4"/>
  <c r="K50" i="4" s="1"/>
  <c r="F49" i="4"/>
  <c r="K49" i="4" s="1"/>
  <c r="F48" i="4"/>
  <c r="K48" i="4" s="1"/>
  <c r="F47" i="4"/>
  <c r="K47" i="4" s="1"/>
  <c r="F46" i="4"/>
  <c r="K46" i="4" s="1"/>
  <c r="G45" i="4"/>
  <c r="E45" i="4"/>
  <c r="D45" i="4"/>
  <c r="Z45" i="4" s="1"/>
  <c r="C45" i="4"/>
  <c r="Y45" i="4" s="1"/>
  <c r="F44" i="4"/>
  <c r="K44" i="4" s="1"/>
  <c r="F43" i="4"/>
  <c r="K43" i="4" s="1"/>
  <c r="F42" i="4"/>
  <c r="K42" i="4" s="1"/>
  <c r="F41" i="4"/>
  <c r="K41" i="4" s="1"/>
  <c r="F40" i="4"/>
  <c r="K40" i="4" s="1"/>
  <c r="E39" i="4"/>
  <c r="D39" i="4"/>
  <c r="Z39" i="4" s="1"/>
  <c r="C39" i="4"/>
  <c r="Y39" i="4" s="1"/>
  <c r="F38" i="4"/>
  <c r="K38" i="4" s="1"/>
  <c r="F37" i="4"/>
  <c r="K37" i="4" s="1"/>
  <c r="F36" i="4"/>
  <c r="K36" i="4" s="1"/>
  <c r="F35" i="4"/>
  <c r="K35" i="4" s="1"/>
  <c r="E34" i="4"/>
  <c r="D34" i="4"/>
  <c r="Z34" i="4" s="1"/>
  <c r="C34" i="4"/>
  <c r="Y34" i="4" s="1"/>
  <c r="F33" i="4"/>
  <c r="K33" i="4" s="1"/>
  <c r="F32" i="4"/>
  <c r="K32" i="4" s="1"/>
  <c r="F31" i="4"/>
  <c r="K31" i="4" s="1"/>
  <c r="F30" i="4"/>
  <c r="K30" i="4" s="1"/>
  <c r="F29" i="4"/>
  <c r="K29" i="4" s="1"/>
  <c r="E28" i="4"/>
  <c r="D28" i="4"/>
  <c r="Z28" i="4" s="1"/>
  <c r="C28" i="4"/>
  <c r="Y28" i="4" s="1"/>
  <c r="F26" i="4"/>
  <c r="K26" i="4" s="1"/>
  <c r="F25" i="4"/>
  <c r="K25" i="4" s="1"/>
  <c r="F24" i="4"/>
  <c r="K24" i="4" s="1"/>
  <c r="F23" i="4"/>
  <c r="K23" i="4" s="1"/>
  <c r="F22" i="4"/>
  <c r="K22" i="4" s="1"/>
  <c r="F21" i="4"/>
  <c r="K21" i="4" s="1"/>
  <c r="F20" i="4"/>
  <c r="K20" i="4" s="1"/>
  <c r="F19" i="4"/>
  <c r="K19" i="4" s="1"/>
  <c r="F18" i="4"/>
  <c r="K18" i="4" s="1"/>
  <c r="F17" i="4"/>
  <c r="K17" i="4" s="1"/>
  <c r="F16" i="4"/>
  <c r="K16" i="4" s="1"/>
  <c r="F15" i="4"/>
  <c r="C14" i="4"/>
  <c r="R9" i="5" l="1"/>
  <c r="U31" i="5"/>
  <c r="T31" i="5"/>
  <c r="AW31" i="5" s="1"/>
  <c r="AM78" i="5"/>
  <c r="U78" i="5"/>
  <c r="AM91" i="5"/>
  <c r="U91" i="5"/>
  <c r="AM134" i="5"/>
  <c r="U134" i="5"/>
  <c r="AM105" i="5"/>
  <c r="AS24" i="5"/>
  <c r="N9" i="5"/>
  <c r="N8" i="5" s="1"/>
  <c r="N7" i="5" s="1"/>
  <c r="N6" i="5" s="1"/>
  <c r="AT24" i="5"/>
  <c r="O9" i="5"/>
  <c r="O8" i="5" s="1"/>
  <c r="O7" i="5" s="1"/>
  <c r="O6" i="5" s="1"/>
  <c r="H24" i="5"/>
  <c r="AM31" i="5"/>
  <c r="U191" i="5"/>
  <c r="J105" i="5"/>
  <c r="AO105" i="5" s="1"/>
  <c r="I105" i="5"/>
  <c r="AN105" i="5" s="1"/>
  <c r="L105" i="5"/>
  <c r="S105" i="5"/>
  <c r="S81" i="5" s="1"/>
  <c r="K105" i="5"/>
  <c r="AP105" i="5" s="1"/>
  <c r="R105" i="5"/>
  <c r="K24" i="5"/>
  <c r="L24" i="5"/>
  <c r="M24" i="5"/>
  <c r="J24" i="5"/>
  <c r="I24" i="5"/>
  <c r="Q24" i="5"/>
  <c r="Q9" i="5" s="1"/>
  <c r="Q8" i="5" s="1"/>
  <c r="Q7" i="5" s="1"/>
  <c r="Q6" i="5" s="1"/>
  <c r="S24" i="5"/>
  <c r="S9" i="5" s="1"/>
  <c r="S8" i="5" s="1"/>
  <c r="S7" i="5" s="1"/>
  <c r="S6" i="5" s="1"/>
  <c r="P24" i="5"/>
  <c r="P9" i="5" s="1"/>
  <c r="P8" i="5" s="1"/>
  <c r="P7" i="5" s="1"/>
  <c r="P6" i="5" s="1"/>
  <c r="N81" i="5"/>
  <c r="AS81" i="5" s="1"/>
  <c r="P81" i="5"/>
  <c r="AU81" i="5" s="1"/>
  <c r="O81" i="5"/>
  <c r="AT81" i="5" s="1"/>
  <c r="Q81" i="5"/>
  <c r="AV81" i="5" s="1"/>
  <c r="M81" i="5"/>
  <c r="AR81" i="5" s="1"/>
  <c r="H84" i="5"/>
  <c r="T84" i="5" s="1"/>
  <c r="AW84" i="5" s="1"/>
  <c r="AN191" i="5"/>
  <c r="I191" i="5"/>
  <c r="G190" i="5"/>
  <c r="B7" i="10"/>
  <c r="J23" i="10"/>
  <c r="K127" i="4"/>
  <c r="L130" i="4"/>
  <c r="H133" i="5"/>
  <c r="J52" i="4"/>
  <c r="K52" i="4"/>
  <c r="J95" i="4"/>
  <c r="K95" i="4"/>
  <c r="K158" i="4"/>
  <c r="F157" i="4"/>
  <c r="J69" i="4"/>
  <c r="K69" i="4"/>
  <c r="J77" i="4"/>
  <c r="K77" i="4"/>
  <c r="J90" i="4"/>
  <c r="K90" i="4"/>
  <c r="J67" i="4"/>
  <c r="K67" i="4"/>
  <c r="J68" i="4"/>
  <c r="K68" i="4"/>
  <c r="J70" i="4"/>
  <c r="K70" i="4"/>
  <c r="J91" i="4"/>
  <c r="K91" i="4"/>
  <c r="J59" i="4"/>
  <c r="K59" i="4"/>
  <c r="J88" i="4"/>
  <c r="K88" i="4"/>
  <c r="J130" i="4"/>
  <c r="K130" i="4"/>
  <c r="F14" i="4"/>
  <c r="K163" i="4"/>
  <c r="F162" i="4"/>
  <c r="K162" i="4" s="1"/>
  <c r="J75" i="4"/>
  <c r="K75" i="4"/>
  <c r="J94" i="4"/>
  <c r="K94" i="4"/>
  <c r="J111" i="4"/>
  <c r="K111" i="4"/>
  <c r="J168" i="4"/>
  <c r="K168" i="4"/>
  <c r="J51" i="4"/>
  <c r="K51" i="4"/>
  <c r="J100" i="4"/>
  <c r="K100" i="4"/>
  <c r="J60" i="4"/>
  <c r="K60" i="4"/>
  <c r="J117" i="4"/>
  <c r="K117" i="4"/>
  <c r="K175" i="4"/>
  <c r="F143" i="4"/>
  <c r="Y161" i="4"/>
  <c r="D142" i="4"/>
  <c r="Z142" i="4" s="1"/>
  <c r="Z161" i="4"/>
  <c r="C134" i="4"/>
  <c r="Y134" i="4" s="1"/>
  <c r="D134" i="4"/>
  <c r="Z134" i="4" s="1"/>
  <c r="C13" i="4"/>
  <c r="Y13" i="4" s="1"/>
  <c r="Y14" i="4"/>
  <c r="D92" i="4"/>
  <c r="Z92" i="4" s="1"/>
  <c r="C108" i="4"/>
  <c r="Y108" i="4" s="1"/>
  <c r="Z13" i="4"/>
  <c r="Z14" i="4"/>
  <c r="D108" i="4"/>
  <c r="Z108" i="4" s="1"/>
  <c r="C142" i="4"/>
  <c r="Y142" i="4" s="1"/>
  <c r="D81" i="4"/>
  <c r="Z81" i="4" s="1"/>
  <c r="Z82" i="4"/>
  <c r="C92" i="4"/>
  <c r="Y92" i="4" s="1"/>
  <c r="J127" i="4"/>
  <c r="AM11" i="5"/>
  <c r="G25" i="5"/>
  <c r="G81" i="5"/>
  <c r="J23" i="4"/>
  <c r="J25" i="4"/>
  <c r="J44" i="4"/>
  <c r="J83" i="4"/>
  <c r="J82" i="4" s="1"/>
  <c r="J81" i="4" s="1"/>
  <c r="C81" i="4"/>
  <c r="Y81" i="4" s="1"/>
  <c r="J40" i="4"/>
  <c r="E124" i="4"/>
  <c r="J37" i="4"/>
  <c r="J43" i="4"/>
  <c r="J112" i="4"/>
  <c r="J163" i="4"/>
  <c r="J15" i="4"/>
  <c r="J41" i="4"/>
  <c r="C27" i="4"/>
  <c r="Y27" i="4" s="1"/>
  <c r="F28" i="4"/>
  <c r="K28" i="4" s="1"/>
  <c r="D27" i="4"/>
  <c r="D12" i="4" s="1"/>
  <c r="D11" i="4" s="1"/>
  <c r="D10" i="4" s="1"/>
  <c r="J61" i="4"/>
  <c r="J71" i="4"/>
  <c r="J120" i="4"/>
  <c r="J36" i="4"/>
  <c r="E27" i="4"/>
  <c r="E12" i="4" s="1"/>
  <c r="E11" i="4" s="1"/>
  <c r="E10" i="4" s="1"/>
  <c r="E9" i="4" s="1"/>
  <c r="F39" i="4"/>
  <c r="K39" i="4" s="1"/>
  <c r="J33" i="4"/>
  <c r="F110" i="4"/>
  <c r="F139" i="4"/>
  <c r="K139" i="4" s="1"/>
  <c r="J35" i="4"/>
  <c r="J62" i="4"/>
  <c r="E85" i="4"/>
  <c r="E84" i="4" s="1"/>
  <c r="J78" i="4"/>
  <c r="J17" i="4"/>
  <c r="J38" i="4"/>
  <c r="J42" i="4"/>
  <c r="K15" i="4"/>
  <c r="J18" i="4"/>
  <c r="J20" i="4"/>
  <c r="J26" i="4"/>
  <c r="J46" i="4"/>
  <c r="J55" i="4"/>
  <c r="J97" i="4"/>
  <c r="F103" i="4"/>
  <c r="K103" i="4" s="1"/>
  <c r="J170" i="4"/>
  <c r="J54" i="4"/>
  <c r="J63" i="4"/>
  <c r="J24" i="4"/>
  <c r="J32" i="4"/>
  <c r="J47" i="4"/>
  <c r="G85" i="4"/>
  <c r="G84" i="4" s="1"/>
  <c r="J140" i="4"/>
  <c r="J139" i="4" s="1"/>
  <c r="J171" i="4"/>
  <c r="J16" i="4"/>
  <c r="J53" i="4"/>
  <c r="F93" i="4"/>
  <c r="J19" i="4"/>
  <c r="J22" i="4"/>
  <c r="J30" i="4"/>
  <c r="F135" i="4"/>
  <c r="G124" i="4"/>
  <c r="J21" i="4"/>
  <c r="J29" i="4"/>
  <c r="F45" i="4"/>
  <c r="K45" i="4" s="1"/>
  <c r="J49" i="4"/>
  <c r="J57" i="4"/>
  <c r="J65" i="4"/>
  <c r="J73" i="4"/>
  <c r="J98" i="4"/>
  <c r="J109" i="4"/>
  <c r="J115" i="4"/>
  <c r="J123" i="4"/>
  <c r="J166" i="4"/>
  <c r="J174" i="4"/>
  <c r="F34" i="4"/>
  <c r="K34" i="4" s="1"/>
  <c r="J76" i="4"/>
  <c r="J89" i="4"/>
  <c r="J118" i="4"/>
  <c r="J128" i="4"/>
  <c r="J169" i="4"/>
  <c r="J31" i="4"/>
  <c r="J79" i="4"/>
  <c r="J96" i="4"/>
  <c r="J104" i="4"/>
  <c r="J103" i="4" s="1"/>
  <c r="J113" i="4"/>
  <c r="J121" i="4"/>
  <c r="J131" i="4"/>
  <c r="J158" i="4"/>
  <c r="J157" i="4" s="1"/>
  <c r="J164" i="4"/>
  <c r="J172" i="4"/>
  <c r="J50" i="4"/>
  <c r="J58" i="4"/>
  <c r="J66" i="4"/>
  <c r="J74" i="4"/>
  <c r="F82" i="4"/>
  <c r="K82" i="4" s="1"/>
  <c r="J87" i="4"/>
  <c r="J99" i="4"/>
  <c r="J116" i="4"/>
  <c r="J167" i="4"/>
  <c r="J175" i="4"/>
  <c r="F86" i="4"/>
  <c r="K86" i="4" s="1"/>
  <c r="J119" i="4"/>
  <c r="J129" i="4"/>
  <c r="J48" i="4"/>
  <c r="J56" i="4"/>
  <c r="J64" i="4"/>
  <c r="J72" i="4"/>
  <c r="J80" i="4"/>
  <c r="J114" i="4"/>
  <c r="J122" i="4"/>
  <c r="J132" i="4"/>
  <c r="J144" i="4"/>
  <c r="J165" i="4"/>
  <c r="J173" i="4"/>
  <c r="D8" i="11" l="1"/>
  <c r="R81" i="5"/>
  <c r="R8" i="5"/>
  <c r="T24" i="5"/>
  <c r="AW24" i="5" s="1"/>
  <c r="U133" i="5"/>
  <c r="T133" i="5"/>
  <c r="AW133" i="5" s="1"/>
  <c r="T105" i="5"/>
  <c r="AW105" i="5" s="1"/>
  <c r="S5" i="5"/>
  <c r="S4" i="5" s="1"/>
  <c r="S3" i="5" s="1"/>
  <c r="S2" i="5" s="1"/>
  <c r="P5" i="5"/>
  <c r="P4" i="5" s="1"/>
  <c r="P3" i="5" s="1"/>
  <c r="P2" i="5" s="1"/>
  <c r="O5" i="5"/>
  <c r="O4" i="5" s="1"/>
  <c r="O3" i="5" s="1"/>
  <c r="O2" i="5" s="1"/>
  <c r="N5" i="5"/>
  <c r="AM84" i="5"/>
  <c r="U84" i="5"/>
  <c r="Q5" i="5"/>
  <c r="Q4" i="5" s="1"/>
  <c r="Q3" i="5" s="1"/>
  <c r="Q2" i="5" s="1"/>
  <c r="U105" i="5"/>
  <c r="AQ24" i="5"/>
  <c r="L9" i="5"/>
  <c r="L8" i="5" s="1"/>
  <c r="L7" i="5" s="1"/>
  <c r="L6" i="5" s="1"/>
  <c r="AP24" i="5"/>
  <c r="K9" i="5"/>
  <c r="K8" i="5" s="1"/>
  <c r="K7" i="5" s="1"/>
  <c r="K6" i="5" s="1"/>
  <c r="AM24" i="5"/>
  <c r="U24" i="5"/>
  <c r="H9" i="5"/>
  <c r="AR24" i="5"/>
  <c r="M9" i="5"/>
  <c r="M8" i="5" s="1"/>
  <c r="M7" i="5" s="1"/>
  <c r="M6" i="5" s="1"/>
  <c r="M5" i="5" s="1"/>
  <c r="M4" i="5" s="1"/>
  <c r="M3" i="5" s="1"/>
  <c r="M2" i="5" s="1"/>
  <c r="AN24" i="5"/>
  <c r="I9" i="5"/>
  <c r="I8" i="5" s="1"/>
  <c r="I7" i="5" s="1"/>
  <c r="I6" i="5" s="1"/>
  <c r="AO24" i="5"/>
  <c r="J9" i="5"/>
  <c r="J8" i="5" s="1"/>
  <c r="J7" i="5" s="1"/>
  <c r="J6" i="5" s="1"/>
  <c r="AV24" i="5"/>
  <c r="L81" i="5"/>
  <c r="AQ81" i="5" s="1"/>
  <c r="AQ105" i="5"/>
  <c r="H126" i="5"/>
  <c r="AM133" i="5"/>
  <c r="AU24" i="5"/>
  <c r="J81" i="5"/>
  <c r="AO81" i="5" s="1"/>
  <c r="I81" i="5"/>
  <c r="AN81" i="5" s="1"/>
  <c r="K81" i="5"/>
  <c r="AP81" i="5" s="1"/>
  <c r="H81" i="5"/>
  <c r="T191" i="5"/>
  <c r="AS191" i="5"/>
  <c r="D9" i="4"/>
  <c r="F134" i="4"/>
  <c r="K135" i="4"/>
  <c r="F108" i="4"/>
  <c r="K110" i="4"/>
  <c r="F161" i="4"/>
  <c r="K161" i="4" s="1"/>
  <c r="E8" i="4"/>
  <c r="E7" i="4" s="1"/>
  <c r="E6" i="4" s="1"/>
  <c r="E5" i="4" s="1"/>
  <c r="J14" i="4"/>
  <c r="J13" i="4" s="1"/>
  <c r="F13" i="4"/>
  <c r="K14" i="4"/>
  <c r="J162" i="4"/>
  <c r="J161" i="4" s="1"/>
  <c r="J156" i="4" s="1"/>
  <c r="F92" i="4"/>
  <c r="K92" i="4" s="1"/>
  <c r="K93" i="4"/>
  <c r="F142" i="4"/>
  <c r="K143" i="4"/>
  <c r="K157" i="4"/>
  <c r="J143" i="4"/>
  <c r="J142" i="4" s="1"/>
  <c r="J141" i="4" s="1"/>
  <c r="C85" i="4"/>
  <c r="Y85" i="4" s="1"/>
  <c r="D85" i="4"/>
  <c r="D133" i="4"/>
  <c r="Z133" i="4" s="1"/>
  <c r="Z27" i="4"/>
  <c r="C141" i="4"/>
  <c r="Y141" i="4" s="1"/>
  <c r="D107" i="4"/>
  <c r="Z107" i="4" s="1"/>
  <c r="D141" i="4"/>
  <c r="Z141" i="4" s="1"/>
  <c r="C107" i="4"/>
  <c r="Y107" i="4" s="1"/>
  <c r="C133" i="4"/>
  <c r="Y133" i="4" s="1"/>
  <c r="G24" i="5"/>
  <c r="G9" i="5" s="1"/>
  <c r="G8" i="5" s="1"/>
  <c r="G7" i="5" s="1"/>
  <c r="G6" i="5" s="1"/>
  <c r="G5" i="5" s="1"/>
  <c r="G4" i="5" s="1"/>
  <c r="G3" i="5" s="1"/>
  <c r="G2" i="5" s="1"/>
  <c r="J34" i="4"/>
  <c r="J39" i="4"/>
  <c r="C12" i="4"/>
  <c r="Y12" i="4" s="1"/>
  <c r="J86" i="4"/>
  <c r="J110" i="4"/>
  <c r="J108" i="4" s="1"/>
  <c r="J107" i="4" s="1"/>
  <c r="J105" i="4" s="1"/>
  <c r="F27" i="4"/>
  <c r="K27" i="4" s="1"/>
  <c r="J45" i="4"/>
  <c r="G28" i="4"/>
  <c r="G39" i="4"/>
  <c r="J126" i="4"/>
  <c r="J125" i="4" s="1"/>
  <c r="J93" i="4"/>
  <c r="J92" i="4" s="1"/>
  <c r="G34" i="4"/>
  <c r="F81" i="4"/>
  <c r="K81" i="4" s="1"/>
  <c r="J28" i="4"/>
  <c r="C8" i="11" l="1"/>
  <c r="C10" i="11"/>
  <c r="T9" i="5"/>
  <c r="AW9" i="5" s="1"/>
  <c r="R7" i="5"/>
  <c r="T81" i="5"/>
  <c r="AW81" i="5" s="1"/>
  <c r="L5" i="5"/>
  <c r="L4" i="5" s="1"/>
  <c r="L3" i="5" s="1"/>
  <c r="L2" i="5" s="1"/>
  <c r="K5" i="5"/>
  <c r="K4" i="5" s="1"/>
  <c r="K3" i="5" s="1"/>
  <c r="K2" i="5" s="1"/>
  <c r="AM81" i="5"/>
  <c r="U81" i="5"/>
  <c r="AM126" i="5"/>
  <c r="U9" i="5"/>
  <c r="J5" i="5"/>
  <c r="J4" i="5" s="1"/>
  <c r="J3" i="5" s="1"/>
  <c r="J2" i="5" s="1"/>
  <c r="I5" i="5"/>
  <c r="I4" i="5" s="1"/>
  <c r="I3" i="5" s="1"/>
  <c r="I2" i="5" s="1"/>
  <c r="H8" i="5"/>
  <c r="AV10" i="5"/>
  <c r="AU10" i="5"/>
  <c r="AT10" i="5"/>
  <c r="AS10" i="5"/>
  <c r="S189" i="5"/>
  <c r="H125" i="5"/>
  <c r="F156" i="4"/>
  <c r="K156" i="4" s="1"/>
  <c r="F85" i="4"/>
  <c r="F84" i="4" s="1"/>
  <c r="K84" i="4" s="1"/>
  <c r="F107" i="4"/>
  <c r="K108" i="4"/>
  <c r="F12" i="4"/>
  <c r="K13" i="4"/>
  <c r="F133" i="4"/>
  <c r="K134" i="4"/>
  <c r="F141" i="4"/>
  <c r="K142" i="4"/>
  <c r="Y157" i="4"/>
  <c r="Y156" i="4"/>
  <c r="Z157" i="4"/>
  <c r="J124" i="4"/>
  <c r="C84" i="4"/>
  <c r="Y84" i="4" s="1"/>
  <c r="D84" i="4"/>
  <c r="Z85" i="4"/>
  <c r="D126" i="4"/>
  <c r="Z126" i="4" s="1"/>
  <c r="D105" i="4"/>
  <c r="Z105" i="4" s="1"/>
  <c r="Z12" i="4"/>
  <c r="C126" i="4"/>
  <c r="Y126" i="4" s="1"/>
  <c r="C105" i="4"/>
  <c r="Y105" i="4" s="1"/>
  <c r="AM10" i="5"/>
  <c r="J27" i="4"/>
  <c r="J12" i="4" s="1"/>
  <c r="J11" i="4" s="1"/>
  <c r="J10" i="4" s="1"/>
  <c r="J9" i="4" s="1"/>
  <c r="J85" i="4"/>
  <c r="J84" i="4" s="1"/>
  <c r="C11" i="4"/>
  <c r="Y11" i="4" s="1"/>
  <c r="G27" i="4"/>
  <c r="G12" i="4" s="1"/>
  <c r="G11" i="4" s="1"/>
  <c r="G10" i="4" s="1"/>
  <c r="G9" i="4" s="1"/>
  <c r="G8" i="4" s="1"/>
  <c r="G7" i="4" s="1"/>
  <c r="G6" i="4" s="1"/>
  <c r="G5" i="4" s="1"/>
  <c r="T8" i="5" l="1"/>
  <c r="AW8" i="5" s="1"/>
  <c r="R6" i="5"/>
  <c r="U8" i="5"/>
  <c r="H124" i="5"/>
  <c r="H7" i="5"/>
  <c r="AV9" i="5"/>
  <c r="AP10" i="5"/>
  <c r="AS9" i="5"/>
  <c r="AO10" i="5"/>
  <c r="AQ10" i="5"/>
  <c r="AT9" i="5"/>
  <c r="AM125" i="5"/>
  <c r="AR10" i="5"/>
  <c r="AN10" i="5"/>
  <c r="AU9" i="5"/>
  <c r="S187" i="5"/>
  <c r="S188" i="5"/>
  <c r="AM9" i="5"/>
  <c r="K85" i="4"/>
  <c r="J8" i="4"/>
  <c r="J7" i="4" s="1"/>
  <c r="J6" i="4" s="1"/>
  <c r="J5" i="4" s="1"/>
  <c r="F126" i="4"/>
  <c r="K133" i="4"/>
  <c r="F11" i="4"/>
  <c r="K12" i="4"/>
  <c r="F105" i="4"/>
  <c r="K105" i="4" s="1"/>
  <c r="K107" i="4"/>
  <c r="Z84" i="4"/>
  <c r="D8" i="4"/>
  <c r="K141" i="4"/>
  <c r="Z156" i="4"/>
  <c r="C125" i="4"/>
  <c r="Y125" i="4" s="1"/>
  <c r="Z11" i="4"/>
  <c r="D125" i="4"/>
  <c r="Z125" i="4" s="1"/>
  <c r="C10" i="4"/>
  <c r="Y10" i="4" s="1"/>
  <c r="T7" i="5" l="1"/>
  <c r="AW7" i="5" s="1"/>
  <c r="R5" i="5"/>
  <c r="U7" i="5"/>
  <c r="AM124" i="5"/>
  <c r="H6" i="5"/>
  <c r="AV8" i="5"/>
  <c r="AR9" i="5"/>
  <c r="AO9" i="5"/>
  <c r="AN9" i="5"/>
  <c r="AS8" i="5"/>
  <c r="AQ9" i="5"/>
  <c r="AU8" i="5"/>
  <c r="AT8" i="5"/>
  <c r="AP9" i="5"/>
  <c r="O190" i="5"/>
  <c r="AP190" i="5"/>
  <c r="F7" i="10"/>
  <c r="K190" i="5"/>
  <c r="AO190" i="5"/>
  <c r="E7" i="10"/>
  <c r="J190" i="5"/>
  <c r="AR190" i="5"/>
  <c r="H7" i="10"/>
  <c r="M190" i="5"/>
  <c r="AN190" i="5"/>
  <c r="D7" i="10"/>
  <c r="I190" i="5"/>
  <c r="AQ190" i="5"/>
  <c r="G7" i="10"/>
  <c r="L190" i="5"/>
  <c r="H190" i="5"/>
  <c r="C7" i="10"/>
  <c r="AM190" i="5"/>
  <c r="AM8" i="5"/>
  <c r="F10" i="4"/>
  <c r="K11" i="4"/>
  <c r="F125" i="4"/>
  <c r="K126" i="4"/>
  <c r="Z178" i="4"/>
  <c r="D182" i="4"/>
  <c r="Z180" i="4" s="1"/>
  <c r="C124" i="4"/>
  <c r="Y124" i="4" s="1"/>
  <c r="D124" i="4"/>
  <c r="Z124" i="4" s="1"/>
  <c r="Z10" i="4"/>
  <c r="C9" i="4"/>
  <c r="Y9" i="4" s="1"/>
  <c r="T6" i="5" l="1"/>
  <c r="AW6" i="5" s="1"/>
  <c r="R4" i="5"/>
  <c r="R189" i="5"/>
  <c r="U6" i="5"/>
  <c r="H5" i="5"/>
  <c r="AV7" i="5"/>
  <c r="AS7" i="5"/>
  <c r="AT7" i="5"/>
  <c r="AN8" i="5"/>
  <c r="AP8" i="5"/>
  <c r="AU7" i="5"/>
  <c r="AO8" i="5"/>
  <c r="AQ8" i="5"/>
  <c r="AR8" i="5"/>
  <c r="AV190" i="5"/>
  <c r="K125" i="4"/>
  <c r="F124" i="4"/>
  <c r="K124" i="4" s="1"/>
  <c r="D7" i="4"/>
  <c r="D6" i="4" s="1"/>
  <c r="D5" i="4" s="1"/>
  <c r="F9" i="4"/>
  <c r="K10" i="4"/>
  <c r="Z9" i="4"/>
  <c r="C8" i="4"/>
  <c r="Y8" i="4" s="1"/>
  <c r="T5" i="5" l="1"/>
  <c r="R3" i="5"/>
  <c r="U5" i="5"/>
  <c r="H4" i="5"/>
  <c r="AV6" i="5"/>
  <c r="AP7" i="5"/>
  <c r="AQ7" i="5"/>
  <c r="AT6" i="5"/>
  <c r="AR7" i="5"/>
  <c r="AN7" i="5"/>
  <c r="AM6" i="5"/>
  <c r="AM7" i="5"/>
  <c r="AO7" i="5"/>
  <c r="AU6" i="5"/>
  <c r="AS6" i="5"/>
  <c r="F8" i="4"/>
  <c r="K9" i="4"/>
  <c r="Z8" i="4"/>
  <c r="C7" i="4"/>
  <c r="Y7" i="4" s="1"/>
  <c r="AW5" i="5" l="1"/>
  <c r="AW189" i="5" s="1"/>
  <c r="R2" i="5"/>
  <c r="R188" i="5"/>
  <c r="H3" i="5"/>
  <c r="AM5" i="5"/>
  <c r="AM189" i="5" s="1"/>
  <c r="AV5" i="5"/>
  <c r="Q189" i="5"/>
  <c r="AR6" i="5"/>
  <c r="AU5" i="5"/>
  <c r="AU189" i="5" s="1"/>
  <c r="P189" i="5"/>
  <c r="AO6" i="5"/>
  <c r="AT5" i="5"/>
  <c r="AT189" i="5" s="1"/>
  <c r="AQ6" i="5"/>
  <c r="AS5" i="5"/>
  <c r="AN6" i="5"/>
  <c r="AP6" i="5"/>
  <c r="B6" i="10"/>
  <c r="G189" i="5"/>
  <c r="C6" i="10"/>
  <c r="F7" i="4"/>
  <c r="K8" i="4"/>
  <c r="F182" i="4"/>
  <c r="Z7" i="4"/>
  <c r="C6" i="4"/>
  <c r="Y6" i="4" s="1"/>
  <c r="R187" i="5" l="1"/>
  <c r="H2" i="5"/>
  <c r="AM4" i="5"/>
  <c r="H189" i="5"/>
  <c r="AV4" i="5"/>
  <c r="AN5" i="5"/>
  <c r="AN189" i="5" s="1"/>
  <c r="AO5" i="5"/>
  <c r="AO189" i="5" s="1"/>
  <c r="AQ5" i="5"/>
  <c r="AQ189" i="5" s="1"/>
  <c r="AP5" i="5"/>
  <c r="AP189" i="5" s="1"/>
  <c r="AU4" i="5"/>
  <c r="AT4" i="5"/>
  <c r="AR5" i="5"/>
  <c r="AR189" i="5" s="1"/>
  <c r="I189" i="5"/>
  <c r="D6" i="10"/>
  <c r="F6" i="10"/>
  <c r="K189" i="5"/>
  <c r="M189" i="5"/>
  <c r="H6" i="10"/>
  <c r="G6" i="10"/>
  <c r="L189" i="5"/>
  <c r="J189" i="5"/>
  <c r="E6" i="10"/>
  <c r="N189" i="5"/>
  <c r="I6" i="10"/>
  <c r="O189" i="5"/>
  <c r="F6" i="4"/>
  <c r="K7" i="4"/>
  <c r="Z5" i="4"/>
  <c r="Z6" i="4"/>
  <c r="C5" i="4"/>
  <c r="Y5" i="4" s="1"/>
  <c r="C5" i="10" l="1"/>
  <c r="AV3" i="5"/>
  <c r="Q188" i="5"/>
  <c r="AR4" i="5"/>
  <c r="AT2" i="5"/>
  <c r="AT187" i="5" s="1"/>
  <c r="AT3" i="5"/>
  <c r="AT188" i="5" s="1"/>
  <c r="AP4" i="5"/>
  <c r="AU3" i="5"/>
  <c r="AU188" i="5" s="1"/>
  <c r="P188" i="5"/>
  <c r="AQ4" i="5"/>
  <c r="AO4" i="5"/>
  <c r="AN4" i="5"/>
  <c r="U189" i="5"/>
  <c r="AV189" i="5"/>
  <c r="AS189" i="5"/>
  <c r="G187" i="5"/>
  <c r="B5" i="10"/>
  <c r="G188" i="5"/>
  <c r="T189" i="5"/>
  <c r="C6" i="11" s="1"/>
  <c r="J6" i="10"/>
  <c r="J5" i="10" s="1"/>
  <c r="O188" i="5"/>
  <c r="F5" i="4"/>
  <c r="K5" i="4" s="1"/>
  <c r="K6" i="4"/>
  <c r="D6" i="11" l="1"/>
  <c r="C7" i="11"/>
  <c r="H188" i="5"/>
  <c r="AM3" i="5"/>
  <c r="AM188" i="5" s="1"/>
  <c r="AM2" i="5"/>
  <c r="AM187" i="5" s="1"/>
  <c r="AV2" i="5"/>
  <c r="Q187" i="5"/>
  <c r="AP2" i="5"/>
  <c r="AP3" i="5"/>
  <c r="AP188" i="5" s="1"/>
  <c r="AN2" i="5"/>
  <c r="AN3" i="5"/>
  <c r="AN188" i="5" s="1"/>
  <c r="AO2" i="5"/>
  <c r="AO3" i="5"/>
  <c r="AO188" i="5" s="1"/>
  <c r="AU2" i="5"/>
  <c r="AU187" i="5" s="1"/>
  <c r="P187" i="5"/>
  <c r="AQ2" i="5"/>
  <c r="AQ3" i="5"/>
  <c r="AQ188" i="5" s="1"/>
  <c r="AR2" i="5"/>
  <c r="AR3" i="5"/>
  <c r="AR188" i="5" s="1"/>
  <c r="J4" i="10"/>
  <c r="W4" i="10" s="1"/>
  <c r="I188" i="5"/>
  <c r="D5" i="10"/>
  <c r="F5" i="10"/>
  <c r="K188" i="5"/>
  <c r="M188" i="5"/>
  <c r="H5" i="10"/>
  <c r="L188" i="5"/>
  <c r="G5" i="10"/>
  <c r="E5" i="10"/>
  <c r="J188" i="5"/>
  <c r="Q12" i="1"/>
  <c r="Q13" i="1"/>
  <c r="Q14" i="1"/>
  <c r="Q15" i="1"/>
  <c r="Q16" i="1"/>
  <c r="Q17" i="1"/>
  <c r="Q18" i="1"/>
  <c r="Q20" i="1"/>
  <c r="Q21" i="1"/>
  <c r="Q22" i="1"/>
  <c r="Q24" i="1"/>
  <c r="Q25" i="1"/>
  <c r="Q26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8" i="1"/>
  <c r="Q69" i="1"/>
  <c r="Q70" i="1"/>
  <c r="Q71" i="1"/>
  <c r="Q72" i="1"/>
  <c r="Q73" i="1"/>
  <c r="Q74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3" i="1"/>
  <c r="Q154" i="1"/>
  <c r="Q155" i="1"/>
  <c r="Q156" i="1"/>
  <c r="Q157" i="1"/>
  <c r="Q158" i="1"/>
  <c r="Q163" i="1"/>
  <c r="Q164" i="1"/>
  <c r="Q168" i="1"/>
  <c r="Q169" i="1"/>
  <c r="Q170" i="1"/>
  <c r="Q171" i="1"/>
  <c r="Q172" i="1"/>
  <c r="Q173" i="1"/>
  <c r="Q174" i="1"/>
  <c r="Q177" i="1"/>
  <c r="Q178" i="1"/>
  <c r="Q179" i="1"/>
  <c r="Q180" i="1"/>
  <c r="Q182" i="1"/>
  <c r="Q181" i="1" s="1"/>
  <c r="Q183" i="1"/>
  <c r="Q185" i="1"/>
  <c r="Q186" i="1"/>
  <c r="Q187" i="1"/>
  <c r="Q188" i="1"/>
  <c r="Q189" i="1"/>
  <c r="Q193" i="1"/>
  <c r="Q192" i="1" s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12" i="1"/>
  <c r="Q214" i="1"/>
  <c r="Q215" i="1"/>
  <c r="Q216" i="1"/>
  <c r="Q217" i="1"/>
  <c r="Q219" i="1"/>
  <c r="Q218" i="1" s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9" i="1"/>
  <c r="Q240" i="1"/>
  <c r="Q243" i="1"/>
  <c r="Q244" i="1"/>
  <c r="Q245" i="1"/>
  <c r="Q247" i="1"/>
  <c r="Q249" i="1"/>
  <c r="Q250" i="1"/>
  <c r="Q251" i="1"/>
  <c r="Q252" i="1"/>
  <c r="Q253" i="1"/>
  <c r="Q254" i="1"/>
  <c r="Q255" i="1"/>
  <c r="Q256" i="1"/>
  <c r="Q257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4" i="1"/>
  <c r="Q385" i="1"/>
  <c r="Q386" i="1"/>
  <c r="Q387" i="1"/>
  <c r="Q388" i="1"/>
  <c r="Q389" i="1"/>
  <c r="Q390" i="1"/>
  <c r="J12" i="1"/>
  <c r="J14" i="1"/>
  <c r="J15" i="1"/>
  <c r="J16" i="1"/>
  <c r="J17" i="1"/>
  <c r="J18" i="1"/>
  <c r="J20" i="1"/>
  <c r="J21" i="1"/>
  <c r="J22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3" i="1"/>
  <c r="J154" i="1"/>
  <c r="J155" i="1"/>
  <c r="J156" i="1"/>
  <c r="J157" i="1"/>
  <c r="J158" i="1"/>
  <c r="J163" i="1"/>
  <c r="J164" i="1"/>
  <c r="J168" i="1"/>
  <c r="J169" i="1"/>
  <c r="J170" i="1"/>
  <c r="J171" i="1"/>
  <c r="J172" i="1"/>
  <c r="J173" i="1"/>
  <c r="J174" i="1"/>
  <c r="J177" i="1"/>
  <c r="J178" i="1"/>
  <c r="J179" i="1"/>
  <c r="J180" i="1"/>
  <c r="J182" i="1"/>
  <c r="J181" i="1" s="1"/>
  <c r="J183" i="1"/>
  <c r="J185" i="1"/>
  <c r="J186" i="1"/>
  <c r="J187" i="1"/>
  <c r="J188" i="1"/>
  <c r="J189" i="1"/>
  <c r="J193" i="1"/>
  <c r="J192" i="1" s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12" i="1"/>
  <c r="J214" i="1"/>
  <c r="J215" i="1"/>
  <c r="J216" i="1"/>
  <c r="J217" i="1"/>
  <c r="J219" i="1"/>
  <c r="J218" i="1" s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9" i="1"/>
  <c r="J240" i="1"/>
  <c r="J243" i="1"/>
  <c r="J244" i="1"/>
  <c r="J245" i="1"/>
  <c r="J247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P12" i="1"/>
  <c r="AV12" i="1" s="1"/>
  <c r="P13" i="1"/>
  <c r="AV13" i="1" s="1"/>
  <c r="P14" i="1"/>
  <c r="AV14" i="1" s="1"/>
  <c r="P15" i="1"/>
  <c r="AV15" i="1" s="1"/>
  <c r="P16" i="1"/>
  <c r="AV16" i="1" s="1"/>
  <c r="P17" i="1"/>
  <c r="AV17" i="1" s="1"/>
  <c r="P18" i="1"/>
  <c r="AV18" i="1" s="1"/>
  <c r="P20" i="1"/>
  <c r="AV20" i="1" s="1"/>
  <c r="P21" i="1"/>
  <c r="AV21" i="1" s="1"/>
  <c r="P22" i="1"/>
  <c r="AV22" i="1" s="1"/>
  <c r="P24" i="1"/>
  <c r="AV24" i="1" s="1"/>
  <c r="P25" i="1"/>
  <c r="AV25" i="1" s="1"/>
  <c r="P26" i="1"/>
  <c r="AV26" i="1" s="1"/>
  <c r="P28" i="1"/>
  <c r="AV28" i="1" s="1"/>
  <c r="P29" i="1"/>
  <c r="AV29" i="1" s="1"/>
  <c r="P30" i="1"/>
  <c r="AV30" i="1" s="1"/>
  <c r="P31" i="1"/>
  <c r="AV31" i="1" s="1"/>
  <c r="P32" i="1"/>
  <c r="AV32" i="1" s="1"/>
  <c r="P33" i="1"/>
  <c r="AV33" i="1" s="1"/>
  <c r="P34" i="1"/>
  <c r="P35" i="1"/>
  <c r="P36" i="1"/>
  <c r="P37" i="1"/>
  <c r="AV37" i="1" s="1"/>
  <c r="P38" i="1"/>
  <c r="AV38" i="1" s="1"/>
  <c r="P39" i="1"/>
  <c r="P40" i="1"/>
  <c r="AV40" i="1" s="1"/>
  <c r="P41" i="1"/>
  <c r="AV41" i="1" s="1"/>
  <c r="P42" i="1"/>
  <c r="AV42" i="1" s="1"/>
  <c r="P43" i="1"/>
  <c r="P44" i="1"/>
  <c r="P45" i="1"/>
  <c r="P46" i="1"/>
  <c r="P47" i="1"/>
  <c r="AU47" i="1" s="1"/>
  <c r="AV47" i="1" s="1"/>
  <c r="P48" i="1"/>
  <c r="AU48" i="1" s="1"/>
  <c r="AV48" i="1" s="1"/>
  <c r="P49" i="1"/>
  <c r="AU49" i="1" s="1"/>
  <c r="AV49" i="1" s="1"/>
  <c r="P50" i="1"/>
  <c r="AU50" i="1" s="1"/>
  <c r="AV50" i="1" s="1"/>
  <c r="P51" i="1"/>
  <c r="AU51" i="1" s="1"/>
  <c r="AV51" i="1" s="1"/>
  <c r="P52" i="1"/>
  <c r="P53" i="1"/>
  <c r="P54" i="1"/>
  <c r="AU54" i="1" s="1"/>
  <c r="AV54" i="1" s="1"/>
  <c r="P55" i="1"/>
  <c r="P56" i="1"/>
  <c r="P57" i="1"/>
  <c r="AU57" i="1" s="1"/>
  <c r="AV57" i="1" s="1"/>
  <c r="P58" i="1"/>
  <c r="AU58" i="1" s="1"/>
  <c r="AV58" i="1" s="1"/>
  <c r="P59" i="1"/>
  <c r="AU59" i="1" s="1"/>
  <c r="AV59" i="1" s="1"/>
  <c r="P60" i="1"/>
  <c r="P61" i="1"/>
  <c r="AU61" i="1" s="1"/>
  <c r="AV61" i="1" s="1"/>
  <c r="P62" i="1"/>
  <c r="AU62" i="1" s="1"/>
  <c r="AV62" i="1" s="1"/>
  <c r="P68" i="1"/>
  <c r="P69" i="1"/>
  <c r="P70" i="1"/>
  <c r="P71" i="1"/>
  <c r="P72" i="1"/>
  <c r="P73" i="1"/>
  <c r="P74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3" i="1"/>
  <c r="P154" i="1"/>
  <c r="P155" i="1"/>
  <c r="P156" i="1"/>
  <c r="P157" i="1"/>
  <c r="P158" i="1"/>
  <c r="P163" i="1"/>
  <c r="P164" i="1"/>
  <c r="P168" i="1"/>
  <c r="P169" i="1"/>
  <c r="P170" i="1"/>
  <c r="P171" i="1"/>
  <c r="P172" i="1"/>
  <c r="P173" i="1"/>
  <c r="P174" i="1"/>
  <c r="P177" i="1"/>
  <c r="P178" i="1"/>
  <c r="P179" i="1"/>
  <c r="P180" i="1"/>
  <c r="P182" i="1"/>
  <c r="P181" i="1" s="1"/>
  <c r="P183" i="1"/>
  <c r="P185" i="1"/>
  <c r="P186" i="1"/>
  <c r="P187" i="1"/>
  <c r="P188" i="1"/>
  <c r="P189" i="1"/>
  <c r="P193" i="1"/>
  <c r="P192" i="1" s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12" i="1"/>
  <c r="P214" i="1"/>
  <c r="P215" i="1"/>
  <c r="P216" i="1"/>
  <c r="P217" i="1"/>
  <c r="P219" i="1"/>
  <c r="P218" i="1" s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9" i="1"/>
  <c r="P240" i="1"/>
  <c r="P243" i="1"/>
  <c r="P244" i="1"/>
  <c r="P245" i="1"/>
  <c r="P247" i="1"/>
  <c r="P249" i="1"/>
  <c r="P250" i="1"/>
  <c r="P251" i="1"/>
  <c r="P252" i="1"/>
  <c r="P253" i="1"/>
  <c r="P254" i="1"/>
  <c r="P255" i="1"/>
  <c r="P256" i="1"/>
  <c r="P257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4" i="1"/>
  <c r="P385" i="1"/>
  <c r="P386" i="1"/>
  <c r="P387" i="1"/>
  <c r="P388" i="1"/>
  <c r="P389" i="1"/>
  <c r="P390" i="1"/>
  <c r="O12" i="1"/>
  <c r="O13" i="1"/>
  <c r="O14" i="1"/>
  <c r="O15" i="1"/>
  <c r="O16" i="1"/>
  <c r="O17" i="1"/>
  <c r="O18" i="1"/>
  <c r="O20" i="1"/>
  <c r="O21" i="1"/>
  <c r="O22" i="1"/>
  <c r="O24" i="1"/>
  <c r="O25" i="1"/>
  <c r="O26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8" i="1"/>
  <c r="O69" i="1"/>
  <c r="O70" i="1"/>
  <c r="O71" i="1"/>
  <c r="O72" i="1"/>
  <c r="O73" i="1"/>
  <c r="O74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3" i="1"/>
  <c r="O154" i="1"/>
  <c r="O155" i="1"/>
  <c r="O156" i="1"/>
  <c r="O157" i="1"/>
  <c r="O158" i="1"/>
  <c r="O163" i="1"/>
  <c r="O164" i="1"/>
  <c r="O168" i="1"/>
  <c r="O169" i="1"/>
  <c r="O170" i="1"/>
  <c r="O171" i="1"/>
  <c r="O172" i="1"/>
  <c r="O173" i="1"/>
  <c r="O174" i="1"/>
  <c r="O177" i="1"/>
  <c r="O178" i="1"/>
  <c r="O179" i="1"/>
  <c r="O180" i="1"/>
  <c r="O182" i="1"/>
  <c r="O181" i="1" s="1"/>
  <c r="O183" i="1"/>
  <c r="O185" i="1"/>
  <c r="O186" i="1"/>
  <c r="O187" i="1"/>
  <c r="O188" i="1"/>
  <c r="O189" i="1"/>
  <c r="O193" i="1"/>
  <c r="O192" i="1" s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12" i="1"/>
  <c r="O214" i="1"/>
  <c r="O215" i="1"/>
  <c r="O216" i="1"/>
  <c r="O217" i="1"/>
  <c r="O219" i="1"/>
  <c r="O218" i="1" s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9" i="1"/>
  <c r="O240" i="1"/>
  <c r="O243" i="1"/>
  <c r="O244" i="1"/>
  <c r="O245" i="1"/>
  <c r="O247" i="1"/>
  <c r="O249" i="1"/>
  <c r="O250" i="1"/>
  <c r="O251" i="1"/>
  <c r="O252" i="1"/>
  <c r="O253" i="1"/>
  <c r="O254" i="1"/>
  <c r="O255" i="1"/>
  <c r="O256" i="1"/>
  <c r="O257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4" i="1"/>
  <c r="O385" i="1"/>
  <c r="O386" i="1"/>
  <c r="O387" i="1"/>
  <c r="O388" i="1"/>
  <c r="O389" i="1"/>
  <c r="O390" i="1"/>
  <c r="M12" i="1"/>
  <c r="M13" i="1"/>
  <c r="M14" i="1"/>
  <c r="M15" i="1"/>
  <c r="M16" i="1"/>
  <c r="M17" i="1"/>
  <c r="M18" i="1"/>
  <c r="M20" i="1"/>
  <c r="M21" i="1"/>
  <c r="M22" i="1"/>
  <c r="M24" i="1"/>
  <c r="M25" i="1"/>
  <c r="M26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8" i="1"/>
  <c r="M69" i="1"/>
  <c r="M70" i="1"/>
  <c r="M71" i="1"/>
  <c r="M72" i="1"/>
  <c r="M73" i="1"/>
  <c r="M74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3" i="1"/>
  <c r="M154" i="1"/>
  <c r="M155" i="1"/>
  <c r="M156" i="1"/>
  <c r="M157" i="1"/>
  <c r="M158" i="1"/>
  <c r="M163" i="1"/>
  <c r="M164" i="1"/>
  <c r="M168" i="1"/>
  <c r="M169" i="1"/>
  <c r="M170" i="1"/>
  <c r="M171" i="1"/>
  <c r="M172" i="1"/>
  <c r="M173" i="1"/>
  <c r="M174" i="1"/>
  <c r="M177" i="1"/>
  <c r="M178" i="1"/>
  <c r="M179" i="1"/>
  <c r="M180" i="1"/>
  <c r="M182" i="1"/>
  <c r="M181" i="1" s="1"/>
  <c r="M183" i="1"/>
  <c r="M185" i="1"/>
  <c r="M186" i="1"/>
  <c r="M187" i="1"/>
  <c r="M188" i="1"/>
  <c r="M189" i="1"/>
  <c r="M193" i="1"/>
  <c r="M192" i="1" s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12" i="1"/>
  <c r="M214" i="1"/>
  <c r="M215" i="1"/>
  <c r="M216" i="1"/>
  <c r="M217" i="1"/>
  <c r="M219" i="1"/>
  <c r="M218" i="1" s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9" i="1"/>
  <c r="M240" i="1"/>
  <c r="M243" i="1"/>
  <c r="M244" i="1"/>
  <c r="M245" i="1"/>
  <c r="M247" i="1"/>
  <c r="M249" i="1"/>
  <c r="M250" i="1"/>
  <c r="M251" i="1"/>
  <c r="M252" i="1"/>
  <c r="M253" i="1"/>
  <c r="M254" i="1"/>
  <c r="M255" i="1"/>
  <c r="M256" i="1"/>
  <c r="M257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4" i="1"/>
  <c r="M385" i="1"/>
  <c r="M386" i="1"/>
  <c r="M387" i="1"/>
  <c r="M388" i="1"/>
  <c r="M389" i="1"/>
  <c r="M390" i="1"/>
  <c r="H187" i="5" l="1"/>
  <c r="AV188" i="5"/>
  <c r="AN187" i="5"/>
  <c r="I187" i="5"/>
  <c r="AP187" i="5"/>
  <c r="K187" i="5"/>
  <c r="AR187" i="5"/>
  <c r="M187" i="5"/>
  <c r="AQ187" i="5"/>
  <c r="L187" i="5"/>
  <c r="AO187" i="5"/>
  <c r="J187" i="5"/>
  <c r="O187" i="5"/>
  <c r="AU60" i="1"/>
  <c r="AV60" i="1" s="1"/>
  <c r="AU53" i="1"/>
  <c r="AV53" i="1" s="1"/>
  <c r="AU55" i="1"/>
  <c r="AV55" i="1" s="1"/>
  <c r="AU46" i="1"/>
  <c r="AV46" i="1" s="1"/>
  <c r="O242" i="1"/>
  <c r="O241" i="1" s="1"/>
  <c r="P184" i="1"/>
  <c r="Q242" i="1"/>
  <c r="Q241" i="1" s="1"/>
  <c r="O67" i="1"/>
  <c r="O66" i="1" s="1"/>
  <c r="O65" i="1" s="1"/>
  <c r="O64" i="1" s="1"/>
  <c r="J67" i="1"/>
  <c r="J66" i="1" s="1"/>
  <c r="J65" i="1" s="1"/>
  <c r="J64" i="1" s="1"/>
  <c r="M213" i="1"/>
  <c r="M191" i="1" s="1"/>
  <c r="O213" i="1"/>
  <c r="O191" i="1" s="1"/>
  <c r="M67" i="1"/>
  <c r="M66" i="1" s="1"/>
  <c r="M65" i="1" s="1"/>
  <c r="M64" i="1" s="1"/>
  <c r="P213" i="1"/>
  <c r="P191" i="1" s="1"/>
  <c r="P242" i="1"/>
  <c r="P241" i="1" s="1"/>
  <c r="P176" i="1"/>
  <c r="O184" i="1"/>
  <c r="P67" i="1"/>
  <c r="P66" i="1" s="1"/>
  <c r="P65" i="1" s="1"/>
  <c r="P64" i="1" s="1"/>
  <c r="P111" i="1"/>
  <c r="P110" i="1" s="1"/>
  <c r="Q111" i="1"/>
  <c r="Q110" i="1" s="1"/>
  <c r="Q109" i="1" s="1"/>
  <c r="Q176" i="1"/>
  <c r="Q184" i="1"/>
  <c r="Q213" i="1"/>
  <c r="Q191" i="1" s="1"/>
  <c r="Q67" i="1"/>
  <c r="Q66" i="1" s="1"/>
  <c r="Q65" i="1" s="1"/>
  <c r="Q64" i="1" s="1"/>
  <c r="M111" i="1"/>
  <c r="M110" i="1" s="1"/>
  <c r="M109" i="1" s="1"/>
  <c r="M242" i="1"/>
  <c r="M241" i="1" s="1"/>
  <c r="M176" i="1"/>
  <c r="M184" i="1"/>
  <c r="J184" i="1"/>
  <c r="O111" i="1"/>
  <c r="O110" i="1" s="1"/>
  <c r="O109" i="1" s="1"/>
  <c r="J111" i="1"/>
  <c r="J110" i="1" s="1"/>
  <c r="O176" i="1"/>
  <c r="J213" i="1"/>
  <c r="J191" i="1" s="1"/>
  <c r="J242" i="1"/>
  <c r="J241" i="1" s="1"/>
  <c r="J176" i="1"/>
  <c r="Q19" i="1"/>
  <c r="Q11" i="1" s="1"/>
  <c r="M23" i="1"/>
  <c r="M19" i="1"/>
  <c r="M11" i="1" s="1"/>
  <c r="P19" i="1"/>
  <c r="P11" i="1" s="1"/>
  <c r="J27" i="1"/>
  <c r="O23" i="1"/>
  <c r="Q27" i="1"/>
  <c r="P27" i="1"/>
  <c r="J23" i="1"/>
  <c r="M27" i="1"/>
  <c r="O19" i="1"/>
  <c r="O11" i="1" s="1"/>
  <c r="Q23" i="1"/>
  <c r="O27" i="1"/>
  <c r="P23" i="1"/>
  <c r="J19" i="1"/>
  <c r="J11" i="1" s="1"/>
  <c r="AV187" i="5" l="1"/>
  <c r="P175" i="1"/>
  <c r="P162" i="1" s="1"/>
  <c r="O175" i="1"/>
  <c r="O162" i="1" s="1"/>
  <c r="O108" i="1" s="1"/>
  <c r="O63" i="1" s="1"/>
  <c r="Q175" i="1"/>
  <c r="Q162" i="1" s="1"/>
  <c r="Q108" i="1" s="1"/>
  <c r="Q63" i="1" s="1"/>
  <c r="J175" i="1"/>
  <c r="J162" i="1" s="1"/>
  <c r="M175" i="1"/>
  <c r="M162" i="1" s="1"/>
  <c r="M108" i="1" s="1"/>
  <c r="M63" i="1" s="1"/>
  <c r="O10" i="1"/>
  <c r="O9" i="1" s="1"/>
  <c r="O8" i="1" s="1"/>
  <c r="J10" i="1"/>
  <c r="J9" i="1" s="1"/>
  <c r="J8" i="1" s="1"/>
  <c r="M10" i="1"/>
  <c r="M9" i="1" s="1"/>
  <c r="M8" i="1" s="1"/>
  <c r="Q10" i="1"/>
  <c r="Q9" i="1" s="1"/>
  <c r="Q8" i="1" s="1"/>
  <c r="P10" i="1"/>
  <c r="P9" i="1" s="1"/>
  <c r="P8" i="1" s="1"/>
  <c r="M7" i="1" l="1"/>
  <c r="M6" i="1" s="1"/>
  <c r="Q7" i="1"/>
  <c r="Q6" i="1" s="1"/>
  <c r="O7" i="1"/>
  <c r="O6" i="1" s="1"/>
  <c r="G138" i="1"/>
  <c r="P138" i="1" s="1"/>
  <c r="C137" i="1"/>
  <c r="C109" i="1" s="1"/>
  <c r="C108" i="1" l="1"/>
  <c r="G137" i="1"/>
  <c r="G109" i="1" s="1"/>
  <c r="G108" i="1" s="1"/>
  <c r="G63" i="1" s="1"/>
  <c r="G415" i="1" s="1"/>
  <c r="G418" i="1" s="1"/>
  <c r="G422" i="1" s="1"/>
  <c r="G423" i="1" s="1"/>
  <c r="J138" i="1"/>
  <c r="G419" i="1" l="1"/>
  <c r="P137" i="1"/>
  <c r="P109" i="1" s="1"/>
  <c r="P108" i="1" s="1"/>
  <c r="P63" i="1" s="1"/>
  <c r="J137" i="1"/>
  <c r="J109" i="1" s="1"/>
  <c r="J108" i="1" s="1"/>
  <c r="J63" i="1" s="1"/>
  <c r="C63" i="1"/>
  <c r="G7" i="1" l="1"/>
  <c r="C7" i="1"/>
  <c r="C6" i="1" s="1"/>
  <c r="G6" i="1" l="1"/>
  <c r="G408" i="1" s="1"/>
  <c r="G424" i="1" s="1"/>
  <c r="G411" i="1"/>
  <c r="G420" i="1" s="1"/>
  <c r="P7" i="1"/>
  <c r="P6" i="1" s="1"/>
  <c r="J7" i="1"/>
  <c r="J6" i="1" s="1"/>
  <c r="G409" i="1" l="1"/>
  <c r="G410" i="1" s="1"/>
  <c r="AA31" i="6" l="1"/>
  <c r="AM31" i="6" s="1"/>
  <c r="AK31" i="6" l="1"/>
  <c r="AW31" i="6" s="1"/>
  <c r="AA30" i="6"/>
  <c r="AM30" i="6" s="1"/>
  <c r="AK30" i="6" l="1"/>
  <c r="AW30" i="6" s="1"/>
  <c r="AA5" i="6"/>
  <c r="AA4" i="6" l="1"/>
  <c r="AM5" i="6"/>
  <c r="AM419" i="6" s="1"/>
  <c r="AK5" i="6"/>
  <c r="AA419" i="6"/>
  <c r="AK419" i="6" l="1"/>
  <c r="U5" i="10" s="1"/>
  <c r="AW5" i="6"/>
  <c r="AW419" i="6" s="1"/>
  <c r="AA3" i="6"/>
  <c r="AM4" i="6"/>
  <c r="AM418" i="6" s="1"/>
  <c r="AK4" i="6"/>
  <c r="AK422" i="6"/>
  <c r="U8" i="10" s="1"/>
  <c r="U7" i="10" s="1"/>
  <c r="AA418" i="6"/>
  <c r="U4" i="10" l="1"/>
  <c r="X4" i="10" s="1"/>
  <c r="AK418" i="6"/>
  <c r="I6" i="11" s="1"/>
  <c r="AW4" i="6"/>
  <c r="AW418" i="6" s="1"/>
  <c r="AA2" i="6"/>
  <c r="AM2" i="6" s="1"/>
  <c r="AM416" i="6" s="1"/>
  <c r="AM3" i="6"/>
  <c r="AM417" i="6" s="1"/>
  <c r="AK3" i="6"/>
  <c r="AK421" i="6"/>
  <c r="I7" i="11" s="1"/>
  <c r="AA417" i="6"/>
  <c r="U31" i="10" l="1"/>
  <c r="U33" i="10" s="1"/>
  <c r="AK2" i="6"/>
  <c r="AK417" i="6"/>
  <c r="I5" i="11" s="1"/>
  <c r="AA416" i="6"/>
  <c r="AK416" i="6" l="1"/>
  <c r="I4" i="11" s="1"/>
  <c r="J418" i="12" l="1"/>
  <c r="P417" i="12" l="1"/>
  <c r="P415" i="12" s="1"/>
  <c r="P414" i="12" s="1"/>
  <c r="P413" i="12" s="1"/>
  <c r="G415" i="12"/>
  <c r="G414" i="12" s="1"/>
  <c r="G418" i="12"/>
  <c r="P418" i="12" s="1"/>
  <c r="G413" i="12" l="1"/>
  <c r="AA418" i="12"/>
  <c r="AA417" i="12" s="1"/>
  <c r="AA415" i="12" s="1"/>
  <c r="AA414" i="12" s="1"/>
  <c r="AA413" i="12" s="1"/>
  <c r="AC418" i="12" l="1"/>
  <c r="AC415" i="12"/>
  <c r="AC414" i="12"/>
  <c r="AF414" i="12" s="1"/>
  <c r="AC413" i="12"/>
  <c r="AC417" i="12"/>
  <c r="AS130" i="5"/>
  <c r="N126" i="5"/>
  <c r="T126" i="5" s="1"/>
  <c r="AW126" i="5" l="1"/>
  <c r="AW190" i="5" s="1"/>
  <c r="J21" i="10"/>
  <c r="J20" i="10" s="1"/>
  <c r="J19" i="10" s="1"/>
  <c r="J18" i="10" s="1"/>
  <c r="W18" i="10" s="1"/>
  <c r="N125" i="5"/>
  <c r="U126" i="5"/>
  <c r="AS126" i="5"/>
  <c r="AS190" i="5" s="1"/>
  <c r="AS125" i="5" l="1"/>
  <c r="T125" i="5"/>
  <c r="AW125" i="5" s="1"/>
  <c r="N124" i="5"/>
  <c r="U125" i="5"/>
  <c r="N4" i="5" l="1"/>
  <c r="N3" i="5" s="1"/>
  <c r="N2" i="5" s="1"/>
  <c r="T124" i="5"/>
  <c r="AW124" i="5" s="1"/>
  <c r="AS124" i="5"/>
  <c r="I7" i="10"/>
  <c r="N190" i="5"/>
  <c r="U124" i="5"/>
  <c r="AS4" i="5" l="1"/>
  <c r="T4" i="5"/>
  <c r="AW4" i="5" s="1"/>
  <c r="T190" i="5"/>
  <c r="C9" i="11" s="1"/>
  <c r="C5" i="11" s="1"/>
  <c r="C4" i="11" s="1"/>
  <c r="U4" i="5"/>
  <c r="U190" i="5"/>
  <c r="I5" i="10"/>
  <c r="N188" i="5"/>
  <c r="AS3" i="5"/>
  <c r="AS188" i="5" s="1"/>
  <c r="T3" i="5" l="1"/>
  <c r="T2" i="5" s="1"/>
  <c r="U3" i="5"/>
  <c r="AS2" i="5"/>
  <c r="AS187" i="5" s="1"/>
  <c r="N187" i="5"/>
  <c r="T188" i="5" l="1"/>
  <c r="AW2" i="5"/>
  <c r="AW187" i="5" s="1"/>
  <c r="AW3" i="5"/>
  <c r="AW188" i="5" s="1"/>
  <c r="U2" i="5"/>
  <c r="U188" i="5"/>
  <c r="T187" i="5" l="1"/>
  <c r="U187" i="5"/>
  <c r="L4" i="11" s="1"/>
  <c r="K4" i="11" l="1"/>
  <c r="S74" i="6"/>
  <c r="AW74" i="6" s="1"/>
  <c r="V76" i="6"/>
  <c r="X76" i="6" s="1"/>
  <c r="Y76" i="6" s="1"/>
  <c r="S67" i="6" l="1"/>
  <c r="V74" i="6"/>
  <c r="V67" i="6" s="1"/>
  <c r="V66" i="6" s="1"/>
  <c r="S66" i="6" l="1"/>
  <c r="AW67" i="6"/>
  <c r="X74" i="6"/>
  <c r="S61" i="6" l="1"/>
  <c r="AW66" i="6"/>
  <c r="V61" i="6"/>
  <c r="V60" i="6" s="1"/>
  <c r="V59" i="6" s="1"/>
  <c r="V3" i="6" s="1"/>
  <c r="V2" i="6" s="1"/>
  <c r="X67" i="6"/>
  <c r="S60" i="6" l="1"/>
  <c r="AW61" i="6"/>
  <c r="X66" i="6"/>
  <c r="AW60" i="6" l="1"/>
  <c r="AW422" i="6" s="1"/>
  <c r="S59" i="6"/>
  <c r="S422" i="6"/>
  <c r="X61" i="6"/>
  <c r="S3" i="6" l="1"/>
  <c r="AW59" i="6"/>
  <c r="AW421" i="6" s="1"/>
  <c r="S421" i="6"/>
  <c r="X60" i="6"/>
  <c r="S2" i="6" l="1"/>
  <c r="AW3" i="6"/>
  <c r="AW417" i="6" s="1"/>
  <c r="S417" i="6"/>
  <c r="X59" i="6"/>
  <c r="X3" i="6" s="1"/>
  <c r="X2" i="6" s="1"/>
  <c r="AW2" i="6" l="1"/>
  <c r="AW416" i="6" s="1"/>
  <c r="S416" i="6"/>
</calcChain>
</file>

<file path=xl/sharedStrings.xml><?xml version="1.0" encoding="utf-8"?>
<sst xmlns="http://schemas.openxmlformats.org/spreadsheetml/2006/main" count="6490" uniqueCount="1046">
  <si>
    <t>CODIGO</t>
  </si>
  <si>
    <t>NOMBRE</t>
  </si>
  <si>
    <t>SALDOINICIAL</t>
  </si>
  <si>
    <t>CREDITOS</t>
  </si>
  <si>
    <t>CONTRACREDITOS</t>
  </si>
  <si>
    <t>ADICIONES</t>
  </si>
  <si>
    <t>GASTOS</t>
  </si>
  <si>
    <t>GASTOS DE FUNCIONAMIENTO</t>
  </si>
  <si>
    <t>GASTOS DE PERSONAL</t>
  </si>
  <si>
    <t>PLANTA DE PERSONAL PERMANENTE</t>
  </si>
  <si>
    <t>FACTORES CONSTITUTIVOS DE SALARIO</t>
  </si>
  <si>
    <t>FACTORES SALARIALES COMUNES</t>
  </si>
  <si>
    <t xml:space="preserve">PRESTACIONES SOCIALES </t>
  </si>
  <si>
    <t>FACTORES SALARIALES ESPECIALES</t>
  </si>
  <si>
    <t>CONTRIBUCIONES INHERENTES A LA NÓMINA</t>
  </si>
  <si>
    <t>REMUNERACIONES NO CONSTITUTIVAS DE FACTOR SALARIAL</t>
  </si>
  <si>
    <t>BONIFICACIONES Y PRIMAS</t>
  </si>
  <si>
    <t>BENEFICIOS  A EMPLEADOS</t>
  </si>
  <si>
    <t>PERSONAL SUPERNUMERARIO Y PLANTA TEMPORAL - CATEDRAS -SENA</t>
  </si>
  <si>
    <t>SALARIO</t>
  </si>
  <si>
    <t>VIÁTICOS DE LOS FUNCIONARIOS EN COMISIÓN</t>
  </si>
  <si>
    <t>ADQUISICIÓN DE BIENES  Y SERVICIOS</t>
  </si>
  <si>
    <t>ADQUISICIÓN DE ACTIVOS NO FINANCIEROS</t>
  </si>
  <si>
    <t>ACTIVOS FIJOS</t>
  </si>
  <si>
    <t>EDIFICACIONES Y ESTRUCTURAS</t>
  </si>
  <si>
    <t xml:space="preserve">OTRAS ESTRUCTURAS </t>
  </si>
  <si>
    <t>MAQUINARIA Y EQUIPO</t>
  </si>
  <si>
    <t>PRODUCTOS METÁLICOS MAQUINARIA Y EQUIPO</t>
  </si>
  <si>
    <t>MAQUINARIA PARA USO GENERAL</t>
  </si>
  <si>
    <t>MAQUINARIA PARA USOS ESPECIALES</t>
  </si>
  <si>
    <t>MAQUINARIA DE OFICINA CONTABILIDAD E INFORMÁTICA</t>
  </si>
  <si>
    <t>MAQUINARIA Y APARATOS ELÉCTRICOS</t>
  </si>
  <si>
    <t>EQUIPO Y APARATOS DE RADIO TELEVISIÓN Y COMUNICACIONES</t>
  </si>
  <si>
    <t>APARATOS MÉDICOS INSTRUMENTOS ÓPTICOS Y DE PRECISIÓN RELOJES</t>
  </si>
  <si>
    <t>EQUIPO DE TRANSPORTE</t>
  </si>
  <si>
    <t>OTROS ACTIVOS FIJOS</t>
  </si>
  <si>
    <t>PRODUCTOS DE LA PROPIEDAD INTELECTUAL</t>
  </si>
  <si>
    <t>PROGRAMAS DE INFORMÁTICA Y BASES DE DATOS</t>
  </si>
  <si>
    <t xml:space="preserve">PROGRAMAS DE INFORMÁTICA       </t>
  </si>
  <si>
    <t>ACTIVOS FIJOS NO CLASIFICADOS COMO MAQUINARIA Y EQUIPO</t>
  </si>
  <si>
    <t>MUEBLES INSTRUMENTOS MUSICALES ARTÍCULOS DE DEPORTE Y ANTIGÜEDADES</t>
  </si>
  <si>
    <t>MUEBLES</t>
  </si>
  <si>
    <t>ACTIVOS NO PRODUCIDOS</t>
  </si>
  <si>
    <t>ADQUISICIONES DIFERENTES DE ACTIVOS</t>
  </si>
  <si>
    <t>MATERIALES Y SUMINISTROS</t>
  </si>
  <si>
    <t>AGRICULTURA SILVICULTURA Y PRODUCTOS DE LA PESCA</t>
  </si>
  <si>
    <t>PRODUCTOS DE LA AGRICULTURA Y LA HORTICULTURA</t>
  </si>
  <si>
    <t>CEREALES</t>
  </si>
  <si>
    <t>HORTALIZAS</t>
  </si>
  <si>
    <t>FRUTAS Y NUECES</t>
  </si>
  <si>
    <t>SEMILLAS Y FRUTOS OLEAGINOSOS</t>
  </si>
  <si>
    <t>PRODUCTOS DE FORRAJE FIBRAS PLANTAS VIVAS FLORES Y CAPULLOS DE FLORES TABACO EN RAMA Y CAU</t>
  </si>
  <si>
    <t>ANIMALES VIVOS Y PRODUCTOS ANIMALES (EXCEPTO LA CARNE)</t>
  </si>
  <si>
    <t>ANIMALES VIVOS</t>
  </si>
  <si>
    <t>BOVINOS VIVOS</t>
  </si>
  <si>
    <t>OTROS RUMIANTES</t>
  </si>
  <si>
    <t>CABALLOS Y OTROS ÉQUIDOS</t>
  </si>
  <si>
    <t>GANADO PORCINO</t>
  </si>
  <si>
    <t>AVES DE CORRAL</t>
  </si>
  <si>
    <t>LECHE CRUDA</t>
  </si>
  <si>
    <t>HUEVOS DE GALLINA O DE OTRAS AVES CON CÁSCARA FRESCOS</t>
  </si>
  <si>
    <t>MINERALES; ELECTRICIDAD GAS Y AGUA</t>
  </si>
  <si>
    <t>ELECTRICIDAD GAS DE CIUDAD VAPOR Y AGUA CALIENTE</t>
  </si>
  <si>
    <t>PRODUCTOS ALIMENTICIOS BEBIDAS Y TABACO; TEXTILES PRENDAS DE VESTIR Y PRODUCTOS DE CUERO</t>
  </si>
  <si>
    <t>PRODUCTOS DE MOLINERÍA ALMIDONES Y PRODUCTOS DERIVADOS DEL ALMIDÓN; OTROS PRODUCTOS ALIMEN</t>
  </si>
  <si>
    <t>DOTACIÓN (PRENDAS DE VESTIR Y CALZADO)</t>
  </si>
  <si>
    <t>OTROS BIENES TRANSPORTABLES (EXCEPTO PRODUCTOS METÁLICOS MAQUINARIA Y EQUIPO)</t>
  </si>
  <si>
    <t>PASTA O PULPA PAPEL Y PRODUCTOS DE PAPEL; IMPRESOS Y ARTÍCULOS RELACIONADOS</t>
  </si>
  <si>
    <t>PRODUCTOS DE HORNOS DE COQUE; PRODUCTOS DE REFINACIÓN DE PETRÓLEO Y COMBUSTIBLE NUCLEAR</t>
  </si>
  <si>
    <t>QUÍMICOS BÁSICOS</t>
  </si>
  <si>
    <t>OTROS PRODUCTOS QUÍMICOS; FIBRAS ARTIFICIALES (O FIBRAS INDUSTRIALES HECHAS POR EL HOMBRE)</t>
  </si>
  <si>
    <t>PRODUCTOS DE CAUCHO Y PLÁSTICO</t>
  </si>
  <si>
    <t>ADQUISICIÓN DE SERVICIOS</t>
  </si>
  <si>
    <t xml:space="preserve">Viaticos de los Funcionarios en Comision </t>
  </si>
  <si>
    <t>SERVICIOS DE ALOJAMIENTO; SERVICIOS DE SUMINISTRO DE COMIDAS Y BEBIDAS; SERVICIOS DE TRANS</t>
  </si>
  <si>
    <t>ALOJAMIENTO; SERVICIOS DE SUMINISTROS DE COMIDAS Y BEBIDAS</t>
  </si>
  <si>
    <t>SERVICIOS FINANCIEROS Y SERVICIOS CONEXOS SERVICIOS INMOBILIARIOS Y SERVICIOS DE LEASING</t>
  </si>
  <si>
    <t>SERVICIOS FINANCIEROS Y SERVICIOS CONEXOS</t>
  </si>
  <si>
    <t>SERVICIOS FINANCIEROS EXCEPTO DE LA BANCA DE INVERSIÓN SERVICIOS DE SEGUROS Y SERVICIOS DE</t>
  </si>
  <si>
    <t>SERVICIOS DE SEGUROS Y PENSIONES (CON EXCLUSIÓN DE SERVICIOS DE REASEGURO) EXCEPTO LOS SER</t>
  </si>
  <si>
    <t>OTROS SERVICIOS DE SEGUROS DISTINTOS A LOS SEGUROS DE VIDA (EXCEPTO LOS SERVICIOS DE REASE</t>
  </si>
  <si>
    <t xml:space="preserve">SERVICIOS INMOBILIARIOS </t>
  </si>
  <si>
    <t>SERVICIOS INMOBILIARIOS RELATIVOS A BIENES RAÍCES PROPIOS O ARRENDADOS</t>
  </si>
  <si>
    <t>SERVICIOS INMOBILIARIOS A COMISIÓN O POR CONTRATO</t>
  </si>
  <si>
    <t xml:space="preserve">SERVICIOS PRESTADOS A LAS EMPRESAS Y SERVICIOS DE PRODUCCIÓN </t>
  </si>
  <si>
    <t>SERVICIOS JURÍDICOS Y CONTABLES</t>
  </si>
  <si>
    <t>OTROS SERVICIOS PROFESIONALES CIENTÍFICOS Y TÉCNICOS</t>
  </si>
  <si>
    <t>SERVICIOS DE CONSULTORÍA EN ADMINISTRACIÓN Y SERVICIOS DE GESTIÓN; SERVICIOS DE TECNOLOGÍA</t>
  </si>
  <si>
    <t>SERVICIOS DE TELECOMUNICACIONES TRANSMISIÓN Y SUMINISTRO DE INFORMACIÓN</t>
  </si>
  <si>
    <t>SERVICIOS DE SOPORTE</t>
  </si>
  <si>
    <t>SERVICIOS DE APOYO A LA AGRICULTURA LA CAZA LA SILVICULTURA LA PESCA LA MINERÍA Y LOS SERV</t>
  </si>
  <si>
    <t>SERVICIOS DE MANTENIMIENTO REPARACIÓN E INSTALACIÓN (EXCEPTO SERVICIOS DE CONSTRUCCIÓN)</t>
  </si>
  <si>
    <t>SERVICIOS DE MANTENIMIENTO Y REPARACIÓN DE OTRA MAQUINARIA Y OTRO EQUIPO</t>
  </si>
  <si>
    <t>OTROS SERVICIOS DE fabricación; SERVICIOS DE EDICIÓN IMPRESIÓN Y REPRODUCCIÓN; SERVICIOS D</t>
  </si>
  <si>
    <t>SERVICIOS PARA LA COMUNIDAD SOCIALES Y PERSONALES</t>
  </si>
  <si>
    <t>SERVICIOS DE EDUCACIÓN</t>
  </si>
  <si>
    <t>SERVICIOS DE ALCANTARILLADO RECOLECCIÓN TRATAMIENTO Y DISPOSICIÓN DE DESECHOS Y OTROS SERV</t>
  </si>
  <si>
    <t>SERVICIOS DE ASOCIACIONES</t>
  </si>
  <si>
    <t>OTROS SERVICIOS</t>
  </si>
  <si>
    <t>DISMINUCIÓN DE PASIVOS</t>
  </si>
  <si>
    <t>GASTOS POR TRIBUTOS MULTAS SANCIONES E INTERESES DE MORA</t>
  </si>
  <si>
    <t xml:space="preserve">IMPUESTOS </t>
  </si>
  <si>
    <t>IMPUESTOS TERRITORIALES</t>
  </si>
  <si>
    <t>CONTRIBUCIONES</t>
  </si>
  <si>
    <t>GASTOS DE INVERSIÓN</t>
  </si>
  <si>
    <t>EJE 1. EXCELENCIA ACADÉMICA</t>
  </si>
  <si>
    <t>PROGRAMA- FORTALECIMIENTO DE LA FORMACIÓN DOCENTE</t>
  </si>
  <si>
    <t xml:space="preserve">PROGRAMA-MODERNIZACIÓN CURRICULAR. </t>
  </si>
  <si>
    <t>ESTRUCTURACIÓN CURRICULAR FORMATIVA</t>
  </si>
  <si>
    <t>Practicas Academicas</t>
  </si>
  <si>
    <t>PROMOCIÓN PARA DEL DESARROLLO DE PROYECTOS DE INVESTIGACIÓN CON PERTINENCIA REGIONAL</t>
  </si>
  <si>
    <t>COROLIMA</t>
  </si>
  <si>
    <t>COLCIENCIAS</t>
  </si>
  <si>
    <t>Doctorado en Ciencias Agrarias</t>
  </si>
  <si>
    <t>Otros Conceptos Ajustes y Conciliación</t>
  </si>
  <si>
    <t>PROGRAMA-MODERNIZACIÓN Y VISIBILIZACIÓN DE FUENTES DOCUMENTALES Y COLECCIONES MUSEOLÓGICAS</t>
  </si>
  <si>
    <t>BIBLIOTECA</t>
  </si>
  <si>
    <t>Dotación de Equipos Material Bibliográfico y Bases de Datos.</t>
  </si>
  <si>
    <t>PROGRAMA-INTERNACIONALIZACIÓN</t>
  </si>
  <si>
    <t>EJE 2. COMPROMISO SOCIAL.</t>
  </si>
  <si>
    <t>PROGRAMA-DESARROLLO HUMANO</t>
  </si>
  <si>
    <t>BIENESTAR INSTITUCIONAL</t>
  </si>
  <si>
    <t>Inversiones Bienestar</t>
  </si>
  <si>
    <t>Bienestar Universitario &lt;intérpretes</t>
  </si>
  <si>
    <t>Restaurante Universitario</t>
  </si>
  <si>
    <t>Residencias Masculinas y Femeninas</t>
  </si>
  <si>
    <t>Becas Estudiantiles</t>
  </si>
  <si>
    <t>Apoyo Actividades Estudiantiles Pregrado y Posgrado</t>
  </si>
  <si>
    <t>Actividades y dotaciones deportivas</t>
  </si>
  <si>
    <t>Actividades de integración y recreación</t>
  </si>
  <si>
    <t>Programa integral para el abordaje del consumo de adictivos -PICA</t>
  </si>
  <si>
    <t>Librería Universitaria</t>
  </si>
  <si>
    <t>Seguridad y Salud en el Trabajo</t>
  </si>
  <si>
    <t>Sección Asistencial</t>
  </si>
  <si>
    <t>PERMANENCIA Y GRADUACIÓN ESTUDIANTIL</t>
  </si>
  <si>
    <t>Asistencias Administrativas  y  Monitorias Académicas</t>
  </si>
  <si>
    <t>Cursos Nivelatorios</t>
  </si>
  <si>
    <t>Tiendas universitarias</t>
  </si>
  <si>
    <t>FORMACIÓN POLÍTICA Y CIUDADANÍA</t>
  </si>
  <si>
    <t xml:space="preserve">Política Institucionales de Género </t>
  </si>
  <si>
    <t xml:space="preserve">Politicas Institucionales de Inclusión </t>
  </si>
  <si>
    <t xml:space="preserve">Actualizacion del Estatuto Estudiantil </t>
  </si>
  <si>
    <t>Politica  Institucional de Derechos Humanos</t>
  </si>
  <si>
    <t>DESARROLLO CULTURAL</t>
  </si>
  <si>
    <t xml:space="preserve">Talleristas del Centro Cultural  </t>
  </si>
  <si>
    <t>Instrumentistas Orquesta Sinfónica</t>
  </si>
  <si>
    <t>Centro Cultural</t>
  </si>
  <si>
    <t>Orquesta Sinfonica</t>
  </si>
  <si>
    <t xml:space="preserve">PROGRAMA-PROYECCIÓN SOCIAL. </t>
  </si>
  <si>
    <t>PROGRAMA-GRADUADOS</t>
  </si>
  <si>
    <t>EJE 3. COMPROMISO AMBIENTAL</t>
  </si>
  <si>
    <t>PROGRAMA-UNIVERSIDAD TERRITORIO VERDE.</t>
  </si>
  <si>
    <t>CÁTEDRA AMBIENTAL</t>
  </si>
  <si>
    <t>PROGRAMA-HACIA UN TOLIMA SUSTENTABLE</t>
  </si>
  <si>
    <t>EJE 4. EFICIENCIA Y TRANSPARENCIA ADMINISTRATIVA</t>
  </si>
  <si>
    <t>PROGRAMA-MODELO INTEGRADO DE PLANEACIÓN Y GESTIÓN.</t>
  </si>
  <si>
    <t>PROGRAMA-REGIONALIZACIÓN.</t>
  </si>
  <si>
    <t>PLAN ESTRATÉGICO DE EXPANSIÓN DEL CAMPUS UNIVERSITARIO SIGLO XXI</t>
  </si>
  <si>
    <t>INVERSIÓN RECURSOS DE BALANCE 2019</t>
  </si>
  <si>
    <t>Recursos de Inversión 2018 - Planes de Fomento</t>
  </si>
  <si>
    <t>Movilidad Interncional - PFC</t>
  </si>
  <si>
    <t>Becarios - PFC</t>
  </si>
  <si>
    <t>Comisiones de Estudio - PFC</t>
  </si>
  <si>
    <t>Gastos Practicas de Pregrado - PFC</t>
  </si>
  <si>
    <t>Gastos Generales de Extension Cultural - PFC</t>
  </si>
  <si>
    <t>Actividades y Dotaciones Deporticas - PFC</t>
  </si>
  <si>
    <t>Resedencias Masculinas y Femeninas - PFC</t>
  </si>
  <si>
    <t>Monitores Academicos y Administrativos - PFC</t>
  </si>
  <si>
    <t>Inversiones en Infraestructura Fisica y Tecnologica - PFC</t>
  </si>
  <si>
    <t>Recursos de Inversiones Estampilla Pro UT 2018</t>
  </si>
  <si>
    <t>Recursos de Inversiones Estampilla Pro UT 2017</t>
  </si>
  <si>
    <t>Recursos de Inversiones Estampilla Pro UT-Construccion Bloque de Aulas</t>
  </si>
  <si>
    <t>Recursos de Inversiones Estampilla Pro UT 2019</t>
  </si>
  <si>
    <t>Recursos Estampilla Pro UT</t>
  </si>
  <si>
    <t>Rendimientos CREE - Acreditacion de Alta Calidad</t>
  </si>
  <si>
    <t>Rendimientos CREE - Gastos Practicas de Pregrado</t>
  </si>
  <si>
    <t>Recursos CREE - Sistema de Informacion Financiero</t>
  </si>
  <si>
    <t>Recursos CREE - Adecuacion Cuarto Biosanitario (postcosecha)</t>
  </si>
  <si>
    <t>Recursos CREE - Proyeccion Social</t>
  </si>
  <si>
    <t>Recursos CREE 2014 - Dotacion Hospital Veterinario</t>
  </si>
  <si>
    <t>Recursos CREE 2015 - Construcción  Chut de Basuras</t>
  </si>
  <si>
    <t>Recursos CREE 2014 - Construcción Bloque de Aulas</t>
  </si>
  <si>
    <t>Recursos CREE 2017 - Formación Doctoral</t>
  </si>
  <si>
    <t>Recursos CREE 2017 - Laboratorio de Investigacion Ciencias Sociales</t>
  </si>
  <si>
    <t>Recursos CREE 2017 - Dotacion Equipos de Simulacion Torre de Medicina</t>
  </si>
  <si>
    <t>Recursos Estampilla Pro UNAL</t>
  </si>
  <si>
    <t>Estampilla Pro UNAL - Restaurante Universitario</t>
  </si>
  <si>
    <t>Rendimientos Estampilla Pro UNAL-Inversión Infraestructura Fisica Tec.</t>
  </si>
  <si>
    <t>Reservas-Estampilla Pro UNAL</t>
  </si>
  <si>
    <t>Estampilla Pro UNAL - Dotacion Biblioteca</t>
  </si>
  <si>
    <t>Estampilla Pro UNAL - Dotacion Libros Bilbioteca</t>
  </si>
  <si>
    <t>Estampilla Pro UNAL  - Mejoramiento y Adecucacion Salas de Artes</t>
  </si>
  <si>
    <t>Estampilla Pro UNAL  - Adquisicion de Equipos de Computo Salas de Sistemas</t>
  </si>
  <si>
    <t>Estampilla Pro UNAL -Adecuacion Lab. de Bioprocesos Maestria Ciencia Tec. Agro.</t>
  </si>
  <si>
    <t>Estampilla Pro UNAL-Mantenimiento Infraestructura Fisica</t>
  </si>
  <si>
    <t>Estampilla Pro UNAL-Estrategia de Comunicaciones</t>
  </si>
  <si>
    <t>Recursos de Inversión 2018 - PFC</t>
  </si>
  <si>
    <t>Rescursos de Inversión 2018 PFL - Restaurante Univesitario</t>
  </si>
  <si>
    <t>Rescursos de Inversión 2018 PFC - Practicas Pedagogicas</t>
  </si>
  <si>
    <t>Rescursos de Inversión 2018 PFC - Acreditacion de Alta Calidad</t>
  </si>
  <si>
    <t>Rescursos de Inversión 2018 PFC - Acreditación Institucional</t>
  </si>
  <si>
    <t>Rescursos de Inversión 2018 PFC - Internacionalizacion</t>
  </si>
  <si>
    <t>Rescursos de Inversión 2018 PFC - Docentes de Planta y Becarios</t>
  </si>
  <si>
    <t>Rescursos de Inversión 2018 PFC - Infraestructura Fisica y Tecnologica</t>
  </si>
  <si>
    <t>Recursos Excedentes de Cooperativas 2018</t>
  </si>
  <si>
    <t>Cooperativas 2018-Inversiones en Infraestructura Fisica y Tecnologica</t>
  </si>
  <si>
    <t>Convenio Interadministrativo número 2114 del 10 de Junio de 2019</t>
  </si>
  <si>
    <t>Convenio Interadministrativo número 2176 del 19 de Junio de 2019</t>
  </si>
  <si>
    <t>Convenio 1012019 Acuerdo Cooperativo CODHES</t>
  </si>
  <si>
    <t>Estudio de la Calidad del Agua del Rio Vallenatos en el Tramo el Porvenir-Murillo Tolima</t>
  </si>
  <si>
    <t>Recursos del Balance CURDN</t>
  </si>
  <si>
    <t>Convenio Interadministrativo No. 942-2015 Politica Publico Minera</t>
  </si>
  <si>
    <t>Convenio Inteadminsitrativo No. 0666 2019</t>
  </si>
  <si>
    <t>Dotacion Edificion de Aulas</t>
  </si>
  <si>
    <t>Adecuación Insfraestructura Fisica</t>
  </si>
  <si>
    <t>Emisora Institucional</t>
  </si>
  <si>
    <t>Adición Contrato 274 -19 construccion PSS</t>
  </si>
  <si>
    <t>Fase II Infraestructura Tecnologica</t>
  </si>
  <si>
    <t>Construcción entrada Principal y  Bulevar</t>
  </si>
  <si>
    <t>Dotacion Edificio de Aulas</t>
  </si>
  <si>
    <t>SALDO DISPONIBLE</t>
  </si>
  <si>
    <t>PRESUPUESTO INICIAL</t>
  </si>
  <si>
    <t>REDUCCIONES</t>
  </si>
  <si>
    <t>PRESUPUESTO DEFINITIVO</t>
  </si>
  <si>
    <t>PAC-     ACUMULADO</t>
  </si>
  <si>
    <t>RECAUDOS MES</t>
  </si>
  <si>
    <t>RECAUDOS ACUMULADO</t>
  </si>
  <si>
    <t>SALDO     POR  RECAUDAR</t>
  </si>
  <si>
    <t>% Recaudo</t>
  </si>
  <si>
    <t>PRESUPUESTO DE 'INGRESOS</t>
  </si>
  <si>
    <t>11</t>
  </si>
  <si>
    <t>INGRESOS CORRIENTES</t>
  </si>
  <si>
    <t>112</t>
  </si>
  <si>
    <t>Ingresos No Tributarios</t>
  </si>
  <si>
    <t>1125</t>
  </si>
  <si>
    <t>Venta de Bienes y Servicios</t>
  </si>
  <si>
    <t>11251</t>
  </si>
  <si>
    <t>Ventas de establecimientos de mercado</t>
  </si>
  <si>
    <t>1125110</t>
  </si>
  <si>
    <t>Servicios para la comunidad sociales y personales</t>
  </si>
  <si>
    <t>11251101</t>
  </si>
  <si>
    <t>Servicios de Educación</t>
  </si>
  <si>
    <t>112511011</t>
  </si>
  <si>
    <t>Servicios de Educación (Terciaria)</t>
  </si>
  <si>
    <t>1125110111</t>
  </si>
  <si>
    <t>Servicios de Educación (Terciaria) Nivel Pregrado</t>
  </si>
  <si>
    <t>11251101111</t>
  </si>
  <si>
    <t>Servicios de Educación Superior (Terciaria) Nivel Pregrado Universitaria</t>
  </si>
  <si>
    <t>112511011111</t>
  </si>
  <si>
    <t>Inscripciones</t>
  </si>
  <si>
    <t>112511011112</t>
  </si>
  <si>
    <t>Matriculas</t>
  </si>
  <si>
    <t>112511011113</t>
  </si>
  <si>
    <t>Continuidad Académica</t>
  </si>
  <si>
    <t>112511011114</t>
  </si>
  <si>
    <t>Derechos de grado</t>
  </si>
  <si>
    <t>112511011115</t>
  </si>
  <si>
    <t>Carnet</t>
  </si>
  <si>
    <t>112511011116</t>
  </si>
  <si>
    <t>Hojas de Vida</t>
  </si>
  <si>
    <t>112511011117</t>
  </si>
  <si>
    <t>Biblioteca</t>
  </si>
  <si>
    <t>112511011118</t>
  </si>
  <si>
    <t>Actas de Grado</t>
  </si>
  <si>
    <t>112511011119</t>
  </si>
  <si>
    <t>Supletorios Y Validaciones</t>
  </si>
  <si>
    <t>1125110111110</t>
  </si>
  <si>
    <t>Convocatoria Institucional</t>
  </si>
  <si>
    <t>1125110111111</t>
  </si>
  <si>
    <t>Seminarios de Profundización</t>
  </si>
  <si>
    <t>1125110111112</t>
  </si>
  <si>
    <t>Cursos Regulares y de Extensión</t>
  </si>
  <si>
    <t>1125110112</t>
  </si>
  <si>
    <t>Servicios de Educación Superior (Terciaria) Nivel Posgrado</t>
  </si>
  <si>
    <t>11251101121</t>
  </si>
  <si>
    <t>Nivel Posgrados en Especialización</t>
  </si>
  <si>
    <t>112511011211</t>
  </si>
  <si>
    <t>112511011212</t>
  </si>
  <si>
    <t>112511011213</t>
  </si>
  <si>
    <t>Seminarios</t>
  </si>
  <si>
    <t>112511011214</t>
  </si>
  <si>
    <t>Cursos Tutoriales</t>
  </si>
  <si>
    <t>112511011215</t>
  </si>
  <si>
    <t>11251101122</t>
  </si>
  <si>
    <t>Nivel Posgrados en Maestria</t>
  </si>
  <si>
    <t>112511011221</t>
  </si>
  <si>
    <t>112511011222</t>
  </si>
  <si>
    <t>112511011223</t>
  </si>
  <si>
    <t>112511011224</t>
  </si>
  <si>
    <t>11251101123</t>
  </si>
  <si>
    <t>Nivel Posgrados en Posdoctorado y Doctorado</t>
  </si>
  <si>
    <t>112511011231</t>
  </si>
  <si>
    <t>DOCTORADO EN CIENCIAS BIOLOGICAS</t>
  </si>
  <si>
    <t>112511011232</t>
  </si>
  <si>
    <t>DOCTORADO EN EDUCACIÓN</t>
  </si>
  <si>
    <t>112511011233</t>
  </si>
  <si>
    <t>DOCTORADO EN PLANIFICACIÓN Y MANEJO AMBIENTAL DE CUENCAS HIDRIGRAFICAS</t>
  </si>
  <si>
    <t>112511011234</t>
  </si>
  <si>
    <t>DOCTORADO EN CIENCIAS AGRARIAS</t>
  </si>
  <si>
    <t>112511011235</t>
  </si>
  <si>
    <t>DOCTORADO EN CIENCIAS BIOMEDICAS</t>
  </si>
  <si>
    <t>1125110113</t>
  </si>
  <si>
    <t>Otros Tipos De Educación Y Servicios De Apoyo Educativo (Educación Continuada)</t>
  </si>
  <si>
    <t>11251101131</t>
  </si>
  <si>
    <t>CURSOS LIBRES MVZ</t>
  </si>
  <si>
    <t>CURSOS LIBRES ING. FORESTAL</t>
  </si>
  <si>
    <t>CURSOS LIBRES MVZ ING. AGRONOMICA</t>
  </si>
  <si>
    <t>CURSOS LIBRES  FACEA</t>
  </si>
  <si>
    <t>CURSOS LIBRES  FAC.EDUCACION</t>
  </si>
  <si>
    <t>CURSOS LIBRES FAC. CIENCIAS BÁSICAS</t>
  </si>
  <si>
    <t>CURSOS LIBRES FAC. DE SALUD</t>
  </si>
  <si>
    <t>CURSO NIVEL INTRODUCTORIO</t>
  </si>
  <si>
    <t>EXAMENES APTITUD FISICA</t>
  </si>
  <si>
    <t>112511011310</t>
  </si>
  <si>
    <t>CONVENIO INTERADMINISTRATIVO</t>
  </si>
  <si>
    <t>112511011311</t>
  </si>
  <si>
    <t>CURSOS LIBRES  FAC. TECNOLOGIAS</t>
  </si>
  <si>
    <t>112511011312</t>
  </si>
  <si>
    <t>CURSOS LIBRES FAC.CIENCIAS HUMANAS Y ARTES</t>
  </si>
  <si>
    <t>112511011313</t>
  </si>
  <si>
    <t>CURSOS LIBRES  IDEAD</t>
  </si>
  <si>
    <t>112511011314</t>
  </si>
  <si>
    <t>DIMPLOMADOS MVZ</t>
  </si>
  <si>
    <t>112511011315</t>
  </si>
  <si>
    <t>DIMPLOMADOS ING.FORESTAL</t>
  </si>
  <si>
    <t>112511011316</t>
  </si>
  <si>
    <t>DIMPLOMADOS ING.AGRONOMICA</t>
  </si>
  <si>
    <t>112511011317</t>
  </si>
  <si>
    <t>DIMPLOMADOS FACEA</t>
  </si>
  <si>
    <t>112511011318</t>
  </si>
  <si>
    <t>DIMPLOMADOS FAC. EDUCACION</t>
  </si>
  <si>
    <t>112511011319</t>
  </si>
  <si>
    <t xml:space="preserve">CENTRO DE IDIOMAS </t>
  </si>
  <si>
    <t>112511011320</t>
  </si>
  <si>
    <t>DIMPLOMADOS FAC. CIENCIAS BASICAS</t>
  </si>
  <si>
    <t>112511011321</t>
  </si>
  <si>
    <t>DIMPLOMADOS FAC. SALUD</t>
  </si>
  <si>
    <t>112511011322</t>
  </si>
  <si>
    <t>DIMPLOMADOS FAC. TÉCNOLOGIAS</t>
  </si>
  <si>
    <t>112511011323</t>
  </si>
  <si>
    <t>DIMPLOMADOS FAC. CIENCIAS HUMANAS Y ARTES</t>
  </si>
  <si>
    <t>112511011324</t>
  </si>
  <si>
    <t>Museo Antropolico</t>
  </si>
  <si>
    <t>112511011325</t>
  </si>
  <si>
    <t>DIMPLOMADOS IDEAD</t>
  </si>
  <si>
    <t>112511011326</t>
  </si>
  <si>
    <t>LABORATORIO DE DIAGNOSTICO VETERINARIO</t>
  </si>
  <si>
    <t>112511011327</t>
  </si>
  <si>
    <t>LABORATORIO LASEREX</t>
  </si>
  <si>
    <t>112511011328</t>
  </si>
  <si>
    <t>CURSO INTRODUCTORIO</t>
  </si>
  <si>
    <t>112511011329</t>
  </si>
  <si>
    <t>PRESTAMOS DE LABORATORIOS</t>
  </si>
  <si>
    <t>112511011330</t>
  </si>
  <si>
    <t>DIPLOMADO EN ESTADISTICA</t>
  </si>
  <si>
    <t>112511011331</t>
  </si>
  <si>
    <t>UNIDAD DE ASESORIA DE ESTADISTICA</t>
  </si>
  <si>
    <t>112511011332</t>
  </si>
  <si>
    <t>ENCUENTRO DE MATEMATICAS</t>
  </si>
  <si>
    <t>112511011333</t>
  </si>
  <si>
    <t>LABORATORIO DE MADERAS FAC. ING.FORESTAL</t>
  </si>
  <si>
    <t>112511011334</t>
  </si>
  <si>
    <t>SERVICIOS CENTRO FORESLTA BAJO CALIMA</t>
  </si>
  <si>
    <t>112511011335</t>
  </si>
  <si>
    <t>SEMINARIO</t>
  </si>
  <si>
    <t>112517</t>
  </si>
  <si>
    <t>Servicios de alojamiento; servicios de suministro de comidas y bebidas; servicios de trans</t>
  </si>
  <si>
    <t>1125171</t>
  </si>
  <si>
    <t>Alojamiento; Servicios De Suministros De Comidas Y Bebidas</t>
  </si>
  <si>
    <t>11251711</t>
  </si>
  <si>
    <t>Servicios De Suministro De Comidas (Restaurante Universitario)</t>
  </si>
  <si>
    <t>11252</t>
  </si>
  <si>
    <t>Ventas incidentales de establecimientos no de mercado (CURDN)</t>
  </si>
  <si>
    <t>112521</t>
  </si>
  <si>
    <t>Agricultura silvicultura y productos de la pesca</t>
  </si>
  <si>
    <t>1125211</t>
  </si>
  <si>
    <t>11252111</t>
  </si>
  <si>
    <t>11252112</t>
  </si>
  <si>
    <t>11252113</t>
  </si>
  <si>
    <t>11252114</t>
  </si>
  <si>
    <t>11252119</t>
  </si>
  <si>
    <t>1125212</t>
  </si>
  <si>
    <t>11252121</t>
  </si>
  <si>
    <t>112521211</t>
  </si>
  <si>
    <t>112521212</t>
  </si>
  <si>
    <t>112521213</t>
  </si>
  <si>
    <t>112521214</t>
  </si>
  <si>
    <t>112521215</t>
  </si>
  <si>
    <t>112521216</t>
  </si>
  <si>
    <t>112521217</t>
  </si>
  <si>
    <t>112528</t>
  </si>
  <si>
    <t>Servicios financieros y servicios conexos servicios inmobiliarios y servicios de leasing (</t>
  </si>
  <si>
    <t>1125281</t>
  </si>
  <si>
    <t>SERVICIOS INMOBILIARIOS RELATIVOS A BIENES RAÍCES PROPIOS O ARRENDADOS (Arrendamiento Gran</t>
  </si>
  <si>
    <t>112529</t>
  </si>
  <si>
    <t xml:space="preserve">Servicios prestados a las empresas y servicios de producción </t>
  </si>
  <si>
    <t>1125291</t>
  </si>
  <si>
    <t>Servicios De Investigación Y Desarrollo</t>
  </si>
  <si>
    <t>1125293</t>
  </si>
  <si>
    <t>Otros Servicios Profesionales, Científicos Y Técnico</t>
  </si>
  <si>
    <t>11252935</t>
  </si>
  <si>
    <t>Servicios Veterinarios</t>
  </si>
  <si>
    <t>112529351</t>
  </si>
  <si>
    <t>Clínica de Pequeños Animales</t>
  </si>
  <si>
    <t>112529352</t>
  </si>
  <si>
    <t>Hospital veterinario MVZ</t>
  </si>
  <si>
    <t>1125293521</t>
  </si>
  <si>
    <t>Servicio de consulta externa</t>
  </si>
  <si>
    <t>1125293522</t>
  </si>
  <si>
    <t>Servicio de Internación</t>
  </si>
  <si>
    <t>1125293523</t>
  </si>
  <si>
    <t>Servicio de  Imágenes Diagnosticas</t>
  </si>
  <si>
    <t>1125293524</t>
  </si>
  <si>
    <t>Servicio de Cardiología</t>
  </si>
  <si>
    <t>1125293525</t>
  </si>
  <si>
    <t>Servicio de Laboratorio Clínico</t>
  </si>
  <si>
    <t>1125293526</t>
  </si>
  <si>
    <t>Servicio de Unidad Quirúrgica</t>
  </si>
  <si>
    <t>1125293527</t>
  </si>
  <si>
    <t>Almacén</t>
  </si>
  <si>
    <t>1125293528</t>
  </si>
  <si>
    <t>Eventos Médicos</t>
  </si>
  <si>
    <t>1125293529</t>
  </si>
  <si>
    <t>Servicio de Patología</t>
  </si>
  <si>
    <t>11252935210</t>
  </si>
  <si>
    <t>Programas de Educación Continua</t>
  </si>
  <si>
    <t>11252935211</t>
  </si>
  <si>
    <t>Estancias</t>
  </si>
  <si>
    <t>11252935212</t>
  </si>
  <si>
    <t>Convenios</t>
  </si>
  <si>
    <t>112529353</t>
  </si>
  <si>
    <t>Otros Servicios Profesionales Y Técnicos N.C.P</t>
  </si>
  <si>
    <t>1126</t>
  </si>
  <si>
    <t>TRANSFERENCIAS CORRIENTES</t>
  </si>
  <si>
    <t>11261</t>
  </si>
  <si>
    <t>Transferencias de unidades del presupuesto general del sector público</t>
  </si>
  <si>
    <t>112611</t>
  </si>
  <si>
    <t>APORTES NACIÓN</t>
  </si>
  <si>
    <t>1126111</t>
  </si>
  <si>
    <t>Articulo 86 ley 30-1992</t>
  </si>
  <si>
    <t>1126113</t>
  </si>
  <si>
    <t>Descuento votaciones (Ley 403-1997)</t>
  </si>
  <si>
    <t>1126114</t>
  </si>
  <si>
    <t>Indicadores de Gestión</t>
  </si>
  <si>
    <t>1126115</t>
  </si>
  <si>
    <t>Estampilla Pro UNAL</t>
  </si>
  <si>
    <t>1126116</t>
  </si>
  <si>
    <t>Recursos Inversión (Transferencia Renta)</t>
  </si>
  <si>
    <t>1126117</t>
  </si>
  <si>
    <t>Articulo 86 ley 30-1992 - Gobernación del Tolima</t>
  </si>
  <si>
    <t>1126118</t>
  </si>
  <si>
    <t>Participacion en Impuestos Tributarios y no Tributarios</t>
  </si>
  <si>
    <t>11261181</t>
  </si>
  <si>
    <t>Estampillas</t>
  </si>
  <si>
    <t>112611811</t>
  </si>
  <si>
    <t>Estampilla pro Universidad del Tolima</t>
  </si>
  <si>
    <t>1126118111</t>
  </si>
  <si>
    <t>Gobernación del Tolima</t>
  </si>
  <si>
    <t>1126118112</t>
  </si>
  <si>
    <t>Municipio de Ibagué</t>
  </si>
  <si>
    <t>1126118113</t>
  </si>
  <si>
    <t>Rendimientos Financieros</t>
  </si>
  <si>
    <t>112612</t>
  </si>
  <si>
    <t>De otras unidades de gobierno</t>
  </si>
  <si>
    <t>1126123</t>
  </si>
  <si>
    <t>DEVOLUCIÓN IVA- INSTITUCIONES DE EDUCACIÓN SUPERIOR</t>
  </si>
  <si>
    <t>11267</t>
  </si>
  <si>
    <t>RECURSOS DE TERCEROS</t>
  </si>
  <si>
    <t>1126701</t>
  </si>
  <si>
    <t>EN CONSIGNACION</t>
  </si>
  <si>
    <t>112670101</t>
  </si>
  <si>
    <t>Convenios con Entidades Externas</t>
  </si>
  <si>
    <t>CONVENIO Interadministrativo 2114-2019</t>
  </si>
  <si>
    <t>12</t>
  </si>
  <si>
    <t>RECURSOS DE CAPITAL</t>
  </si>
  <si>
    <t>121</t>
  </si>
  <si>
    <t>RECURSOS DE BALANCE</t>
  </si>
  <si>
    <t>12102</t>
  </si>
  <si>
    <t>Superavit Fiscal</t>
  </si>
  <si>
    <t>126</t>
  </si>
  <si>
    <t>RENDIMIENTOS FINANCIEROS</t>
  </si>
  <si>
    <t>12622</t>
  </si>
  <si>
    <t>DEPÓSITOS</t>
  </si>
  <si>
    <t>1262201</t>
  </si>
  <si>
    <t>Rendimientos Proyectos Especiales</t>
  </si>
  <si>
    <t>1262202</t>
  </si>
  <si>
    <t>Rendimientos Convenios</t>
  </si>
  <si>
    <t>1262203</t>
  </si>
  <si>
    <t>Rendimientos CREE</t>
  </si>
  <si>
    <t>1262204</t>
  </si>
  <si>
    <t>Rendimientos Pro UNAL</t>
  </si>
  <si>
    <t>1262205</t>
  </si>
  <si>
    <t>Rendimientos Pro UT</t>
  </si>
  <si>
    <t>1262206</t>
  </si>
  <si>
    <t>Rendimientos Recursos de Inversión PFC</t>
  </si>
  <si>
    <t>1262207</t>
  </si>
  <si>
    <t>Rendimientos Proyectos Cooperativas</t>
  </si>
  <si>
    <t>1262208</t>
  </si>
  <si>
    <t>Rendimientos Fondos Comunes</t>
  </si>
  <si>
    <t>1262209</t>
  </si>
  <si>
    <t>Rendimientos Convenios Investigaciones</t>
  </si>
  <si>
    <t>1262210</t>
  </si>
  <si>
    <t>Rendimientos Doctorados</t>
  </si>
  <si>
    <t>1262211</t>
  </si>
  <si>
    <t>Rendimientos Investigaciones</t>
  </si>
  <si>
    <t>PPTO DEFINITIVO</t>
  </si>
  <si>
    <t>SALDO POR COMPROMETER</t>
  </si>
  <si>
    <t>CUENTA X PAGAR</t>
  </si>
  <si>
    <t>CDP´S  X COMPROMETER</t>
  </si>
  <si>
    <t>TOTAL PAC</t>
  </si>
  <si>
    <t>Sueldo Básico</t>
  </si>
  <si>
    <t>Horas Extras Dominicales Festivos Y Recargos</t>
  </si>
  <si>
    <t>Gastos De Representación</t>
  </si>
  <si>
    <t>Subsidio De Alimentación</t>
  </si>
  <si>
    <t>Auxilio De Transporte</t>
  </si>
  <si>
    <t>Prima De Servicio</t>
  </si>
  <si>
    <t>Bonificación Por Servicios Prestados</t>
  </si>
  <si>
    <t>Prima De Navidad</t>
  </si>
  <si>
    <t>Prima De Vacaciones</t>
  </si>
  <si>
    <t>Prima Técnica Salarial</t>
  </si>
  <si>
    <t>Beneficios A Los Empleados A Corto Plazo</t>
  </si>
  <si>
    <t xml:space="preserve">Bonificación Cuerpo De Custodia Y Vigilancia </t>
  </si>
  <si>
    <t>Quinquenios</t>
  </si>
  <si>
    <t>Aportes A La Seguridad Social En Pensiones</t>
  </si>
  <si>
    <t>Aportes A La Seguridad Social En Salud</t>
  </si>
  <si>
    <t xml:space="preserve">Aportes De Cesantías </t>
  </si>
  <si>
    <t>Aportes A Cajas De Compensación Familiar</t>
  </si>
  <si>
    <t>Aportes Generales Al Sistema De Riesgos Laborales</t>
  </si>
  <si>
    <t>Bonificación De Dirección</t>
  </si>
  <si>
    <t>Beneficios A Los Empleados A Largo Plazo</t>
  </si>
  <si>
    <t>Subsidio De Anteojos</t>
  </si>
  <si>
    <t>Viáticos De Los Funcionarios En Comisión</t>
  </si>
  <si>
    <t>Pensiones</t>
  </si>
  <si>
    <t>Salud</t>
  </si>
  <si>
    <t>Cajas De Compensación Familiar</t>
  </si>
  <si>
    <t>Obras Para La Comunicación De Larga Distancia Y Las Líneas Eléctricas (Cables)</t>
  </si>
  <si>
    <t>Cables Locales Y Obras Conexas</t>
  </si>
  <si>
    <t>Otras Máquinas Para Usos Generales Y Sus Partes Y Piezas</t>
  </si>
  <si>
    <t>Máquinas Herramientas Y Sus Partes Piezas Y Accesorios</t>
  </si>
  <si>
    <t>Otra Maquinaria Para Usos Especiales Y Sus Partes Y Piezas</t>
  </si>
  <si>
    <t>Máquinas Para Oficina Y Contabilidad Y Sus Partes Y Accesorios</t>
  </si>
  <si>
    <t>Maquinaria De Informática Y Sus Partes Piezas Y Accesorios</t>
  </si>
  <si>
    <t>Aparatos De Control Eléctrico Y Distribución De Electricidad Y Sus Partes Y Piezas</t>
  </si>
  <si>
    <t>Otro Equipo Eléctrico Y Sus Partes Y Piezas</t>
  </si>
  <si>
    <t>Acumuladores Pilas Y Baterías Primarias Y Sus Partes Y Piezas</t>
  </si>
  <si>
    <t>Válvulas Y Tubos Electrónicos; Componentes Electrónicos; Sus Partes Y Piezas</t>
  </si>
  <si>
    <t>Aparatos Transmisores De Televisión Y Radio; Televisión Video Y Cámaras Digitales; Teléfono</t>
  </si>
  <si>
    <t>Instrumentos Y Aparatos De Medición Verificación Análisis De Navegación Y Para Otros Fines</t>
  </si>
  <si>
    <t>Vehículos Automotores Remolques Y Semirremolques; Y Sus Partes Piezas Y Accesorios</t>
  </si>
  <si>
    <t>Paquetes De Software</t>
  </si>
  <si>
    <t>Asientos</t>
  </si>
  <si>
    <t>Muebles Del Tipo Utilizado En Oficinas</t>
  </si>
  <si>
    <t>Otros Muebles N.C.P.</t>
  </si>
  <si>
    <t>Tierras Y Terrenos</t>
  </si>
  <si>
    <t>Cereales</t>
  </si>
  <si>
    <t>Hortalizas</t>
  </si>
  <si>
    <t>Frutas Y Nueces</t>
  </si>
  <si>
    <t>Animales Vivos</t>
  </si>
  <si>
    <t>Bovinos Vivos</t>
  </si>
  <si>
    <t>Otros Rumiantes</t>
  </si>
  <si>
    <t>Caballos Y Otros Équidos</t>
  </si>
  <si>
    <t>Ganado Porcino</t>
  </si>
  <si>
    <t>Aves De Corral</t>
  </si>
  <si>
    <t>Leche Cruda</t>
  </si>
  <si>
    <t>Huevos De Gallina O De Otras Aves Con Cáscara Frescos</t>
  </si>
  <si>
    <t>Energía Eléctrica</t>
  </si>
  <si>
    <t>Agua Natural</t>
  </si>
  <si>
    <t>Azúcar</t>
  </si>
  <si>
    <t>Productos Del Café</t>
  </si>
  <si>
    <t>Otros Productos Alimenticios N.C.P.</t>
  </si>
  <si>
    <t>Dotación (Prendas De Vestir Y Calzado)</t>
  </si>
  <si>
    <t>Pasta De Papel  Y Cartón</t>
  </si>
  <si>
    <t xml:space="preserve">Libros Impresos </t>
  </si>
  <si>
    <t>Diarios Revistas Y Publicaciones Periódicas Publicados Por Lo Menos Cuatro Veces Por Semana</t>
  </si>
  <si>
    <t>Diarios Revistas Y Publicaciones Periódicas Publicados Menos De Cuatro Veces Por Semana</t>
  </si>
  <si>
    <t xml:space="preserve">Sellos Chequeras Billetes De Banco Títulos De Acciones Catálogos Y Folletos Material Para </t>
  </si>
  <si>
    <t>Gas De Petróleo Y Otros Hidrocarburos Gaseosos (Excepto Gas Natural)</t>
  </si>
  <si>
    <t xml:space="preserve">Químicos Orgánicos Básicos </t>
  </si>
  <si>
    <t>Productos Químicos Inorgánicos Básicos N.C.P.</t>
  </si>
  <si>
    <t>Productos Químicos Básicos Diversos</t>
  </si>
  <si>
    <t>Pinturas Y Barnices Y Productos Relacionados; Colores Para La Pintura Artística; Tintas</t>
  </si>
  <si>
    <t>Productos Farmacéuticos</t>
  </si>
  <si>
    <t>Productos De Empaque Y Envasado De Plástico</t>
  </si>
  <si>
    <t>Otros Productos Plásticos</t>
  </si>
  <si>
    <t>Servicios De Alojamiento Para Estancias Cortas</t>
  </si>
  <si>
    <t>Otros Servicios De Alojamiento</t>
  </si>
  <si>
    <t>Servicios De Suministro De Comidas</t>
  </si>
  <si>
    <t>Servicios De Transporte De Pasajeros</t>
  </si>
  <si>
    <t>Servicios Postales Y De Mensajería</t>
  </si>
  <si>
    <t>Otros Servicios Financieros Excepto Los Servicios De La Banca De Inversión Servicios De Se</t>
  </si>
  <si>
    <t>Servicios De Seguros Vida (Con Exclusión De Los Servicios De Reaseguro)</t>
  </si>
  <si>
    <t>Otros Servicios De Seguros Distintos De Los Seguros De Vida N.C.P.</t>
  </si>
  <si>
    <t>Gastos Financieros Y Comisiones Bancarias</t>
  </si>
  <si>
    <t>Servicios De Alquiler O Arrendamiento Con O Sin Opción De Compra Relativos A Bienes Inmuebles</t>
  </si>
  <si>
    <t>Servicios Jurídicos</t>
  </si>
  <si>
    <t>Servicios Veterinarios (OPS Hospital MVZ)</t>
  </si>
  <si>
    <t>Servicios De Publicidad Y El Suministro De Espacio O Tiempo Publicitarios</t>
  </si>
  <si>
    <t>Otros Servicios Profesionales Y Técnicos N.C.P.</t>
  </si>
  <si>
    <t>Servicios De Telecomunicaciones A Través De Internet</t>
  </si>
  <si>
    <t>Servicios De Bibliotecas Y Archivos</t>
  </si>
  <si>
    <t>Servicios De Investigación Y Seguridad</t>
  </si>
  <si>
    <t>Servicios De Apoyo A La Distribución De Electricidad Gas Y Agua</t>
  </si>
  <si>
    <t>Servicios De Mantenimiento Y Reparación De Maquinaria De Oficina Y Contabilidad</t>
  </si>
  <si>
    <t xml:space="preserve">Servicio de instalación de equipos: aparatos de radio. Televisión y comunicación </t>
  </si>
  <si>
    <t>Servicios de mantenimiento, reparación e instalación (excepto serv. De construcción)</t>
  </si>
  <si>
    <t>Servicios De Edición Impresión Y Reproducción</t>
  </si>
  <si>
    <t xml:space="preserve">Servicios De Educación Superior (Terciaria) </t>
  </si>
  <si>
    <t>Otros Tipos De Educación Y Servicios De Apoyo Educativo</t>
  </si>
  <si>
    <t>Servicios De Alcantarillado Servicios De Limpieza Tratamiento De Aguas Residuales Y Tanque</t>
  </si>
  <si>
    <t>Otros Servicios De Protección Del Medio Ambiente N.C.P.</t>
  </si>
  <si>
    <t>Servicios Proporcionados Por Otras Asociaciones</t>
  </si>
  <si>
    <t>Servicios De Lavado Limpieza Y Teñido</t>
  </si>
  <si>
    <t>Servicios De Tratamientos De Belleza Y De Bienestar Físico</t>
  </si>
  <si>
    <t>Servicios Funerarios De Cremación Y De Sepultura</t>
  </si>
  <si>
    <t>Otros Servicios Diversos N.C.P.</t>
  </si>
  <si>
    <t>Pago De Cesantías</t>
  </si>
  <si>
    <t>Impuesto Predial Y Sobretasa Ambiental</t>
  </si>
  <si>
    <t>Cuota De Fiscalización Y Auditaje</t>
  </si>
  <si>
    <t>Ampliación Planta Docente</t>
  </si>
  <si>
    <t>Acreditación De Alta Calidad De Programas Académicos</t>
  </si>
  <si>
    <t>Gobernación Del Tolima</t>
  </si>
  <si>
    <t>Otros Fondos</t>
  </si>
  <si>
    <t>Grupos De Investigación</t>
  </si>
  <si>
    <t>Trabajos De Grado Y Semilleros</t>
  </si>
  <si>
    <t>Proyectos De Investigación Ejecución, Fomento Y Admon</t>
  </si>
  <si>
    <t>Movilidad Académica E Investigativa</t>
  </si>
  <si>
    <t>Regionalización</t>
  </si>
  <si>
    <t>Fortalecimiento De Vínculos Con Los Graduados</t>
  </si>
  <si>
    <t>Acompañamiento A Actores Sociales Para La Gestión De Conflictos Ambientales</t>
  </si>
  <si>
    <t>Sistema De Planificación Institucional</t>
  </si>
  <si>
    <t>Sistema De Comunicación Y Medios</t>
  </si>
  <si>
    <t>Plan Estratégico De Gestión De Tic</t>
  </si>
  <si>
    <t>Sistema De Gestión Integrada</t>
  </si>
  <si>
    <t>Aportes Al ICBF</t>
  </si>
  <si>
    <t>Prima De Clima O Prima De Calor</t>
  </si>
  <si>
    <t>Lámparas Eléctricas De Incandescencia O Descarga; Lámparas De Arco Equipo Para Alumbrado E</t>
  </si>
  <si>
    <t xml:space="preserve">Radiorreceptores Y Receptores De Televisión; Aparatos Para La Grabación Y Reproducción </t>
  </si>
  <si>
    <t xml:space="preserve">Productos De Forraje Fibras Plantas Vivas Flores Y Capullos De Flores Tabaco En Rama </t>
  </si>
  <si>
    <t>Libros De Registros Libros De Contabilidad Cuadernillos De Notas Bloques Para Cartas Agenda</t>
  </si>
  <si>
    <t>Tipos De Imprenta Planchas O Cilindros Preparados Para Las Artes Gráficas Piedras Litográficas</t>
  </si>
  <si>
    <t>Servicio De Arrendamiento De Bienes Inmuebles A Comisión O Por Contratación</t>
  </si>
  <si>
    <t>Servicio De Venta De Bienes Inmuebles A Comisión O Por Contratación</t>
  </si>
  <si>
    <t xml:space="preserve">Servicios De Suministro De Infraestructura De Hosting Y De Tecnología De La Información </t>
  </si>
  <si>
    <t>Servicios Proporcionados Por Organizaciones Gremiales Comerciales Y Organizaciones De Empleados</t>
  </si>
  <si>
    <t>Estimulos A La Formación</t>
  </si>
  <si>
    <t>recursos CREE</t>
  </si>
  <si>
    <t>Doctorado en Ciencias Biológicas</t>
  </si>
  <si>
    <t>Doctorado en Ciencias de la Educación</t>
  </si>
  <si>
    <t>Doctorado en Planificación y Manejo Ambiental de Cuencas</t>
  </si>
  <si>
    <t>Doctorado en Ciencias Biomédicas</t>
  </si>
  <si>
    <t>UT solidaria</t>
  </si>
  <si>
    <t>Código</t>
  </si>
  <si>
    <t>Nombre</t>
  </si>
  <si>
    <t>Saldo</t>
  </si>
  <si>
    <t>PAC Enero</t>
  </si>
  <si>
    <t>PAC Febrero</t>
  </si>
  <si>
    <t>PAC Marzo</t>
  </si>
  <si>
    <t>PAC Abril</t>
  </si>
  <si>
    <t>PAC Mayo</t>
  </si>
  <si>
    <t>PAC Junio</t>
  </si>
  <si>
    <t>PAC julio</t>
  </si>
  <si>
    <t>PAC Agosto</t>
  </si>
  <si>
    <t>PAC Septiembre</t>
  </si>
  <si>
    <t>PAC Octubre</t>
  </si>
  <si>
    <t>PAC Noviembre</t>
  </si>
  <si>
    <t>PAC Diciembre</t>
  </si>
  <si>
    <t>TOTAL</t>
  </si>
  <si>
    <t>PRESUPUESTO DE INGRESOS</t>
  </si>
  <si>
    <t>2</t>
  </si>
  <si>
    <t>SUELDO BÁSICO</t>
  </si>
  <si>
    <t>HORAS EXTRAS DOMINICALES FESTIVOS Y RECARGOS</t>
  </si>
  <si>
    <t>GASTOS DE REPRESENTACIÓN</t>
  </si>
  <si>
    <t>SUBSIDIO DE ALIMENTACIÓN</t>
  </si>
  <si>
    <t>AUXILIO DE TRANSPORTE</t>
  </si>
  <si>
    <t>PRIMA DE SERVICIO</t>
  </si>
  <si>
    <t>BONIFICACIÓN POR SERVICIOS PRESTADOS</t>
  </si>
  <si>
    <t>PRIMA DE NAVIDAD</t>
  </si>
  <si>
    <t>PRIMA DE VACACIONES</t>
  </si>
  <si>
    <t>PRIMA TÉCNICA SALARIAL</t>
  </si>
  <si>
    <t>BENEFICIOS A LOS EMPLEADOS A CORTO PLAZO</t>
  </si>
  <si>
    <t xml:space="preserve">BONIFICACIÓN CUERPO DE CUSTODIA Y VIGILANCIA </t>
  </si>
  <si>
    <t>QUINQUENIOS</t>
  </si>
  <si>
    <t>APORTES A LA SEGURIDAD SOCIAL EN PENSIONES</t>
  </si>
  <si>
    <t>APORTES A LA SEGURIDAD SOCIAL EN SALUD</t>
  </si>
  <si>
    <t xml:space="preserve">APORTES DE CESANTÍAS </t>
  </si>
  <si>
    <t>APORTES A CAJAS DE COMPENSACIÓN FAMILIAR</t>
  </si>
  <si>
    <t>APORTES GENERALES AL SISTEMA DE RIESGOS LABORALES</t>
  </si>
  <si>
    <t>APORTES AL ICBF</t>
  </si>
  <si>
    <t>PRIMA DE CLIMA O PRIMA DE CALOR</t>
  </si>
  <si>
    <t>BONIFICACIÓN DE DIRECCIÓN</t>
  </si>
  <si>
    <t>BENEFICIOS A LOS EMPLEADOS A LARGO PLAZO</t>
  </si>
  <si>
    <t>SUBSIDIO DE ANTEOJOS</t>
  </si>
  <si>
    <t>PENSIONES</t>
  </si>
  <si>
    <t>SALUD</t>
  </si>
  <si>
    <t>CAJAS DE COMPENSACIÓN FAMILIAR</t>
  </si>
  <si>
    <t>OBRAS PARA LA COMUNICACIÓN DE LARGA DISTANCIA Y LAS LÍNEAS ELÉCTRICAS (CABLES)</t>
  </si>
  <si>
    <t>CABLES LOCALES Y OBRAS CONEXAS</t>
  </si>
  <si>
    <t>OTRAS MÁQUINAS PARA USOS GENERALES Y SUS PARTES Y PIEZAS</t>
  </si>
  <si>
    <t>MÁQUINAS HERRAMIENTAS Y SUS PARTES PIEZAS Y ACCESORIOS</t>
  </si>
  <si>
    <t>OTRA MAQUINARIA PARA USOS ESPECIALES Y SUS PARTES Y PIEZAS</t>
  </si>
  <si>
    <t>MÁQUINAS PARA OFICINA Y CONTABILIDAD Y SUS PARTES Y ACCESORIOS</t>
  </si>
  <si>
    <t>MAQUINARIA DE INFORMÁTICA Y SUS PARTES PIEZAS Y ACCESORIOS</t>
  </si>
  <si>
    <t>APARATOS DE CONTROL ELÉCTRICO Y DISTRIBUCIÓN DE ELECTRICIDAD Y SUS PARTES Y PIEZAS</t>
  </si>
  <si>
    <t>OTRO EQUIPO ELÉCTRICO Y SUS PARTES Y PIEZAS</t>
  </si>
  <si>
    <t>LÁMPARAS ELÉCTRICAS DE INCANDESCENCIA O DESCARGA; LÁMPARAS DE ARCO EQUIPO PARA ALUMBRADO E</t>
  </si>
  <si>
    <t>VÁLVULAS Y TUBOS ELECTRÓNICOS; COMPONENTES ELECTRÓNICOS; SUS PARTES Y PIEZAS</t>
  </si>
  <si>
    <t>APARATOS TRANSMISORES DE TELEVISIÓN Y RADIO; TELEVISIÓN VIDEO Y CÁMARAS DIGITALES; TELÉFON</t>
  </si>
  <si>
    <t xml:space="preserve">RADIORRECEPTORES Y RECEPTORES DE TELEVISIÓN; APARATOS PARA LA GRABACIÓN Y REPRODUCCIÓN DE </t>
  </si>
  <si>
    <t>INSTRUMENTOS Y APARATOS DE MEDICIÓN VERIFICACIÓN ANÁLISIS DE NAVEGACIÓN Y PARA OTROS FINES</t>
  </si>
  <si>
    <t>VEHÍCULOS AUTOMOTORES REMOLQUES Y SEMIRREMOLQUES; Y SUS PARTES PIEZAS Y ACCESORIOS</t>
  </si>
  <si>
    <t>ASIENTOS</t>
  </si>
  <si>
    <t>MUEBLES DEL TIPO UTILIZADO EN OFICINAS</t>
  </si>
  <si>
    <t>OTROS MUEBLES N.C.P.</t>
  </si>
  <si>
    <t>TIERRAS Y TERRENOS</t>
  </si>
  <si>
    <t>ENERGÍA ELÉCTRICA</t>
  </si>
  <si>
    <t>AGUA NATURAL</t>
  </si>
  <si>
    <t>AZÚCAR</t>
  </si>
  <si>
    <t>PRODUCTOS DEL CAFÉ</t>
  </si>
  <si>
    <t>OTROS PRODUCTOS ALIMENTICIOS N.C.P.</t>
  </si>
  <si>
    <t>PASTA DE PAPEL PAPEL Y CARTÓN</t>
  </si>
  <si>
    <t xml:space="preserve">LIBROS IMPRESOS </t>
  </si>
  <si>
    <t>DIARIOS REVISTAS Y PUBLICACIONES PERIÓDICAS PUBLICADOS POR LO MENOS CUATRO VECES POR SEMAN</t>
  </si>
  <si>
    <t>DIARIOS REVISTAS Y PUBLICACIONES PERIÓDICAS PUBLICADOS MENOS DE CUATRO VECES POR SEMANA</t>
  </si>
  <si>
    <t xml:space="preserve">SELLOS CHEQUERAS BILLETES DE BANCO TÍTULOS DE ACCIONES CATÁLOGOS Y FOLLETOS MATERIAL PARA </t>
  </si>
  <si>
    <t>LIBROS DE REGISTROS LIBROS DE CONTABILIDAD CUADERNILLOS DE NOTAS BLOQUES PARA CARTAS AGEND</t>
  </si>
  <si>
    <t>TIPOS DE IMPRENTA PLANCHAS O CILINDROS PREPARADOS PARA LAS ARTES GRÁFICAS PIEDRAS LITOGRÁF</t>
  </si>
  <si>
    <t>GAS DE PETRÓLEO Y OTROS HIDROCARBUROS GASEOSOS (EXCEPTO GAS NATURAL)</t>
  </si>
  <si>
    <t xml:space="preserve">QUÍMICOS ORGÁNICOS BÁSICOS </t>
  </si>
  <si>
    <t>PRODUCTOS QUÍMICOS INORGÁNICOS BÁSICOS N.C.P.</t>
  </si>
  <si>
    <t>PRODUCTOS QUÍMICOS BÁSICOS DIVERSOS</t>
  </si>
  <si>
    <t>PINTURAS Y BARNICES Y PRODUCTOS RELACIONADOS; COLORES PARA LA PINTURA ARTÍSTICA; TINTAS</t>
  </si>
  <si>
    <t>PRODUCTOS FARMACÉUTICOS</t>
  </si>
  <si>
    <t>SERVICIOS DE ALOJAMIENTO PARA ESTANCIAS CORTAS</t>
  </si>
  <si>
    <t>OTROS SERVICIOS DE ALOJAMIENTO</t>
  </si>
  <si>
    <t>SERVICIOS DE SUMINISTRO DE COMIDAS</t>
  </si>
  <si>
    <t>SERVICIOS DE TRANSPORTE DE PASAJEROS</t>
  </si>
  <si>
    <t>SERVICIOS POSTALES Y DE MENSAJERÍA</t>
  </si>
  <si>
    <t>OTROS SERVICIOS FINANCIEROS EXCEPTO LOS SERVICIOS DE LA BANCA DE INVERSIÓN SERVICIOS DE SE</t>
  </si>
  <si>
    <t>SERVICIOS DE SEGUROS VIDA (CON EXCLUSIÓN DE LOS SERVICIOS DE REASEGURO)</t>
  </si>
  <si>
    <t>OTROS SERVICIOS DE SEGUROS DISTINTOS DE LOS SEGUROS DE VIDA N.C.P.</t>
  </si>
  <si>
    <t>GASTOS FINANCIEROS Y COMISIONES BANCARIAS</t>
  </si>
  <si>
    <t>SERVICIOS DE ALQUILER O ARRENDAMIENTO CON O SIN OPCIÓN DE COMPRA RELATIVOS A BIENES INMUEB</t>
  </si>
  <si>
    <t xml:space="preserve">SERVICIO DE ARRENDAMIENTO DE BIENES INMUEBLES A COMISIÓN O POR CONTRATA </t>
  </si>
  <si>
    <t>SERVICIO DE VENTA DE BIENES INMUEBLES A COMISIÓN O POR CONTRATA</t>
  </si>
  <si>
    <t>SERVICIOS JURÍDICOS</t>
  </si>
  <si>
    <t>Servicios de suministro de infraestructura de hosting y de tecnología de la información (T</t>
  </si>
  <si>
    <t>SERVICIOS VETERINARIOS (OPS HOSPITAL MVZ)</t>
  </si>
  <si>
    <t>SERVICIOS DE PUBLICIDAD Y EL SUMINISTRO DE ESPACIO O TIEMPO PUBLICITARIOS</t>
  </si>
  <si>
    <t>OTROS SERVICIOS PROFESIONALES Y TÉCNICOS N.C.P.</t>
  </si>
  <si>
    <t>SERVICIOS DE TELECOMUNICACIONES A TRAVÉS DE INTERNET</t>
  </si>
  <si>
    <t>SERVICIOS DE BIBLIOTECAS Y ARCHIVOS</t>
  </si>
  <si>
    <t>SERVICIOS DE INVESTIGACIÓN Y SEGURIDAD</t>
  </si>
  <si>
    <t>SERVICIOS DE APOYO A LA DISTRIBUCIÓN DE ELECTRICIDAD GAS Y AGUA</t>
  </si>
  <si>
    <t>SERVICIOS DE MANTENIMIENTO Y REPARACIÓN DE MAQUINARIA DE OFICINA Y CONTABILIDAD</t>
  </si>
  <si>
    <t xml:space="preserve">SERVICIO DE INTALACION DE EQUIPOS: APARATOS DE RADIO . TELEVISION Y COMUNICACIÓN </t>
  </si>
  <si>
    <t>SERVICIOS DE MANTENIMIENTO, REPARACION E INSTALACION (EXCEPTO SERV. DE CONSTRUCCION)</t>
  </si>
  <si>
    <t>SERVICIOS DE EDICIÓN IMPRESIÓN Y REPRODUCCIÓN</t>
  </si>
  <si>
    <t xml:space="preserve">SERVICIOS DE EDUCACIÓN SUPERIOR (TERCIARIA) </t>
  </si>
  <si>
    <t>OTROS TIPOS DE EDUCACIÓN Y SERVICIOS DE APOYO EDUCATIVO</t>
  </si>
  <si>
    <t>SERVICIOS DE ALCANTARILLADO SERVICIOS DE LIMPIEZA TRATAMIENTO DE AGUAS RESIDUALES Y TANQUE</t>
  </si>
  <si>
    <t>OTROS SERVICIOS DE PROTECCIÓN DEL MEDIO AMBIENTE N.C.P.</t>
  </si>
  <si>
    <t>SERVICIOS PROPORCIONADOS POR ORGANIZACIONES GREMIALES COMERCIALES Y ORGANIZACIONES DE EMPL</t>
  </si>
  <si>
    <t>SERVICIOS PROPORCIONADOS POR OTRAS ASOCIACIONES</t>
  </si>
  <si>
    <t>SERVICIOS DE LAVADO LIMPIEZA Y TEÑIDO</t>
  </si>
  <si>
    <t>SERVICIOS DE TRATAMIENTOS DE BELLEZA Y DE BIENESTAR FÍSICO</t>
  </si>
  <si>
    <t>SERVICIOS FUNERARIOS DE CREMACIÓN Y DE SEPULTURA</t>
  </si>
  <si>
    <t>OTROS SERVICIOS DIVERSOS N.C.P.</t>
  </si>
  <si>
    <t>PAGO DE CESANTÍAS</t>
  </si>
  <si>
    <t>GASTOS POR TRIBUTOS, MULTAS, SANCIONES E INTERESES DE MORA</t>
  </si>
  <si>
    <t>IMPUESTO PREDIAL Y SOBRETASA AMBIENTAL</t>
  </si>
  <si>
    <t>CUOTA DE FISCALIZACIÓN Y AUDITAJE</t>
  </si>
  <si>
    <t>AMPLIACIÓN PLANTA DOCENTE</t>
  </si>
  <si>
    <t>ESTIMULOS A LA FORMACIÓN</t>
  </si>
  <si>
    <t>ACREDITACIÓN DE ALTA CALIDAD DE PROGRAMAS ACADÉMICOS</t>
  </si>
  <si>
    <t>PROGRAMA-INVESTIGACIÓN Y DESARROLLO</t>
  </si>
  <si>
    <t xml:space="preserve">PROGRAMA-MODERNIZACIÓN Y VISIBILIZACIÓN DE FUENTES DOCUMENTALES Y COLECCIONES MUSEOLÓGICAS DE LA UNIVERSIDAD. </t>
  </si>
  <si>
    <t>GOBERNACION DEL TOLIMA</t>
  </si>
  <si>
    <t>OTROS FONDOS</t>
  </si>
  <si>
    <t>MOVILIDAD ACADÉMICA E INVESTIGATIVA</t>
  </si>
  <si>
    <t>GRUPOS DE INVESTIGACION</t>
  </si>
  <si>
    <t>TRABAJOS DE GRADO Y SEMILLEROS</t>
  </si>
  <si>
    <t>PROYECTOS DE INVESTIGACION EJECUCION, FOMETO Y ADMON</t>
  </si>
  <si>
    <t>RECURSOS CREE</t>
  </si>
  <si>
    <t>Doctorado en Ciencias Biologicas</t>
  </si>
  <si>
    <t>Doctorado en Ciencias de la Educacion</t>
  </si>
  <si>
    <t>Doctorado en Planificacion y Manejo Ambiental de Cuencas</t>
  </si>
  <si>
    <t>Doctorado en Ciencias Biomedicas</t>
  </si>
  <si>
    <t>REGIONALIZACIÓN</t>
  </si>
  <si>
    <t>UT SOLIDARIA</t>
  </si>
  <si>
    <t>FORTALECIMIENTO DE VÍNCULOS CON LOS GRADUADOS</t>
  </si>
  <si>
    <t>ACOMPAÑAMIENTO A ACTORES SOCIALES PARA LA GESTIÓN DE CONFLICTOS AMBIENTALES</t>
  </si>
  <si>
    <t>SISTEMA DE PLANIFICACIÓN INSTITUCIONAL</t>
  </si>
  <si>
    <t>SISTEMA DE COMUNICACIÓN Y MEDIOS</t>
  </si>
  <si>
    <t>PLAN ESTRATÉGICO DE GESTIÓN DE TIC</t>
  </si>
  <si>
    <t>INVERSIÓN -RECURSOS DE BALANCE 2019</t>
  </si>
  <si>
    <t>Recursos  CREE</t>
  </si>
  <si>
    <t>DEFINITIVO</t>
  </si>
  <si>
    <t>COMPROMES</t>
  </si>
  <si>
    <t>NETOCOMPROMETIDO</t>
  </si>
  <si>
    <t>PORCOMPROMETER</t>
  </si>
  <si>
    <t>GIROSMES</t>
  </si>
  <si>
    <t>GIROS</t>
  </si>
  <si>
    <t>CXPAGAR</t>
  </si>
  <si>
    <t>NETOCDP</t>
  </si>
  <si>
    <t>CDPXCOMPROMETER</t>
  </si>
  <si>
    <t>PORCOMPROMXCDP</t>
  </si>
  <si>
    <t>VALORPAC</t>
  </si>
  <si>
    <t>Maquinaria Agricola oforestal sus Partes y sus Piezas</t>
  </si>
  <si>
    <t>ACUMULADORES PILAS Y BATERÍAS PRIMARIAS Y SUS PARTES Y PIEZAS</t>
  </si>
  <si>
    <t>PAQUETES DE SOFTWARE</t>
  </si>
  <si>
    <t>ABONOS Y PLAGUICIDAS</t>
  </si>
  <si>
    <t>PRODUCTOS DE EMPAQUE Y ENVASADO DE PLÁSTICO</t>
  </si>
  <si>
    <t>OTROS PRODUCTOS PLÁSTICOS</t>
  </si>
  <si>
    <t>VIDRIO Y PRODUCTOS DE VIDRIO Y OTROS PRODUCTOS NO METÁLICOS N.C.P.</t>
  </si>
  <si>
    <t>VIDRIO Y PRODUCTOS DE VIDRIO</t>
  </si>
  <si>
    <t>YESO CAL Y CEMENTO</t>
  </si>
  <si>
    <t>SERVICIOS DE LA CONSTRUCCIÓN</t>
  </si>
  <si>
    <t>SERVICIOS GENERALES DE CONSTRUCCIÓN DE OBRAS DE INGENIERÍA CIVIL</t>
  </si>
  <si>
    <t>SERVICIOS GENERALES DE CONSTRUCCIÓN DE OTRAS OBRAS DE INGENIERÍA CIVIL</t>
  </si>
  <si>
    <t>Servicios de Apoyo a la Produccion de Cultivos</t>
  </si>
  <si>
    <t>Servicios de Aplicacion de Insumos Agricolas</t>
  </si>
  <si>
    <t>Servicio de Riego por Goteo en Cultivos Tropicales</t>
  </si>
  <si>
    <t>Servicios de Cria de Animales de Granja</t>
  </si>
  <si>
    <t>Preparaciones Utilizadas en la Alimentación Animal NCP</t>
  </si>
  <si>
    <t>TRASNFERENCIAS DE CAPITAL</t>
  </si>
  <si>
    <t>TRANSFERENCIAS A FAVOR DE LOS HOGARES</t>
  </si>
  <si>
    <t>Transferencias a Favor de los Hogares</t>
  </si>
  <si>
    <t>Becas y Otros Beneficios de Educación</t>
  </si>
  <si>
    <t>Tasas y Derechos Administrativos</t>
  </si>
  <si>
    <t>SISTEMA DE GESTIÓN INTEGRADA</t>
  </si>
  <si>
    <t>Recursos de Inversión 2019 - Planes de Fomento</t>
  </si>
  <si>
    <t>Convenio 0166 de 2014- Tunjuelito</t>
  </si>
  <si>
    <t>Proyectos Especiales Facultad de Ciencias Economicas y Adtivas</t>
  </si>
  <si>
    <t>Proyectos Especiales Facultad de Ciencias Básicas</t>
  </si>
  <si>
    <t>Proyectos Especiales Facultad de Ing.Forestal</t>
  </si>
  <si>
    <t>Proyectos Especiales Facultad de Técnologias</t>
  </si>
  <si>
    <t>Proyectos Especiales Facultad de Ing. Agronómica</t>
  </si>
  <si>
    <t>Proyectos Especiales Facultad de Ciencias de la Salud</t>
  </si>
  <si>
    <t>Proyectos Especiales Facultad de Educación</t>
  </si>
  <si>
    <t>Proyectos Especiales Facultad de Medicina Veterianria y Zootecnia</t>
  </si>
  <si>
    <t>Recursos CREE-Adecuación Insfraestructura Fisica</t>
  </si>
  <si>
    <t>Recursos CREE-Dotacion Edificion de Aulas</t>
  </si>
  <si>
    <t>Recursos CREE-Emisora Institucional</t>
  </si>
  <si>
    <t>Recursos CREE-Adición Contrato 274 -19 construccion PSS</t>
  </si>
  <si>
    <t>Recursos CREE-Fase II Infraestructura Tecnologica</t>
  </si>
  <si>
    <t>Estampilla Pro UT-Construcción entrada Principal y  Bulevar</t>
  </si>
  <si>
    <t>Estampilla Pro UT-Dotacion Edificio de Aulas</t>
  </si>
  <si>
    <t>COMPROMETIDODEV</t>
  </si>
  <si>
    <t>COMPRODEVMES</t>
  </si>
  <si>
    <t>COMPROMESNETO</t>
  </si>
  <si>
    <t>COMPROMETIDO</t>
  </si>
  <si>
    <t>ORDPAGODEV</t>
  </si>
  <si>
    <t>CDPDEV</t>
  </si>
  <si>
    <t>CDPMES</t>
  </si>
  <si>
    <t>CDP</t>
  </si>
  <si>
    <t>ALQUILER DE BIENES DIFERENTES A INMUEBLES</t>
  </si>
  <si>
    <t>INTERESES DE MORA</t>
  </si>
  <si>
    <t>Convenio Interadministrativo 2114-2019</t>
  </si>
  <si>
    <t>Contrato Financiero RC No- 940 de 2019</t>
  </si>
  <si>
    <t>140117-CONVENIO 441 10-10-2017, ENTRE CORTOLIMA Y LA UT.</t>
  </si>
  <si>
    <t>20520 - CONTRATO 940-2019 JOVENES INVESTIGADORES UT -COLCIENCIAS.</t>
  </si>
  <si>
    <t xml:space="preserve">80517 - EDUCACION CONTINUADA Y EXTENSION </t>
  </si>
  <si>
    <t>30310 CONV 1150 MONISTERIO Y RSL 102000295 Y 102000280 DE LA ALCALDIA CON LA UT</t>
  </si>
  <si>
    <t>80617 - CONVENIO INTERINSTITUCIONAL 47/0821 ENTRE ISAGEN Y LA UT.</t>
  </si>
  <si>
    <t>190309 - GRUPO PROECUT - GOBERNACION DEL TOLIMA</t>
  </si>
  <si>
    <t>20618 - CONVENIO 004 DE NOV-2018, ENTRE EL CRQ Y LA UT.</t>
  </si>
  <si>
    <t>10619 - CONVENIO 1232-2019 ENTRE LA UT Y LA GOBERNACION DEL TOLIMA</t>
  </si>
  <si>
    <t>260119 - CONVENIO INTERADMINISTRATIVO 0094 ENTRE CRQ Y LA UT</t>
  </si>
  <si>
    <t>VONV. 1012019 ACUERDO COOPERATIVO CODHES OBSERVATO</t>
  </si>
  <si>
    <t>EXCEDENTES FINANCIEROS</t>
  </si>
  <si>
    <t>APORTES DE COOPERATIVAS</t>
  </si>
  <si>
    <t>Rendimientos Armero</t>
  </si>
  <si>
    <t>Iindemnizaciones</t>
  </si>
  <si>
    <t>Venta de Chatarra</t>
  </si>
  <si>
    <t>Elementos Metalicos, maquinaria y equipos</t>
  </si>
  <si>
    <t>CUALIFICACION DOCENTE</t>
  </si>
  <si>
    <t>INVESTIGACION</t>
  </si>
  <si>
    <t>INFRAESTRUCTURA</t>
  </si>
  <si>
    <t>BIENESTAR</t>
  </si>
  <si>
    <t>OTROS</t>
  </si>
  <si>
    <t>TOTAL INVERSION</t>
  </si>
  <si>
    <t>GASTGOS PERSONALES</t>
  </si>
  <si>
    <t>GASTOS GENERALES</t>
  </si>
  <si>
    <t>Productos Metalicos, Maquinaria y Equipo</t>
  </si>
  <si>
    <t>Chatarra</t>
  </si>
  <si>
    <t>Contrato de Financiamiento y Recuperacion Contingente 80740-075-2020</t>
  </si>
  <si>
    <t>Fondo de Becas y Legados</t>
  </si>
  <si>
    <t>1126119</t>
  </si>
  <si>
    <t>Articulo 142 ly 1819 de 2016-Excedentes de Cooperativas</t>
  </si>
  <si>
    <t>TOTAL GIROS</t>
  </si>
  <si>
    <t>PROYECTADO DIC-2020</t>
  </si>
  <si>
    <t>DIFERENCIA</t>
  </si>
  <si>
    <t>SUPERAVIT PROYECTADO EL CIERRE A DIC-2020</t>
  </si>
  <si>
    <t>POLTICA PROGRAMA ESPECIAL DE BIENESTAR UNIVERSITARIO Y PERMANENCIA ESTUDIANTIL</t>
  </si>
  <si>
    <t>Técnologia y Conectividad</t>
  </si>
  <si>
    <t>Bienestar en Linea</t>
  </si>
  <si>
    <t>Asistencias Administrativas y Monitorias Académicas</t>
  </si>
  <si>
    <t>Inversiones en Infraestructura Fisica y Tecnologica - Emisora</t>
  </si>
  <si>
    <t>Puente Vehicular de la Granja Armero-PROUNAL</t>
  </si>
  <si>
    <t>Adecuación Planta Fisica-PRO UNAL</t>
  </si>
  <si>
    <t>Dotación Modernización Técnologica</t>
  </si>
  <si>
    <t>Dotación Infraestructura Tecnologica y Adecuación Infraestructura de Pregrado- PFC</t>
  </si>
  <si>
    <t>Adquisición y Adecuación Infraestructura Fisica Emisora Institucional -PFC</t>
  </si>
  <si>
    <t>Variación Enerp 2020</t>
  </si>
  <si>
    <t>Variación Enero 2020</t>
  </si>
  <si>
    <t>Variación Febrero 2020</t>
  </si>
  <si>
    <t>Variación Marzo 2020</t>
  </si>
  <si>
    <t>Variación Abril 2020</t>
  </si>
  <si>
    <t>Variación Mayo 2020</t>
  </si>
  <si>
    <t>Variación Junio 2020</t>
  </si>
  <si>
    <t>Variación Julio 2020</t>
  </si>
  <si>
    <t>PAC EJE-ENERO</t>
  </si>
  <si>
    <t>PAC EJE-FEBRERO</t>
  </si>
  <si>
    <t>PAC EJE-MARZO</t>
  </si>
  <si>
    <t>PAC EJE-ABRIL</t>
  </si>
  <si>
    <t>PAC EJE-MAYO</t>
  </si>
  <si>
    <t>PAC EJE-JUNIO</t>
  </si>
  <si>
    <t>PAC EJE-JULIO</t>
  </si>
  <si>
    <t>COMPROMISO MES ENERO</t>
  </si>
  <si>
    <t>COMPROMISO MES FEBRERO</t>
  </si>
  <si>
    <t>COMPROMISO MES MARZO</t>
  </si>
  <si>
    <t>COMPROMISO MES ABRIL</t>
  </si>
  <si>
    <t>COMPROMISO MES MAYO</t>
  </si>
  <si>
    <t>COMPROMISO MES JUNIO</t>
  </si>
  <si>
    <t>COMPROMISO MES JULIO</t>
  </si>
  <si>
    <t>VARIACIÓN ENERO</t>
  </si>
  <si>
    <t>VARIACIÓN FEBRERO</t>
  </si>
  <si>
    <t>VARIACIÓN MARZO</t>
  </si>
  <si>
    <t>VARIACIÓN ABRIL</t>
  </si>
  <si>
    <t>VARIACIÓN MAYO</t>
  </si>
  <si>
    <t>VARIACIÓN JUNIO</t>
  </si>
  <si>
    <t>VARIACIÓN JULIO</t>
  </si>
  <si>
    <t>RESUMEN PAC DE GASTOS</t>
  </si>
  <si>
    <t>INFORME DE FUENTES Y USOS</t>
  </si>
  <si>
    <t>FUENTES</t>
  </si>
  <si>
    <t>FONDOS COMUNES</t>
  </si>
  <si>
    <t>USOS</t>
  </si>
  <si>
    <t>DESTINACIÓN ESPECIFICA</t>
  </si>
  <si>
    <t>PROYECTADO</t>
  </si>
  <si>
    <t>EJECUTADO</t>
  </si>
  <si>
    <t>INGRESOS NO CORRIENTES</t>
  </si>
  <si>
    <t xml:space="preserve">RESUMEN PAC INGRESOS </t>
  </si>
  <si>
    <t xml:space="preserve"> </t>
  </si>
  <si>
    <t>Adquisición de Bienes y Servicios</t>
  </si>
  <si>
    <t>Gastos de Personal</t>
  </si>
  <si>
    <t>Transferencias de Capital</t>
  </si>
  <si>
    <t>Disminución de Pasivos</t>
  </si>
  <si>
    <t>Gastos por Tributos, Multas y Sanciones</t>
  </si>
  <si>
    <t>Variación Proyectado</t>
  </si>
  <si>
    <t>Variación Ejecutado</t>
  </si>
  <si>
    <t>Planta de Personal Permanente</t>
  </si>
  <si>
    <t>Personal Temporal-Catedras, Supernumerarios</t>
  </si>
  <si>
    <t>Adquisición de Activos no Financieros</t>
  </si>
  <si>
    <t>Adquisición Diferentes de Activos</t>
  </si>
  <si>
    <t>COMPARATIVO PAC INGRESOS Y GASTOS, EJECUTADO Y PROYECTADO</t>
  </si>
  <si>
    <t>PAC-GIROS-MES JULIO</t>
  </si>
  <si>
    <t>PAC-GIROS- MES JUNIO</t>
  </si>
  <si>
    <t>PAC-GIROS-MES MAYO</t>
  </si>
  <si>
    <t>PAC-GIROS-MES ABRIL</t>
  </si>
  <si>
    <t>PAC-GIROS- MES MARZO</t>
  </si>
  <si>
    <t>PAC-GIROS- MES FEBRERO</t>
  </si>
  <si>
    <t>PAC-GIROS- MES ENERO</t>
  </si>
  <si>
    <t>IMPUESTOS  CONTRIBUCIONES, CUOTAS DE FISCALIZACIÓN</t>
  </si>
  <si>
    <t>PUBLICIDAD</t>
  </si>
  <si>
    <t>VIATICOS Y GASTOS DE VIAJE</t>
  </si>
  <si>
    <t>MANTENIMIENTOS</t>
  </si>
  <si>
    <t>SERVICIOS TECNICOS Y PROFESIONALES</t>
  </si>
  <si>
    <t>SERVICIOS PUBLICOS</t>
  </si>
  <si>
    <t>SEGUROS</t>
  </si>
  <si>
    <t>VIGILANCIA</t>
  </si>
  <si>
    <t>ARRENDAMIENTOS, INFRAESTRUCTURA IDEAD</t>
  </si>
  <si>
    <t>SERVICIOS DE ESTANCIAS Y RESTAURANTE</t>
  </si>
  <si>
    <t>GASTOS FINANCIEROS</t>
  </si>
  <si>
    <t>INVERSIÓN</t>
  </si>
  <si>
    <t>CATEDRAS PRESENCIA Y DISTANCIA</t>
  </si>
  <si>
    <t>PERSONAL TRANSOTORIO</t>
  </si>
  <si>
    <t>PROYECCIÓN A DIC-2020</t>
  </si>
  <si>
    <t>DISPONIBILIDADES  PARA DEVOLVER</t>
  </si>
  <si>
    <t>RECURSOS DEL BALANCE - RP</t>
  </si>
  <si>
    <t>FUENTE</t>
  </si>
  <si>
    <t>PRESUPUESTO</t>
  </si>
  <si>
    <t>PROUNAL</t>
  </si>
  <si>
    <t>PROPIOS</t>
  </si>
  <si>
    <t>PROUT</t>
  </si>
  <si>
    <t>AMPLIACIÓN PLANTA DOCENTE (CONVOCATORIA)</t>
  </si>
  <si>
    <t>ESTÍMULO A LA FORMACIÓN</t>
  </si>
  <si>
    <t>ESTIMULOS A LA FORMACIÓN (DOCTORADOS MAESTRÍAS)</t>
  </si>
  <si>
    <t>ESTIMULOS A LA FORMACIÓN (SEGUNDA LENGUA)</t>
  </si>
  <si>
    <t>ESTIMULOS A LA FORMACIÓN (LINEAMIENTOS PEDAGÓGICOS)</t>
  </si>
  <si>
    <t>Dotación de Equipos, Material Bibliográfico y Bases de Datos.</t>
  </si>
  <si>
    <t>RP-RECURSOS DEL BALANCE</t>
  </si>
  <si>
    <t>TOTAL RP</t>
  </si>
  <si>
    <t>Otros Servicios</t>
  </si>
  <si>
    <t>Nación Funcionamiento</t>
  </si>
  <si>
    <t>Nivel Departamental</t>
  </si>
  <si>
    <t>Devolución del IVA</t>
  </si>
  <si>
    <t>EXCEDENTES FINANCIEROS-APORTES COOP-2019</t>
  </si>
  <si>
    <t>Nación Inversión</t>
  </si>
  <si>
    <t>ESTAMPILLA PRO-UT</t>
  </si>
  <si>
    <t>VENTA DE BIENES Y SERVICIOS</t>
  </si>
  <si>
    <t>Recursos de Balance</t>
  </si>
  <si>
    <t>4.5%</t>
  </si>
  <si>
    <t>OTROS GASTOS-IMPUESTOS, TASAS Y CUOTAS DE FISCALIZACIÓN-BECAS ESTUDIANTES</t>
  </si>
  <si>
    <t>PAC-EJE-AGOSTO</t>
  </si>
  <si>
    <t>PAC EJE-SEPTIEMBRE</t>
  </si>
  <si>
    <t>1126120</t>
  </si>
  <si>
    <t>Reconocimiento de Pasivo</t>
  </si>
  <si>
    <t>Devolucion contrato de Arrendamiento 425-2019-Publiciencia S.A.S</t>
  </si>
  <si>
    <t>Contrato de Recuperación Contingente 310-2020 y de Finan. Conting. 80740-484-2020</t>
  </si>
  <si>
    <t>Variación Agosto 2020</t>
  </si>
  <si>
    <t>Variación Septiembre 2020</t>
  </si>
  <si>
    <t>PAC-GIROS-MES AGOSTO</t>
  </si>
  <si>
    <t>PAC-GIROS-MES SEPTIEMBRE</t>
  </si>
  <si>
    <t>Variación   Julio 2020</t>
  </si>
  <si>
    <t>Variación   Agosto 2020</t>
  </si>
  <si>
    <t>Variación   Sep 2020</t>
  </si>
  <si>
    <t>PAC EJE-AGOSTO</t>
  </si>
  <si>
    <t>TOTAL PAC PROYECTADO A DIC-2020</t>
  </si>
  <si>
    <t>Convenio Interadministrativo 1293 de 2020</t>
  </si>
  <si>
    <t>RECURSOS DE INVERSIÓN PFC 2020</t>
  </si>
  <si>
    <t>Bienestar Universitario - Intérpretes  INVERSION PFC</t>
  </si>
  <si>
    <t>Mejoramiento Pruebas Saber Pro INVERSIION PFC</t>
  </si>
  <si>
    <t>Adquisición y Adecuacion Equipos Lab. Infraestructura fisica INVERSION PFC</t>
  </si>
  <si>
    <t>Adecuación de planta física  INVERSION PFC</t>
  </si>
  <si>
    <t>Formación educativa INVERSION PFC</t>
  </si>
  <si>
    <t>PAC-GIROS-MES OCTUBRE-PREL</t>
  </si>
  <si>
    <t>VARIACIÓN AGOSTO</t>
  </si>
  <si>
    <t>VARIACIÓN SEP</t>
  </si>
  <si>
    <t>VARIACIÓN OCTUBRE</t>
  </si>
  <si>
    <t>Variación PAC Enero a Octubre</t>
  </si>
  <si>
    <t>Variación Enero a Octubre 2020</t>
  </si>
  <si>
    <t>PAC Enero a Octubrebre 2020 Proyectado</t>
  </si>
  <si>
    <t>Acuerdo 041 de 2020</t>
  </si>
  <si>
    <t>PAC Enero-Octubre -Proyectado</t>
  </si>
  <si>
    <t>PAC EJE-OCTUBRE</t>
  </si>
  <si>
    <t>PAC EJE-ENERO A OCTUBRE 2020</t>
  </si>
  <si>
    <t>Variación Ener a Octubre 2020</t>
  </si>
  <si>
    <t>PAC Proyectado Enero a Octubre</t>
  </si>
  <si>
    <t>PAC Ejecutado Enero a Octubre</t>
  </si>
  <si>
    <t>PAC Enero a Octubre Proyectado</t>
  </si>
  <si>
    <t>PAC Enero a Octubre Ejecutado</t>
  </si>
  <si>
    <t>PAC Enero a Octubre 2020 Proyectado</t>
  </si>
  <si>
    <t>PAC-GIROS-MES OCTUBRE</t>
  </si>
  <si>
    <t>PAC Enero a Octubre 2020 Ejecutado-</t>
  </si>
  <si>
    <t>ADICIONAR</t>
  </si>
  <si>
    <t>REDUCIR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</si>
</sst>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_-&quot;$&quot;\ * #,##0_-;\-&quot;$&quot;\ * #,##0_-;_-&quot;$&quot;\ * &quot;-&quot;_-;_-@_-"/>
    <numFmt numFmtId="165" formatCode="_-* #,##0.00_-;\-* #,##0.00_-;_-* &quot;-&quot;??_-;_-@_-"/>
    <numFmt numFmtId="166" formatCode="#,##0_ ;[Red]\-#,##0\ "/>
    <numFmt numFmtId="167" formatCode="_-* #,##0.00_-;\-* #,##0.00_-;_-* &quot;-&quot;_-;_-@_-"/>
    <numFmt numFmtId="168" formatCode="#,##0.00_ ;[Red]\-#,##0.00\ "/>
    <numFmt numFmtId="169" formatCode="_-* #,##0_-;\-* #,##0_-;_-* &quot;-&quot;_-;_-@"/>
    <numFmt numFmtId="170" formatCode="_-* #,##0_-;\-* #,##0_-;_-* &quot;-&quot;??_-;_-@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0"/>
      <name val="Calibri"/>
      <family val="2"/>
    </font>
    <font>
      <sz val="11"/>
      <color theme="3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sz val="11"/>
      <name val="Arial"/>
      <family val="2"/>
    </font>
    <font>
      <b/>
      <sz val="11"/>
      <color theme="1"/>
      <name val="Calibri"/>
      <family val="2"/>
    </font>
    <font>
      <b/>
      <sz val="14"/>
      <color theme="1"/>
      <name val="Calibri"/>
      <family val="2"/>
    </font>
  </fonts>
  <fills count="31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rgb="FF92D050"/>
      </patternFill>
    </fill>
    <fill>
      <patternFill patternType="solid">
        <fgColor rgb="FFFFC000"/>
        <bgColor rgb="FFFFC000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59">
    <xf numFmtId="0" fontId="0" fillId="0" borderId="0" xfId="0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43" fontId="0" fillId="0" borderId="0" xfId="1" applyFont="1" applyFill="1" applyBorder="1"/>
    <xf numFmtId="43" fontId="0" fillId="0" borderId="0" xfId="0" applyNumberFormat="1" applyFont="1" applyFill="1" applyBorder="1"/>
    <xf numFmtId="9" fontId="0" fillId="0" borderId="0" xfId="3" applyFont="1" applyFill="1" applyBorder="1" applyAlignment="1">
      <alignment horizont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horizontal="center" vertical="center" wrapText="1"/>
    </xf>
    <xf numFmtId="9" fontId="2" fillId="6" borderId="4" xfId="3" applyFont="1" applyFill="1" applyBorder="1" applyAlignment="1">
      <alignment horizontal="center" vertical="center" wrapText="1"/>
    </xf>
    <xf numFmtId="0" fontId="3" fillId="2" borderId="5" xfId="0" quotePrefix="1" applyFont="1" applyFill="1" applyBorder="1" applyAlignment="1">
      <alignment horizontal="left"/>
    </xf>
    <xf numFmtId="0" fontId="3" fillId="2" borderId="5" xfId="0" quotePrefix="1" applyFont="1" applyFill="1" applyBorder="1"/>
    <xf numFmtId="43" fontId="3" fillId="2" borderId="5" xfId="1" applyFont="1" applyFill="1" applyBorder="1"/>
    <xf numFmtId="9" fontId="3" fillId="2" borderId="5" xfId="3" applyFont="1" applyFill="1" applyBorder="1" applyAlignment="1">
      <alignment horizontal="center"/>
    </xf>
    <xf numFmtId="0" fontId="3" fillId="7" borderId="5" xfId="0" quotePrefix="1" applyFont="1" applyFill="1" applyBorder="1" applyAlignment="1">
      <alignment horizontal="left"/>
    </xf>
    <xf numFmtId="0" fontId="3" fillId="7" borderId="5" xfId="0" quotePrefix="1" applyFont="1" applyFill="1" applyBorder="1"/>
    <xf numFmtId="43" fontId="3" fillId="7" borderId="5" xfId="1" applyFont="1" applyFill="1" applyBorder="1"/>
    <xf numFmtId="9" fontId="3" fillId="7" borderId="5" xfId="3" applyFont="1" applyFill="1" applyBorder="1" applyAlignment="1">
      <alignment horizontal="center"/>
    </xf>
    <xf numFmtId="0" fontId="3" fillId="0" borderId="0" xfId="0" applyFont="1" applyFill="1" applyBorder="1"/>
    <xf numFmtId="0" fontId="3" fillId="4" borderId="5" xfId="0" quotePrefix="1" applyFont="1" applyFill="1" applyBorder="1" applyAlignment="1">
      <alignment horizontal="left"/>
    </xf>
    <xf numFmtId="0" fontId="3" fillId="4" borderId="5" xfId="0" quotePrefix="1" applyFont="1" applyFill="1" applyBorder="1"/>
    <xf numFmtId="43" fontId="3" fillId="4" borderId="5" xfId="1" applyFont="1" applyFill="1" applyBorder="1"/>
    <xf numFmtId="9" fontId="3" fillId="4" borderId="5" xfId="3" applyFont="1" applyFill="1" applyBorder="1" applyAlignment="1">
      <alignment horizontal="center"/>
    </xf>
    <xf numFmtId="0" fontId="0" fillId="5" borderId="5" xfId="0" quotePrefix="1" applyFill="1" applyBorder="1" applyAlignment="1">
      <alignment horizontal="left"/>
    </xf>
    <xf numFmtId="0" fontId="0" fillId="5" borderId="5" xfId="0" quotePrefix="1" applyFill="1" applyBorder="1"/>
    <xf numFmtId="43" fontId="0" fillId="5" borderId="5" xfId="1" applyFont="1" applyFill="1" applyBorder="1"/>
    <xf numFmtId="43" fontId="3" fillId="5" borderId="5" xfId="1" applyFont="1" applyFill="1" applyBorder="1"/>
    <xf numFmtId="164" fontId="3" fillId="5" borderId="5" xfId="2" applyNumberFormat="1" applyFont="1" applyFill="1" applyBorder="1" applyAlignment="1">
      <alignment vertical="center"/>
    </xf>
    <xf numFmtId="166" fontId="1" fillId="5" borderId="5" xfId="2" applyNumberFormat="1" applyFont="1" applyFill="1" applyBorder="1" applyAlignment="1">
      <alignment vertical="center"/>
    </xf>
    <xf numFmtId="166" fontId="0" fillId="5" borderId="5" xfId="2" applyNumberFormat="1" applyFont="1" applyFill="1" applyBorder="1" applyAlignment="1">
      <alignment vertical="center"/>
    </xf>
    <xf numFmtId="43" fontId="3" fillId="5" borderId="5" xfId="3" applyNumberFormat="1" applyFont="1" applyFill="1" applyBorder="1" applyAlignment="1">
      <alignment horizontal="center" vertical="center"/>
    </xf>
    <xf numFmtId="9" fontId="0" fillId="5" borderId="5" xfId="3" applyFont="1" applyFill="1" applyBorder="1" applyAlignment="1">
      <alignment horizontal="center" vertical="center"/>
    </xf>
    <xf numFmtId="164" fontId="0" fillId="5" borderId="5" xfId="2" applyNumberFormat="1" applyFont="1" applyFill="1" applyBorder="1" applyAlignment="1">
      <alignment vertical="center"/>
    </xf>
    <xf numFmtId="9" fontId="3" fillId="5" borderId="5" xfId="3" applyFont="1" applyFill="1" applyBorder="1" applyAlignment="1">
      <alignment horizontal="center" vertical="center"/>
    </xf>
    <xf numFmtId="9" fontId="0" fillId="4" borderId="5" xfId="3" applyFont="1" applyFill="1" applyBorder="1" applyAlignment="1">
      <alignment horizontal="center" vertical="center"/>
    </xf>
    <xf numFmtId="0" fontId="0" fillId="8" borderId="5" xfId="0" quotePrefix="1" applyFont="1" applyFill="1" applyBorder="1" applyAlignment="1">
      <alignment horizontal="left" vertical="center"/>
    </xf>
    <xf numFmtId="0" fontId="0" fillId="8" borderId="5" xfId="0" quotePrefix="1" applyFont="1" applyFill="1" applyBorder="1" applyAlignment="1">
      <alignment vertical="center"/>
    </xf>
    <xf numFmtId="164" fontId="0" fillId="8" borderId="5" xfId="2" applyNumberFormat="1" applyFont="1" applyFill="1" applyBorder="1" applyAlignment="1">
      <alignment vertical="center"/>
    </xf>
    <xf numFmtId="43" fontId="0" fillId="8" borderId="5" xfId="1" applyFont="1" applyFill="1" applyBorder="1" applyAlignment="1">
      <alignment vertical="center"/>
    </xf>
    <xf numFmtId="166" fontId="0" fillId="8" borderId="5" xfId="2" applyNumberFormat="1" applyFont="1" applyFill="1" applyBorder="1" applyAlignment="1">
      <alignment vertical="center"/>
    </xf>
    <xf numFmtId="43" fontId="3" fillId="8" borderId="5" xfId="3" applyNumberFormat="1" applyFont="1" applyFill="1" applyBorder="1" applyAlignment="1">
      <alignment horizontal="center" vertical="center"/>
    </xf>
    <xf numFmtId="9" fontId="0" fillId="8" borderId="5" xfId="3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 wrapText="1"/>
    </xf>
    <xf numFmtId="43" fontId="2" fillId="6" borderId="6" xfId="1" applyFont="1" applyFill="1" applyBorder="1" applyAlignment="1">
      <alignment horizontal="center" vertical="center" wrapText="1"/>
    </xf>
    <xf numFmtId="0" fontId="6" fillId="0" borderId="0" xfId="0" applyFont="1"/>
    <xf numFmtId="43" fontId="6" fillId="0" borderId="0" xfId="1" applyFont="1"/>
    <xf numFmtId="43" fontId="7" fillId="2" borderId="5" xfId="1" applyFont="1" applyFill="1" applyBorder="1"/>
    <xf numFmtId="0" fontId="7" fillId="0" borderId="0" xfId="0" applyFont="1"/>
    <xf numFmtId="43" fontId="7" fillId="11" borderId="5" xfId="1" applyFont="1" applyFill="1" applyBorder="1"/>
    <xf numFmtId="43" fontId="7" fillId="11" borderId="8" xfId="1" applyFont="1" applyFill="1" applyBorder="1"/>
    <xf numFmtId="43" fontId="7" fillId="12" borderId="5" xfId="1" applyFont="1" applyFill="1" applyBorder="1"/>
    <xf numFmtId="0" fontId="10" fillId="0" borderId="0" xfId="0" applyFont="1"/>
    <xf numFmtId="43" fontId="8" fillId="2" borderId="5" xfId="1" applyFont="1" applyFill="1" applyBorder="1"/>
    <xf numFmtId="0" fontId="11" fillId="14" borderId="0" xfId="0" applyFont="1" applyFill="1"/>
    <xf numFmtId="43" fontId="8" fillId="11" borderId="5" xfId="1" applyFont="1" applyFill="1" applyBorder="1"/>
    <xf numFmtId="43" fontId="8" fillId="12" borderId="5" xfId="1" applyFont="1" applyFill="1" applyBorder="1"/>
    <xf numFmtId="43" fontId="9" fillId="0" borderId="5" xfId="1" applyFont="1" applyBorder="1"/>
    <xf numFmtId="43" fontId="9" fillId="0" borderId="1" xfId="6" applyFont="1" applyFill="1" applyBorder="1" applyAlignment="1">
      <alignment horizontal="left"/>
    </xf>
    <xf numFmtId="43" fontId="10" fillId="0" borderId="0" xfId="0" applyNumberFormat="1" applyFont="1"/>
    <xf numFmtId="43" fontId="8" fillId="11" borderId="8" xfId="1" applyFont="1" applyFill="1" applyBorder="1"/>
    <xf numFmtId="0" fontId="11" fillId="15" borderId="0" xfId="0" applyFont="1" applyFill="1"/>
    <xf numFmtId="43" fontId="10" fillId="0" borderId="5" xfId="1" applyFont="1" applyBorder="1"/>
    <xf numFmtId="167" fontId="1" fillId="0" borderId="5" xfId="4" applyNumberFormat="1" applyFont="1" applyFill="1" applyBorder="1" applyAlignment="1">
      <alignment horizontal="right" vertical="center" wrapText="1"/>
    </xf>
    <xf numFmtId="167" fontId="1" fillId="0" borderId="5" xfId="4" applyNumberFormat="1" applyFont="1" applyFill="1" applyBorder="1"/>
    <xf numFmtId="167" fontId="1" fillId="0" borderId="5" xfId="1" applyNumberFormat="1" applyFont="1" applyFill="1" applyBorder="1" applyAlignment="1">
      <alignment horizontal="right" vertical="center" wrapText="1"/>
    </xf>
    <xf numFmtId="0" fontId="10" fillId="0" borderId="0" xfId="0" applyFont="1" applyAlignment="1">
      <alignment wrapText="1"/>
    </xf>
    <xf numFmtId="43" fontId="9" fillId="0" borderId="8" xfId="1" applyFont="1" applyBorder="1"/>
    <xf numFmtId="0" fontId="10" fillId="0" borderId="0" xfId="0" applyFont="1" applyFill="1"/>
    <xf numFmtId="0" fontId="11" fillId="0" borderId="0" xfId="0" applyFont="1" applyFill="1"/>
    <xf numFmtId="43" fontId="8" fillId="13" borderId="5" xfId="1" applyFont="1" applyFill="1" applyBorder="1" applyAlignment="1">
      <alignment horizontal="center" vertical="center" wrapText="1"/>
    </xf>
    <xf numFmtId="9" fontId="10" fillId="0" borderId="0" xfId="3" applyFont="1" applyAlignment="1">
      <alignment horizontal="center"/>
    </xf>
    <xf numFmtId="43" fontId="5" fillId="9" borderId="6" xfId="1" applyFont="1" applyFill="1" applyBorder="1" applyAlignment="1">
      <alignment horizontal="center" vertical="center" wrapText="1"/>
    </xf>
    <xf numFmtId="43" fontId="5" fillId="9" borderId="6" xfId="1" applyFont="1" applyFill="1" applyBorder="1" applyAlignment="1">
      <alignment horizontal="center" vertical="center"/>
    </xf>
    <xf numFmtId="0" fontId="6" fillId="0" borderId="6" xfId="0" applyFont="1" applyBorder="1" applyAlignment="1">
      <alignment vertical="center"/>
    </xf>
    <xf numFmtId="43" fontId="12" fillId="6" borderId="5" xfId="1" applyFont="1" applyFill="1" applyBorder="1"/>
    <xf numFmtId="0" fontId="12" fillId="6" borderId="0" xfId="0" applyFont="1" applyFill="1"/>
    <xf numFmtId="43" fontId="12" fillId="6" borderId="0" xfId="1" applyFont="1" applyFill="1"/>
    <xf numFmtId="9" fontId="7" fillId="2" borderId="5" xfId="3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43" fontId="7" fillId="2" borderId="5" xfId="1" applyFont="1" applyFill="1" applyBorder="1" applyAlignment="1">
      <alignment vertical="center"/>
    </xf>
    <xf numFmtId="43" fontId="7" fillId="11" borderId="8" xfId="1" applyFont="1" applyFill="1" applyBorder="1" applyAlignment="1">
      <alignment vertical="center"/>
    </xf>
    <xf numFmtId="0" fontId="6" fillId="0" borderId="0" xfId="0" applyNumberFormat="1" applyFont="1" applyAlignment="1">
      <alignment vertical="center"/>
    </xf>
    <xf numFmtId="0" fontId="0" fillId="0" borderId="0" xfId="0" applyAlignment="1">
      <alignment horizontal="left" vertical="center"/>
    </xf>
    <xf numFmtId="0" fontId="0" fillId="3" borderId="1" xfId="0" applyFill="1" applyBorder="1" applyAlignment="1">
      <alignment horizontal="left" vertical="center" wrapText="1"/>
    </xf>
    <xf numFmtId="0" fontId="0" fillId="5" borderId="1" xfId="0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43" fontId="0" fillId="0" borderId="0" xfId="1" applyFont="1" applyAlignment="1">
      <alignment horizontal="left" vertical="center"/>
    </xf>
    <xf numFmtId="43" fontId="0" fillId="3" borderId="1" xfId="1" applyFont="1" applyFill="1" applyBorder="1" applyAlignment="1">
      <alignment horizontal="left" vertical="center"/>
    </xf>
    <xf numFmtId="43" fontId="0" fillId="5" borderId="1" xfId="1" applyFont="1" applyFill="1" applyBorder="1" applyAlignment="1">
      <alignment horizontal="left" vertical="center"/>
    </xf>
    <xf numFmtId="1" fontId="0" fillId="0" borderId="0" xfId="0" applyNumberFormat="1" applyAlignment="1">
      <alignment horizontal="left" vertical="center"/>
    </xf>
    <xf numFmtId="1" fontId="0" fillId="16" borderId="0" xfId="0" applyNumberFormat="1" applyFill="1" applyAlignment="1">
      <alignment horizontal="left"/>
    </xf>
    <xf numFmtId="43" fontId="0" fillId="16" borderId="0" xfId="1" applyFont="1" applyFill="1" applyAlignment="1">
      <alignment horizontal="left"/>
    </xf>
    <xf numFmtId="43" fontId="0" fillId="0" borderId="1" xfId="1" applyFont="1" applyFill="1" applyBorder="1" applyAlignment="1">
      <alignment horizontal="left"/>
    </xf>
    <xf numFmtId="1" fontId="0" fillId="0" borderId="1" xfId="0" applyNumberFormat="1" applyFill="1" applyBorder="1" applyAlignment="1">
      <alignment horizontal="left"/>
    </xf>
    <xf numFmtId="0" fontId="3" fillId="2" borderId="7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 wrapText="1"/>
    </xf>
    <xf numFmtId="43" fontId="3" fillId="2" borderId="7" xfId="1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" fontId="3" fillId="0" borderId="1" xfId="0" applyNumberFormat="1" applyFont="1" applyFill="1" applyBorder="1" applyAlignment="1">
      <alignment horizontal="left"/>
    </xf>
    <xf numFmtId="43" fontId="3" fillId="0" borderId="1" xfId="1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43" fontId="3" fillId="2" borderId="1" xfId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 wrapText="1"/>
    </xf>
    <xf numFmtId="43" fontId="3" fillId="3" borderId="1" xfId="1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 wrapText="1"/>
    </xf>
    <xf numFmtId="43" fontId="3" fillId="4" borderId="1" xfId="1" applyFont="1" applyFill="1" applyBorder="1" applyAlignment="1">
      <alignment horizontal="left" vertical="center"/>
    </xf>
    <xf numFmtId="43" fontId="3" fillId="0" borderId="0" xfId="1" applyFont="1" applyAlignment="1">
      <alignment horizontal="left" vertical="center"/>
    </xf>
    <xf numFmtId="165" fontId="0" fillId="0" borderId="0" xfId="0" applyNumberFormat="1" applyFont="1" applyFill="1" applyBorder="1"/>
    <xf numFmtId="0" fontId="0" fillId="0" borderId="0" xfId="0" applyAlignment="1">
      <alignment horizontal="left" vertical="center" wrapText="1"/>
    </xf>
    <xf numFmtId="0" fontId="0" fillId="16" borderId="0" xfId="0" applyFill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horizontal="left" wrapText="1"/>
    </xf>
    <xf numFmtId="165" fontId="3" fillId="0" borderId="0" xfId="0" applyNumberFormat="1" applyFont="1" applyAlignment="1">
      <alignment horizontal="left" vertical="center"/>
    </xf>
    <xf numFmtId="41" fontId="3" fillId="0" borderId="1" xfId="4" applyFont="1" applyFill="1" applyBorder="1" applyAlignment="1">
      <alignment horizontal="left"/>
    </xf>
    <xf numFmtId="41" fontId="0" fillId="0" borderId="1" xfId="4" applyFont="1" applyFill="1" applyBorder="1" applyAlignment="1">
      <alignment horizontal="left"/>
    </xf>
    <xf numFmtId="41" fontId="0" fillId="0" borderId="0" xfId="4" applyFont="1" applyAlignment="1">
      <alignment horizontal="left" vertical="center"/>
    </xf>
    <xf numFmtId="41" fontId="3" fillId="0" borderId="0" xfId="4" applyFont="1" applyAlignment="1">
      <alignment horizontal="left" vertical="center"/>
    </xf>
    <xf numFmtId="43" fontId="13" fillId="5" borderId="5" xfId="1" applyFont="1" applyFill="1" applyBorder="1"/>
    <xf numFmtId="0" fontId="0" fillId="5" borderId="0" xfId="0" applyFill="1"/>
    <xf numFmtId="0" fontId="0" fillId="5" borderId="5" xfId="0" quotePrefix="1" applyFont="1" applyFill="1" applyBorder="1" applyAlignment="1">
      <alignment horizontal="left" vertical="center"/>
    </xf>
    <xf numFmtId="43" fontId="0" fillId="5" borderId="5" xfId="1" applyFont="1" applyFill="1" applyBorder="1" applyAlignment="1">
      <alignment vertical="center"/>
    </xf>
    <xf numFmtId="41" fontId="0" fillId="0" borderId="0" xfId="4" applyFont="1" applyFill="1" applyBorder="1"/>
    <xf numFmtId="41" fontId="3" fillId="0" borderId="0" xfId="0" applyNumberFormat="1" applyFont="1" applyAlignment="1">
      <alignment horizontal="left" vertical="center"/>
    </xf>
    <xf numFmtId="0" fontId="0" fillId="14" borderId="1" xfId="0" applyFill="1" applyBorder="1" applyAlignment="1">
      <alignment horizontal="left" vertical="center"/>
    </xf>
    <xf numFmtId="43" fontId="0" fillId="14" borderId="1" xfId="1" applyFont="1" applyFill="1" applyBorder="1" applyAlignment="1">
      <alignment horizontal="left" vertical="center"/>
    </xf>
    <xf numFmtId="0" fontId="0" fillId="17" borderId="1" xfId="0" applyFill="1" applyBorder="1" applyAlignment="1">
      <alignment horizontal="left" vertical="center"/>
    </xf>
    <xf numFmtId="0" fontId="0" fillId="18" borderId="1" xfId="0" applyFill="1" applyBorder="1" applyAlignment="1">
      <alignment horizontal="left" vertical="center"/>
    </xf>
    <xf numFmtId="0" fontId="0" fillId="19" borderId="1" xfId="0" applyFill="1" applyBorder="1" applyAlignment="1">
      <alignment horizontal="left" vertical="center"/>
    </xf>
    <xf numFmtId="0" fontId="0" fillId="20" borderId="1" xfId="0" applyFill="1" applyBorder="1" applyAlignment="1">
      <alignment horizontal="left" vertical="center"/>
    </xf>
    <xf numFmtId="41" fontId="0" fillId="19" borderId="1" xfId="4" applyFont="1" applyFill="1" applyBorder="1" applyAlignment="1">
      <alignment horizontal="left" vertical="center"/>
    </xf>
    <xf numFmtId="41" fontId="0" fillId="17" borderId="1" xfId="4" applyFont="1" applyFill="1" applyBorder="1" applyAlignment="1">
      <alignment horizontal="left" vertical="center"/>
    </xf>
    <xf numFmtId="41" fontId="0" fillId="20" borderId="1" xfId="4" applyFont="1" applyFill="1" applyBorder="1" applyAlignment="1">
      <alignment horizontal="left" vertical="center"/>
    </xf>
    <xf numFmtId="41" fontId="0" fillId="18" borderId="1" xfId="4" applyFont="1" applyFill="1" applyBorder="1" applyAlignment="1">
      <alignment horizontal="left" vertical="center"/>
    </xf>
    <xf numFmtId="0" fontId="3" fillId="2" borderId="9" xfId="0" quotePrefix="1" applyFont="1" applyFill="1" applyBorder="1"/>
    <xf numFmtId="0" fontId="6" fillId="0" borderId="9" xfId="0" applyFont="1" applyBorder="1" applyAlignment="1">
      <alignment vertical="center"/>
    </xf>
    <xf numFmtId="0" fontId="6" fillId="0" borderId="9" xfId="0" applyFont="1" applyBorder="1"/>
    <xf numFmtId="43" fontId="6" fillId="0" borderId="9" xfId="1" applyFont="1" applyBorder="1" applyAlignment="1">
      <alignment vertical="center"/>
    </xf>
    <xf numFmtId="43" fontId="6" fillId="0" borderId="9" xfId="1" applyFont="1" applyBorder="1"/>
    <xf numFmtId="43" fontId="7" fillId="2" borderId="9" xfId="1" applyFont="1" applyFill="1" applyBorder="1" applyAlignment="1">
      <alignment vertical="center"/>
    </xf>
    <xf numFmtId="43" fontId="7" fillId="2" borderId="9" xfId="1" applyFont="1" applyFill="1" applyBorder="1"/>
    <xf numFmtId="0" fontId="0" fillId="7" borderId="5" xfId="0" quotePrefix="1" applyFont="1" applyFill="1" applyBorder="1" applyAlignment="1">
      <alignment horizontal="left"/>
    </xf>
    <xf numFmtId="0" fontId="0" fillId="7" borderId="5" xfId="0" quotePrefix="1" applyFont="1" applyFill="1" applyBorder="1"/>
    <xf numFmtId="164" fontId="3" fillId="0" borderId="0" xfId="0" applyNumberFormat="1" applyFont="1" applyAlignment="1">
      <alignment horizontal="left" vertical="center"/>
    </xf>
    <xf numFmtId="43" fontId="0" fillId="0" borderId="11" xfId="1" applyFont="1" applyFill="1" applyBorder="1" applyAlignment="1">
      <alignment horizontal="left"/>
    </xf>
    <xf numFmtId="165" fontId="0" fillId="0" borderId="0" xfId="0" applyNumberFormat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 wrapText="1"/>
    </xf>
    <xf numFmtId="43" fontId="3" fillId="2" borderId="11" xfId="1" applyFont="1" applyFill="1" applyBorder="1" applyAlignment="1">
      <alignment horizontal="left" vertical="center"/>
    </xf>
    <xf numFmtId="43" fontId="3" fillId="14" borderId="11" xfId="1" applyFont="1" applyFill="1" applyBorder="1" applyAlignment="1">
      <alignment horizontal="left" vertical="center"/>
    </xf>
    <xf numFmtId="0" fontId="3" fillId="14" borderId="0" xfId="0" applyFont="1" applyFill="1" applyAlignment="1">
      <alignment horizontal="left" vertical="center"/>
    </xf>
    <xf numFmtId="43" fontId="0" fillId="0" borderId="0" xfId="1" applyFont="1" applyAlignment="1">
      <alignment horizontal="left"/>
    </xf>
    <xf numFmtId="0" fontId="3" fillId="3" borderId="11" xfId="0" applyFont="1" applyFill="1" applyBorder="1" applyAlignment="1">
      <alignment horizontal="left" vertical="center"/>
    </xf>
    <xf numFmtId="0" fontId="3" fillId="3" borderId="11" xfId="0" applyFont="1" applyFill="1" applyBorder="1" applyAlignment="1">
      <alignment horizontal="left" vertical="center" wrapText="1"/>
    </xf>
    <xf numFmtId="43" fontId="3" fillId="3" borderId="11" xfId="1" applyFont="1" applyFill="1" applyBorder="1" applyAlignment="1">
      <alignment horizontal="left" vertical="center"/>
    </xf>
    <xf numFmtId="0" fontId="3" fillId="4" borderId="11" xfId="0" applyFont="1" applyFill="1" applyBorder="1" applyAlignment="1">
      <alignment horizontal="left" vertical="center"/>
    </xf>
    <xf numFmtId="0" fontId="3" fillId="4" borderId="11" xfId="0" applyFont="1" applyFill="1" applyBorder="1" applyAlignment="1">
      <alignment horizontal="left" vertical="center" wrapText="1"/>
    </xf>
    <xf numFmtId="43" fontId="3" fillId="4" borderId="11" xfId="1" applyFont="1" applyFill="1" applyBorder="1" applyAlignment="1">
      <alignment horizontal="left" vertical="center"/>
    </xf>
    <xf numFmtId="0" fontId="0" fillId="5" borderId="11" xfId="0" applyFill="1" applyBorder="1" applyAlignment="1">
      <alignment horizontal="left" vertical="center"/>
    </xf>
    <xf numFmtId="0" fontId="0" fillId="5" borderId="11" xfId="0" applyFill="1" applyBorder="1" applyAlignment="1">
      <alignment horizontal="left" vertical="center" wrapText="1"/>
    </xf>
    <xf numFmtId="43" fontId="0" fillId="5" borderId="11" xfId="1" applyFont="1" applyFill="1" applyBorder="1" applyAlignment="1">
      <alignment horizontal="left" vertical="center"/>
    </xf>
    <xf numFmtId="41" fontId="0" fillId="0" borderId="0" xfId="0" applyNumberFormat="1" applyAlignment="1">
      <alignment horizontal="left" vertical="center"/>
    </xf>
    <xf numFmtId="0" fontId="3" fillId="0" borderId="11" xfId="0" applyFont="1" applyFill="1" applyBorder="1"/>
    <xf numFmtId="41" fontId="0" fillId="0" borderId="11" xfId="4" applyFont="1" applyFill="1" applyBorder="1"/>
    <xf numFmtId="0" fontId="0" fillId="3" borderId="11" xfId="0" applyFill="1" applyBorder="1" applyAlignment="1">
      <alignment horizontal="left" vertical="center"/>
    </xf>
    <xf numFmtId="43" fontId="0" fillId="3" borderId="11" xfId="1" applyFont="1" applyFill="1" applyBorder="1" applyAlignment="1">
      <alignment horizontal="left" vertical="center"/>
    </xf>
    <xf numFmtId="0" fontId="0" fillId="3" borderId="11" xfId="0" applyFill="1" applyBorder="1" applyAlignment="1">
      <alignment horizontal="left" vertical="center" wrapText="1"/>
    </xf>
    <xf numFmtId="0" fontId="3" fillId="4" borderId="11" xfId="0" applyFont="1" applyFill="1" applyBorder="1"/>
    <xf numFmtId="41" fontId="0" fillId="4" borderId="11" xfId="4" applyFont="1" applyFill="1" applyBorder="1"/>
    <xf numFmtId="166" fontId="0" fillId="0" borderId="0" xfId="0" applyNumberFormat="1" applyFont="1" applyFill="1" applyBorder="1"/>
    <xf numFmtId="43" fontId="8" fillId="12" borderId="0" xfId="1" applyFont="1" applyFill="1" applyBorder="1"/>
    <xf numFmtId="43" fontId="9" fillId="0" borderId="0" xfId="6" applyFont="1" applyFill="1" applyBorder="1" applyAlignment="1">
      <alignment horizontal="left"/>
    </xf>
    <xf numFmtId="43" fontId="9" fillId="0" borderId="10" xfId="1" applyFont="1" applyBorder="1"/>
    <xf numFmtId="9" fontId="3" fillId="2" borderId="7" xfId="3" applyFont="1" applyFill="1" applyBorder="1" applyAlignment="1">
      <alignment horizontal="center" vertical="center"/>
    </xf>
    <xf numFmtId="43" fontId="7" fillId="10" borderId="9" xfId="1" applyFont="1" applyFill="1" applyBorder="1" applyAlignment="1">
      <alignment horizontal="center" vertical="center"/>
    </xf>
    <xf numFmtId="43" fontId="7" fillId="11" borderId="9" xfId="1" applyFont="1" applyFill="1" applyBorder="1" applyAlignment="1">
      <alignment vertical="center"/>
    </xf>
    <xf numFmtId="43" fontId="7" fillId="11" borderId="9" xfId="1" applyFont="1" applyFill="1" applyBorder="1"/>
    <xf numFmtId="43" fontId="7" fillId="12" borderId="9" xfId="1" applyFont="1" applyFill="1" applyBorder="1" applyAlignment="1">
      <alignment vertical="center"/>
    </xf>
    <xf numFmtId="43" fontId="7" fillId="12" borderId="9" xfId="1" applyFont="1" applyFill="1" applyBorder="1"/>
    <xf numFmtId="43" fontId="12" fillId="6" borderId="9" xfId="1" applyFont="1" applyFill="1" applyBorder="1"/>
    <xf numFmtId="43" fontId="12" fillId="6" borderId="9" xfId="1" applyFont="1" applyFill="1" applyBorder="1" applyAlignment="1">
      <alignment vertical="center"/>
    </xf>
    <xf numFmtId="43" fontId="6" fillId="0" borderId="9" xfId="0" applyNumberFormat="1" applyFont="1" applyBorder="1" applyAlignment="1">
      <alignment vertical="center"/>
    </xf>
    <xf numFmtId="0" fontId="5" fillId="9" borderId="13" xfId="0" applyNumberFormat="1" applyFont="1" applyFill="1" applyBorder="1" applyAlignment="1">
      <alignment horizontal="center" vertical="center" wrapText="1"/>
    </xf>
    <xf numFmtId="0" fontId="5" fillId="9" borderId="13" xfId="0" applyFont="1" applyFill="1" applyBorder="1" applyAlignment="1">
      <alignment horizontal="center" vertical="center" wrapText="1"/>
    </xf>
    <xf numFmtId="43" fontId="5" fillId="9" borderId="13" xfId="1" applyFont="1" applyFill="1" applyBorder="1" applyAlignment="1">
      <alignment horizontal="center" vertical="center" wrapText="1"/>
    </xf>
    <xf numFmtId="43" fontId="5" fillId="9" borderId="13" xfId="1" applyFont="1" applyFill="1" applyBorder="1" applyAlignment="1">
      <alignment horizontal="center" vertical="center"/>
    </xf>
    <xf numFmtId="1" fontId="7" fillId="21" borderId="5" xfId="0" applyNumberFormat="1" applyFont="1" applyFill="1" applyBorder="1" applyAlignment="1">
      <alignment vertical="center"/>
    </xf>
    <xf numFmtId="41" fontId="7" fillId="21" borderId="5" xfId="4" applyFont="1" applyFill="1" applyBorder="1" applyAlignment="1">
      <alignment vertical="center"/>
    </xf>
    <xf numFmtId="1" fontId="7" fillId="3" borderId="5" xfId="0" applyNumberFormat="1" applyFont="1" applyFill="1" applyBorder="1" applyAlignment="1">
      <alignment vertical="center"/>
    </xf>
    <xf numFmtId="41" fontId="7" fillId="3" borderId="5" xfId="4" applyFont="1" applyFill="1" applyBorder="1" applyAlignment="1">
      <alignment vertical="center"/>
    </xf>
    <xf numFmtId="1" fontId="6" fillId="5" borderId="5" xfId="0" applyNumberFormat="1" applyFont="1" applyFill="1" applyBorder="1" applyAlignment="1">
      <alignment vertical="center"/>
    </xf>
    <xf numFmtId="41" fontId="6" fillId="5" borderId="5" xfId="4" applyFont="1" applyFill="1" applyBorder="1" applyAlignment="1">
      <alignment vertical="center"/>
    </xf>
    <xf numFmtId="9" fontId="7" fillId="21" borderId="5" xfId="3" applyFont="1" applyFill="1" applyBorder="1" applyAlignment="1">
      <alignment horizontal="center" vertical="center"/>
    </xf>
    <xf numFmtId="9" fontId="7" fillId="3" borderId="5" xfId="3" applyFont="1" applyFill="1" applyBorder="1" applyAlignment="1">
      <alignment horizontal="center" vertical="center"/>
    </xf>
    <xf numFmtId="9" fontId="6" fillId="5" borderId="5" xfId="3" applyFont="1" applyFill="1" applyBorder="1" applyAlignment="1">
      <alignment horizontal="center" vertical="center"/>
    </xf>
    <xf numFmtId="0" fontId="10" fillId="0" borderId="9" xfId="0" applyFont="1" applyBorder="1"/>
    <xf numFmtId="167" fontId="1" fillId="0" borderId="9" xfId="4" applyNumberFormat="1" applyFont="1" applyFill="1" applyBorder="1" applyAlignment="1">
      <alignment horizontal="right" vertical="center" wrapText="1"/>
    </xf>
    <xf numFmtId="43" fontId="10" fillId="0" borderId="9" xfId="0" applyNumberFormat="1" applyFont="1" applyBorder="1"/>
    <xf numFmtId="43" fontId="2" fillId="6" borderId="9" xfId="1" applyFont="1" applyFill="1" applyBorder="1" applyAlignment="1">
      <alignment horizontal="center" vertical="center" wrapText="1"/>
    </xf>
    <xf numFmtId="43" fontId="0" fillId="2" borderId="9" xfId="1" applyFont="1" applyFill="1" applyBorder="1" applyAlignment="1">
      <alignment horizontal="left" vertical="center"/>
    </xf>
    <xf numFmtId="43" fontId="3" fillId="2" borderId="9" xfId="1" applyFont="1" applyFill="1" applyBorder="1" applyAlignment="1">
      <alignment horizontal="left" vertical="center"/>
    </xf>
    <xf numFmtId="43" fontId="0" fillId="3" borderId="9" xfId="1" applyFont="1" applyFill="1" applyBorder="1" applyAlignment="1">
      <alignment horizontal="left" vertical="center"/>
    </xf>
    <xf numFmtId="43" fontId="3" fillId="3" borderId="9" xfId="1" applyFont="1" applyFill="1" applyBorder="1" applyAlignment="1">
      <alignment horizontal="left" vertical="center"/>
    </xf>
    <xf numFmtId="43" fontId="0" fillId="4" borderId="9" xfId="1" applyFont="1" applyFill="1" applyBorder="1" applyAlignment="1">
      <alignment horizontal="left" vertical="center"/>
    </xf>
    <xf numFmtId="43" fontId="3" fillId="4" borderId="9" xfId="1" applyFont="1" applyFill="1" applyBorder="1" applyAlignment="1">
      <alignment horizontal="left" vertical="center"/>
    </xf>
    <xf numFmtId="43" fontId="0" fillId="5" borderId="9" xfId="1" applyFont="1" applyFill="1" applyBorder="1" applyAlignment="1">
      <alignment horizontal="left" vertical="center"/>
    </xf>
    <xf numFmtId="43" fontId="0" fillId="0" borderId="9" xfId="1" applyFont="1" applyFill="1" applyBorder="1" applyAlignment="1">
      <alignment horizontal="left" vertical="center"/>
    </xf>
    <xf numFmtId="43" fontId="8" fillId="13" borderId="12" xfId="1" applyFont="1" applyFill="1" applyBorder="1" applyAlignment="1">
      <alignment horizontal="center" vertical="center" wrapText="1"/>
    </xf>
    <xf numFmtId="43" fontId="8" fillId="13" borderId="9" xfId="1" applyFont="1" applyFill="1" applyBorder="1" applyAlignment="1">
      <alignment horizontal="center" vertical="center" wrapText="1"/>
    </xf>
    <xf numFmtId="0" fontId="11" fillId="0" borderId="0" xfId="0" applyFont="1"/>
    <xf numFmtId="1" fontId="11" fillId="21" borderId="9" xfId="0" applyNumberFormat="1" applyFont="1" applyFill="1" applyBorder="1" applyAlignment="1">
      <alignment horizontal="left"/>
    </xf>
    <xf numFmtId="0" fontId="11" fillId="21" borderId="9" xfId="0" applyFont="1" applyFill="1" applyBorder="1"/>
    <xf numFmtId="41" fontId="11" fillId="21" borderId="9" xfId="4" applyFont="1" applyFill="1" applyBorder="1"/>
    <xf numFmtId="1" fontId="11" fillId="23" borderId="9" xfId="0" applyNumberFormat="1" applyFont="1" applyFill="1" applyBorder="1" applyAlignment="1">
      <alignment horizontal="left"/>
    </xf>
    <xf numFmtId="0" fontId="11" fillId="23" borderId="9" xfId="0" applyFont="1" applyFill="1" applyBorder="1"/>
    <xf numFmtId="41" fontId="11" fillId="23" borderId="9" xfId="4" applyFont="1" applyFill="1" applyBorder="1"/>
    <xf numFmtId="1" fontId="10" fillId="5" borderId="9" xfId="0" applyNumberFormat="1" applyFont="1" applyFill="1" applyBorder="1" applyAlignment="1">
      <alignment horizontal="left"/>
    </xf>
    <xf numFmtId="1" fontId="10" fillId="5" borderId="9" xfId="0" applyNumberFormat="1" applyFont="1" applyFill="1" applyBorder="1"/>
    <xf numFmtId="0" fontId="10" fillId="5" borderId="9" xfId="0" applyFont="1" applyFill="1" applyBorder="1"/>
    <xf numFmtId="41" fontId="10" fillId="5" borderId="9" xfId="4" applyFont="1" applyFill="1" applyBorder="1"/>
    <xf numFmtId="9" fontId="11" fillId="21" borderId="9" xfId="3" applyFont="1" applyFill="1" applyBorder="1" applyAlignment="1">
      <alignment horizontal="center"/>
    </xf>
    <xf numFmtId="9" fontId="11" fillId="23" borderId="9" xfId="3" applyFont="1" applyFill="1" applyBorder="1" applyAlignment="1">
      <alignment horizontal="center"/>
    </xf>
    <xf numFmtId="9" fontId="10" fillId="5" borderId="9" xfId="3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41" fontId="0" fillId="0" borderId="0" xfId="4" applyFont="1"/>
    <xf numFmtId="1" fontId="0" fillId="0" borderId="0" xfId="0" applyNumberFormat="1"/>
    <xf numFmtId="41" fontId="0" fillId="0" borderId="0" xfId="0" applyNumberFormat="1"/>
    <xf numFmtId="0" fontId="0" fillId="0" borderId="9" xfId="0" applyBorder="1"/>
    <xf numFmtId="0" fontId="0" fillId="23" borderId="9" xfId="0" applyFill="1" applyBorder="1"/>
    <xf numFmtId="41" fontId="0" fillId="23" borderId="9" xfId="4" applyFont="1" applyFill="1" applyBorder="1"/>
    <xf numFmtId="1" fontId="0" fillId="23" borderId="9" xfId="0" applyNumberFormat="1" applyFill="1" applyBorder="1"/>
    <xf numFmtId="0" fontId="3" fillId="21" borderId="9" xfId="0" applyFont="1" applyFill="1" applyBorder="1"/>
    <xf numFmtId="41" fontId="3" fillId="21" borderId="9" xfId="0" applyNumberFormat="1" applyFont="1" applyFill="1" applyBorder="1"/>
    <xf numFmtId="0" fontId="3" fillId="0" borderId="0" xfId="0" applyFont="1"/>
    <xf numFmtId="41" fontId="3" fillId="21" borderId="9" xfId="4" applyFont="1" applyFill="1" applyBorder="1"/>
    <xf numFmtId="1" fontId="3" fillId="23" borderId="9" xfId="0" applyNumberFormat="1" applyFont="1" applyFill="1" applyBorder="1"/>
    <xf numFmtId="41" fontId="3" fillId="23" borderId="9" xfId="4" applyFont="1" applyFill="1" applyBorder="1"/>
    <xf numFmtId="1" fontId="3" fillId="21" borderId="9" xfId="0" applyNumberFormat="1" applyFont="1" applyFill="1" applyBorder="1"/>
    <xf numFmtId="0" fontId="0" fillId="22" borderId="14" xfId="0" applyFill="1" applyBorder="1" applyAlignment="1">
      <alignment horizontal="center"/>
    </xf>
    <xf numFmtId="0" fontId="0" fillId="22" borderId="14" xfId="0" applyFill="1" applyBorder="1" applyAlignment="1"/>
    <xf numFmtId="0" fontId="3" fillId="21" borderId="16" xfId="0" applyFont="1" applyFill="1" applyBorder="1" applyAlignment="1">
      <alignment vertical="center"/>
    </xf>
    <xf numFmtId="0" fontId="0" fillId="22" borderId="0" xfId="0" applyFill="1" applyBorder="1" applyAlignment="1"/>
    <xf numFmtId="0" fontId="3" fillId="12" borderId="9" xfId="0" applyFont="1" applyFill="1" applyBorder="1" applyAlignment="1"/>
    <xf numFmtId="0" fontId="3" fillId="0" borderId="9" xfId="0" applyFont="1" applyBorder="1" applyAlignment="1"/>
    <xf numFmtId="0" fontId="0" fillId="24" borderId="9" xfId="0" applyFill="1" applyBorder="1"/>
    <xf numFmtId="41" fontId="3" fillId="12" borderId="9" xfId="0" applyNumberFormat="1" applyFont="1" applyFill="1" applyBorder="1" applyAlignment="1"/>
    <xf numFmtId="41" fontId="0" fillId="24" borderId="9" xfId="4" applyFont="1" applyFill="1" applyBorder="1"/>
    <xf numFmtId="1" fontId="0" fillId="24" borderId="9" xfId="0" applyNumberFormat="1" applyFill="1" applyBorder="1"/>
    <xf numFmtId="0" fontId="0" fillId="0" borderId="9" xfId="0" applyFill="1" applyBorder="1"/>
    <xf numFmtId="41" fontId="0" fillId="0" borderId="9" xfId="4" applyFont="1" applyFill="1" applyBorder="1"/>
    <xf numFmtId="0" fontId="0" fillId="0" borderId="0" xfId="0" applyFill="1"/>
    <xf numFmtId="1" fontId="0" fillId="0" borderId="9" xfId="0" applyNumberFormat="1" applyFill="1" applyBorder="1"/>
    <xf numFmtId="41" fontId="0" fillId="0" borderId="0" xfId="0" applyNumberFormat="1" applyFill="1"/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0" fontId="2" fillId="6" borderId="9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/>
    </xf>
    <xf numFmtId="9" fontId="0" fillId="0" borderId="0" xfId="3" applyFont="1" applyAlignment="1">
      <alignment horizontal="center"/>
    </xf>
    <xf numFmtId="9" fontId="0" fillId="0" borderId="9" xfId="3" applyFont="1" applyBorder="1" applyAlignment="1">
      <alignment horizontal="center"/>
    </xf>
    <xf numFmtId="9" fontId="6" fillId="0" borderId="0" xfId="3" applyFont="1"/>
    <xf numFmtId="0" fontId="0" fillId="23" borderId="9" xfId="0" applyFill="1" applyBorder="1" applyAlignment="1">
      <alignment wrapText="1"/>
    </xf>
    <xf numFmtId="1" fontId="0" fillId="23" borderId="9" xfId="0" applyNumberFormat="1" applyFill="1" applyBorder="1" applyAlignment="1">
      <alignment wrapText="1"/>
    </xf>
    <xf numFmtId="9" fontId="3" fillId="21" borderId="9" xfId="3" applyFont="1" applyFill="1" applyBorder="1" applyAlignment="1">
      <alignment horizontal="center"/>
    </xf>
    <xf numFmtId="9" fontId="3" fillId="12" borderId="9" xfId="3" applyFont="1" applyFill="1" applyBorder="1" applyAlignment="1">
      <alignment horizontal="center"/>
    </xf>
    <xf numFmtId="0" fontId="15" fillId="0" borderId="0" xfId="0" applyFont="1"/>
    <xf numFmtId="43" fontId="3" fillId="5" borderId="9" xfId="1" applyFont="1" applyFill="1" applyBorder="1" applyAlignment="1">
      <alignment horizontal="left" vertical="center"/>
    </xf>
    <xf numFmtId="0" fontId="0" fillId="5" borderId="20" xfId="0" applyFill="1" applyBorder="1" applyAlignment="1">
      <alignment horizontal="left" vertical="center"/>
    </xf>
    <xf numFmtId="0" fontId="0" fillId="5" borderId="20" xfId="0" applyFill="1" applyBorder="1" applyAlignment="1">
      <alignment horizontal="left" vertical="center" wrapText="1"/>
    </xf>
    <xf numFmtId="43" fontId="0" fillId="5" borderId="20" xfId="1" applyFont="1" applyFill="1" applyBorder="1" applyAlignment="1">
      <alignment horizontal="left" vertical="center"/>
    </xf>
    <xf numFmtId="43" fontId="0" fillId="0" borderId="20" xfId="1" applyFont="1" applyFill="1" applyBorder="1" applyAlignment="1">
      <alignment horizontal="left"/>
    </xf>
    <xf numFmtId="0" fontId="3" fillId="23" borderId="0" xfId="0" applyFont="1" applyFill="1" applyAlignment="1">
      <alignment horizontal="left" vertical="center"/>
    </xf>
    <xf numFmtId="0" fontId="3" fillId="23" borderId="11" xfId="0" applyFont="1" applyFill="1" applyBorder="1" applyAlignment="1">
      <alignment horizontal="left" vertical="center" wrapText="1"/>
    </xf>
    <xf numFmtId="43" fontId="3" fillId="23" borderId="11" xfId="1" applyFont="1" applyFill="1" applyBorder="1" applyAlignment="1">
      <alignment horizontal="left" vertical="center"/>
    </xf>
    <xf numFmtId="43" fontId="3" fillId="23" borderId="11" xfId="1" applyFont="1" applyFill="1" applyBorder="1" applyAlignment="1">
      <alignment horizontal="left"/>
    </xf>
    <xf numFmtId="40" fontId="3" fillId="2" borderId="11" xfId="1" applyNumberFormat="1" applyFont="1" applyFill="1" applyBorder="1" applyAlignment="1">
      <alignment horizontal="right" vertical="center"/>
    </xf>
    <xf numFmtId="40" fontId="3" fillId="4" borderId="11" xfId="1" applyNumberFormat="1" applyFont="1" applyFill="1" applyBorder="1" applyAlignment="1">
      <alignment horizontal="right" vertical="center"/>
    </xf>
    <xf numFmtId="40" fontId="0" fillId="5" borderId="11" xfId="1" applyNumberFormat="1" applyFont="1" applyFill="1" applyBorder="1" applyAlignment="1">
      <alignment horizontal="right" vertical="center"/>
    </xf>
    <xf numFmtId="40" fontId="3" fillId="23" borderId="11" xfId="1" applyNumberFormat="1" applyFont="1" applyFill="1" applyBorder="1" applyAlignment="1">
      <alignment horizontal="right" vertical="center"/>
    </xf>
    <xf numFmtId="43" fontId="0" fillId="0" borderId="0" xfId="0" applyNumberFormat="1" applyAlignment="1">
      <alignment horizontal="left" vertical="center"/>
    </xf>
    <xf numFmtId="168" fontId="3" fillId="0" borderId="0" xfId="0" applyNumberFormat="1" applyFont="1" applyAlignment="1">
      <alignment horizontal="left" vertical="center"/>
    </xf>
    <xf numFmtId="0" fontId="0" fillId="0" borderId="0" xfId="0" applyFont="1" applyAlignment="1"/>
    <xf numFmtId="169" fontId="16" fillId="0" borderId="0" xfId="0" applyNumberFormat="1" applyFont="1"/>
    <xf numFmtId="0" fontId="16" fillId="0" borderId="21" xfId="0" applyFont="1" applyBorder="1"/>
    <xf numFmtId="169" fontId="16" fillId="0" borderId="21" xfId="0" applyNumberFormat="1" applyFont="1" applyBorder="1"/>
    <xf numFmtId="169" fontId="19" fillId="0" borderId="21" xfId="0" applyNumberFormat="1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20" fillId="0" borderId="21" xfId="0" applyFont="1" applyBorder="1"/>
    <xf numFmtId="169" fontId="20" fillId="0" borderId="21" xfId="0" applyNumberFormat="1" applyFont="1" applyBorder="1"/>
    <xf numFmtId="41" fontId="16" fillId="0" borderId="0" xfId="4" applyFont="1"/>
    <xf numFmtId="169" fontId="0" fillId="0" borderId="0" xfId="0" applyNumberFormat="1" applyFont="1" applyAlignment="1"/>
    <xf numFmtId="0" fontId="16" fillId="25" borderId="21" xfId="0" applyFont="1" applyFill="1" applyBorder="1"/>
    <xf numFmtId="169" fontId="16" fillId="25" borderId="21" xfId="0" applyNumberFormat="1" applyFont="1" applyFill="1" applyBorder="1"/>
    <xf numFmtId="0" fontId="16" fillId="26" borderId="21" xfId="0" applyFont="1" applyFill="1" applyBorder="1" applyAlignment="1">
      <alignment wrapText="1"/>
    </xf>
    <xf numFmtId="169" fontId="16" fillId="26" borderId="21" xfId="0" applyNumberFormat="1" applyFont="1" applyFill="1" applyBorder="1"/>
    <xf numFmtId="170" fontId="16" fillId="0" borderId="0" xfId="0" applyNumberFormat="1" applyFont="1"/>
    <xf numFmtId="0" fontId="16" fillId="0" borderId="21" xfId="0" applyFont="1" applyBorder="1" applyAlignment="1">
      <alignment wrapText="1"/>
    </xf>
    <xf numFmtId="0" fontId="16" fillId="25" borderId="21" xfId="0" applyFont="1" applyFill="1" applyBorder="1" applyAlignment="1">
      <alignment wrapText="1"/>
    </xf>
    <xf numFmtId="0" fontId="16" fillId="0" borderId="21" xfId="0" applyFont="1" applyBorder="1" applyAlignment="1">
      <alignment vertical="top" wrapText="1"/>
    </xf>
    <xf numFmtId="169" fontId="16" fillId="0" borderId="21" xfId="0" applyNumberFormat="1" applyFont="1" applyBorder="1" applyAlignment="1">
      <alignment vertical="top"/>
    </xf>
    <xf numFmtId="0" fontId="16" fillId="0" borderId="0" xfId="0" applyFont="1" applyAlignment="1">
      <alignment wrapText="1"/>
    </xf>
    <xf numFmtId="0" fontId="19" fillId="0" borderId="25" xfId="0" applyFont="1" applyFill="1" applyBorder="1" applyAlignment="1">
      <alignment horizontal="center"/>
    </xf>
    <xf numFmtId="0" fontId="19" fillId="0" borderId="25" xfId="0" applyFont="1" applyFill="1" applyBorder="1" applyAlignment="1">
      <alignment horizontal="center" wrapText="1"/>
    </xf>
    <xf numFmtId="41" fontId="0" fillId="23" borderId="18" xfId="4" applyFont="1" applyFill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1" fontId="0" fillId="23" borderId="18" xfId="0" applyNumberFormat="1" applyFill="1" applyBorder="1" applyAlignment="1">
      <alignment vertical="center" wrapText="1"/>
    </xf>
    <xf numFmtId="1" fontId="0" fillId="23" borderId="19" xfId="0" applyNumberFormat="1" applyFill="1" applyBorder="1" applyAlignment="1">
      <alignment vertical="center" wrapText="1"/>
    </xf>
    <xf numFmtId="0" fontId="3" fillId="0" borderId="0" xfId="0" applyFont="1" applyFill="1" applyBorder="1" applyAlignment="1">
      <alignment horizontal="left"/>
    </xf>
    <xf numFmtId="165" fontId="3" fillId="0" borderId="0" xfId="0" applyNumberFormat="1" applyFont="1" applyFill="1" applyBorder="1"/>
    <xf numFmtId="41" fontId="3" fillId="0" borderId="0" xfId="4" applyFont="1" applyFill="1" applyBorder="1"/>
    <xf numFmtId="0" fontId="3" fillId="2" borderId="26" xfId="0" quotePrefix="1" applyFont="1" applyFill="1" applyBorder="1" applyAlignment="1">
      <alignment horizontal="left"/>
    </xf>
    <xf numFmtId="43" fontId="3" fillId="2" borderId="9" xfId="1" applyFont="1" applyFill="1" applyBorder="1"/>
    <xf numFmtId="0" fontId="3" fillId="17" borderId="9" xfId="0" applyFont="1" applyFill="1" applyBorder="1"/>
    <xf numFmtId="41" fontId="3" fillId="17" borderId="9" xfId="4" applyFont="1" applyFill="1" applyBorder="1"/>
    <xf numFmtId="0" fontId="3" fillId="24" borderId="9" xfId="0" applyFont="1" applyFill="1" applyBorder="1"/>
    <xf numFmtId="41" fontId="3" fillId="24" borderId="9" xfId="4" applyFont="1" applyFill="1" applyBorder="1"/>
    <xf numFmtId="0" fontId="0" fillId="24" borderId="9" xfId="0" applyFont="1" applyFill="1" applyBorder="1"/>
    <xf numFmtId="0" fontId="3" fillId="4" borderId="9" xfId="0" applyFont="1" applyFill="1" applyBorder="1"/>
    <xf numFmtId="41" fontId="3" fillId="4" borderId="9" xfId="4" applyFont="1" applyFill="1" applyBorder="1"/>
    <xf numFmtId="0" fontId="0" fillId="5" borderId="9" xfId="0" applyFont="1" applyFill="1" applyBorder="1"/>
    <xf numFmtId="41" fontId="0" fillId="5" borderId="9" xfId="4" applyFont="1" applyFill="1" applyBorder="1"/>
    <xf numFmtId="0" fontId="3" fillId="5" borderId="9" xfId="0" applyFont="1" applyFill="1" applyBorder="1"/>
    <xf numFmtId="41" fontId="3" fillId="5" borderId="9" xfId="4" applyFont="1" applyFill="1" applyBorder="1"/>
    <xf numFmtId="9" fontId="3" fillId="0" borderId="0" xfId="3" applyFont="1" applyFill="1" applyBorder="1" applyAlignment="1">
      <alignment horizontal="center"/>
    </xf>
    <xf numFmtId="43" fontId="3" fillId="5" borderId="9" xfId="0" applyNumberFormat="1" applyFont="1" applyFill="1" applyBorder="1"/>
    <xf numFmtId="41" fontId="3" fillId="17" borderId="15" xfId="4" applyFont="1" applyFill="1" applyBorder="1"/>
    <xf numFmtId="41" fontId="3" fillId="4" borderId="15" xfId="4" applyFont="1" applyFill="1" applyBorder="1"/>
    <xf numFmtId="41" fontId="0" fillId="0" borderId="0" xfId="0" applyNumberFormat="1" applyFont="1" applyFill="1" applyBorder="1"/>
    <xf numFmtId="43" fontId="3" fillId="7" borderId="9" xfId="1" applyFont="1" applyFill="1" applyBorder="1"/>
    <xf numFmtId="166" fontId="0" fillId="5" borderId="9" xfId="2" applyNumberFormat="1" applyFont="1" applyFill="1" applyBorder="1" applyAlignment="1">
      <alignment vertical="center"/>
    </xf>
    <xf numFmtId="43" fontId="0" fillId="5" borderId="9" xfId="1" applyFont="1" applyFill="1" applyBorder="1"/>
    <xf numFmtId="0" fontId="3" fillId="2" borderId="27" xfId="0" applyFont="1" applyFill="1" applyBorder="1" applyAlignment="1">
      <alignment horizontal="left" vertical="center"/>
    </xf>
    <xf numFmtId="0" fontId="3" fillId="2" borderId="27" xfId="0" applyFont="1" applyFill="1" applyBorder="1" applyAlignment="1">
      <alignment horizontal="left" vertical="center" wrapText="1"/>
    </xf>
    <xf numFmtId="0" fontId="3" fillId="3" borderId="27" xfId="0" applyFont="1" applyFill="1" applyBorder="1" applyAlignment="1">
      <alignment horizontal="left" vertical="center"/>
    </xf>
    <xf numFmtId="0" fontId="3" fillId="3" borderId="27" xfId="0" applyFont="1" applyFill="1" applyBorder="1" applyAlignment="1">
      <alignment horizontal="left" vertical="center" wrapText="1"/>
    </xf>
    <xf numFmtId="0" fontId="3" fillId="4" borderId="27" xfId="0" applyFont="1" applyFill="1" applyBorder="1" applyAlignment="1">
      <alignment horizontal="left" vertical="center"/>
    </xf>
    <xf numFmtId="0" fontId="3" fillId="4" borderId="27" xfId="0" applyFont="1" applyFill="1" applyBorder="1" applyAlignment="1">
      <alignment horizontal="left" vertical="center" wrapText="1"/>
    </xf>
    <xf numFmtId="0" fontId="0" fillId="5" borderId="27" xfId="0" applyFill="1" applyBorder="1" applyAlignment="1">
      <alignment horizontal="left" vertical="center"/>
    </xf>
    <xf numFmtId="0" fontId="0" fillId="5" borderId="27" xfId="0" applyFill="1" applyBorder="1" applyAlignment="1">
      <alignment horizontal="left" vertical="center" wrapText="1"/>
    </xf>
    <xf numFmtId="0" fontId="0" fillId="3" borderId="27" xfId="0" applyFill="1" applyBorder="1" applyAlignment="1">
      <alignment horizontal="left" vertical="center"/>
    </xf>
    <xf numFmtId="0" fontId="0" fillId="3" borderId="27" xfId="0" applyFill="1" applyBorder="1" applyAlignment="1">
      <alignment horizontal="left" vertical="center" wrapText="1"/>
    </xf>
    <xf numFmtId="0" fontId="3" fillId="2" borderId="28" xfId="0" quotePrefix="1" applyFont="1" applyFill="1" applyBorder="1" applyAlignment="1">
      <alignment horizontal="left"/>
    </xf>
    <xf numFmtId="0" fontId="3" fillId="2" borderId="28" xfId="0" quotePrefix="1" applyFont="1" applyFill="1" applyBorder="1"/>
    <xf numFmtId="0" fontId="3" fillId="7" borderId="28" xfId="0" quotePrefix="1" applyFont="1" applyFill="1" applyBorder="1" applyAlignment="1">
      <alignment horizontal="left"/>
    </xf>
    <xf numFmtId="0" fontId="3" fillId="7" borderId="28" xfId="0" quotePrefix="1" applyFont="1" applyFill="1" applyBorder="1"/>
    <xf numFmtId="0" fontId="3" fillId="4" borderId="28" xfId="0" quotePrefix="1" applyFont="1" applyFill="1" applyBorder="1" applyAlignment="1">
      <alignment horizontal="left"/>
    </xf>
    <xf numFmtId="0" fontId="3" fillId="4" borderId="28" xfId="0" quotePrefix="1" applyFont="1" applyFill="1" applyBorder="1"/>
    <xf numFmtId="0" fontId="0" fillId="5" borderId="28" xfId="0" quotePrefix="1" applyFill="1" applyBorder="1" applyAlignment="1">
      <alignment horizontal="left"/>
    </xf>
    <xf numFmtId="0" fontId="0" fillId="5" borderId="28" xfId="0" quotePrefix="1" applyFill="1" applyBorder="1"/>
    <xf numFmtId="0" fontId="0" fillId="5" borderId="28" xfId="0" quotePrefix="1" applyFont="1" applyFill="1" applyBorder="1" applyAlignment="1">
      <alignment horizontal="left" vertical="center"/>
    </xf>
    <xf numFmtId="43" fontId="3" fillId="2" borderId="28" xfId="1" applyFont="1" applyFill="1" applyBorder="1"/>
    <xf numFmtId="43" fontId="3" fillId="7" borderId="28" xfId="1" applyFont="1" applyFill="1" applyBorder="1"/>
    <xf numFmtId="43" fontId="3" fillId="4" borderId="28" xfId="1" applyFont="1" applyFill="1" applyBorder="1"/>
    <xf numFmtId="43" fontId="0" fillId="5" borderId="28" xfId="1" applyFont="1" applyFill="1" applyBorder="1"/>
    <xf numFmtId="166" fontId="0" fillId="5" borderId="28" xfId="2" applyNumberFormat="1" applyFont="1" applyFill="1" applyBorder="1" applyAlignment="1">
      <alignment vertical="center"/>
    </xf>
    <xf numFmtId="43" fontId="6" fillId="0" borderId="28" xfId="1" applyFont="1" applyBorder="1" applyAlignment="1">
      <alignment vertical="center"/>
    </xf>
    <xf numFmtId="43" fontId="3" fillId="7" borderId="29" xfId="1" applyFont="1" applyFill="1" applyBorder="1"/>
    <xf numFmtId="166" fontId="0" fillId="14" borderId="28" xfId="2" applyNumberFormat="1" applyFont="1" applyFill="1" applyBorder="1" applyAlignment="1">
      <alignment vertical="center"/>
    </xf>
    <xf numFmtId="0" fontId="0" fillId="27" borderId="27" xfId="0" applyFill="1" applyBorder="1" applyAlignment="1">
      <alignment horizontal="left" vertical="center" wrapText="1"/>
    </xf>
    <xf numFmtId="0" fontId="0" fillId="27" borderId="27" xfId="0" applyFill="1" applyBorder="1" applyAlignment="1">
      <alignment horizontal="left" vertical="center"/>
    </xf>
    <xf numFmtId="0" fontId="0" fillId="28" borderId="27" xfId="0" applyFill="1" applyBorder="1" applyAlignment="1">
      <alignment horizontal="left" vertical="center"/>
    </xf>
    <xf numFmtId="43" fontId="3" fillId="2" borderId="27" xfId="1" applyFont="1" applyFill="1" applyBorder="1" applyAlignment="1">
      <alignment horizontal="left" vertical="center"/>
    </xf>
    <xf numFmtId="43" fontId="3" fillId="3" borderId="27" xfId="1" applyFont="1" applyFill="1" applyBorder="1" applyAlignment="1">
      <alignment horizontal="left" vertical="center"/>
    </xf>
    <xf numFmtId="43" fontId="3" fillId="4" borderId="27" xfId="1" applyFont="1" applyFill="1" applyBorder="1" applyAlignment="1">
      <alignment horizontal="left" vertical="center"/>
    </xf>
    <xf numFmtId="43" fontId="0" fillId="5" borderId="27" xfId="1" applyFont="1" applyFill="1" applyBorder="1" applyAlignment="1">
      <alignment horizontal="left" vertical="center"/>
    </xf>
    <xf numFmtId="43" fontId="0" fillId="3" borderId="27" xfId="1" applyFont="1" applyFill="1" applyBorder="1" applyAlignment="1">
      <alignment horizontal="left" vertical="center"/>
    </xf>
    <xf numFmtId="9" fontId="3" fillId="2" borderId="28" xfId="3" applyFont="1" applyFill="1" applyBorder="1" applyAlignment="1">
      <alignment horizontal="center"/>
    </xf>
    <xf numFmtId="9" fontId="3" fillId="7" borderId="28" xfId="3" applyFont="1" applyFill="1" applyBorder="1" applyAlignment="1">
      <alignment horizontal="center"/>
    </xf>
    <xf numFmtId="9" fontId="3" fillId="4" borderId="28" xfId="3" applyFont="1" applyFill="1" applyBorder="1" applyAlignment="1">
      <alignment horizontal="center"/>
    </xf>
    <xf numFmtId="43" fontId="3" fillId="5" borderId="28" xfId="1" applyFont="1" applyFill="1" applyBorder="1"/>
    <xf numFmtId="164" fontId="3" fillId="5" borderId="28" xfId="2" applyNumberFormat="1" applyFont="1" applyFill="1" applyBorder="1" applyAlignment="1">
      <alignment vertical="center"/>
    </xf>
    <xf numFmtId="166" fontId="1" fillId="5" borderId="28" xfId="2" applyNumberFormat="1" applyFont="1" applyFill="1" applyBorder="1" applyAlignment="1">
      <alignment vertical="center"/>
    </xf>
    <xf numFmtId="43" fontId="3" fillId="5" borderId="28" xfId="3" applyNumberFormat="1" applyFont="1" applyFill="1" applyBorder="1" applyAlignment="1">
      <alignment horizontal="center" vertical="center"/>
    </xf>
    <xf numFmtId="9" fontId="0" fillId="5" borderId="28" xfId="3" applyFont="1" applyFill="1" applyBorder="1" applyAlignment="1">
      <alignment horizontal="center" vertical="center"/>
    </xf>
    <xf numFmtId="164" fontId="0" fillId="5" borderId="28" xfId="2" applyNumberFormat="1" applyFont="1" applyFill="1" applyBorder="1" applyAlignment="1">
      <alignment vertical="center"/>
    </xf>
    <xf numFmtId="9" fontId="3" fillId="5" borderId="28" xfId="3" applyFont="1" applyFill="1" applyBorder="1" applyAlignment="1">
      <alignment horizontal="center" vertical="center"/>
    </xf>
    <xf numFmtId="9" fontId="0" fillId="4" borderId="28" xfId="3" applyFont="1" applyFill="1" applyBorder="1" applyAlignment="1">
      <alignment horizontal="center" vertical="center"/>
    </xf>
    <xf numFmtId="43" fontId="0" fillId="24" borderId="28" xfId="1" applyFont="1" applyFill="1" applyBorder="1"/>
    <xf numFmtId="43" fontId="3" fillId="14" borderId="27" xfId="1" applyFont="1" applyFill="1" applyBorder="1" applyAlignment="1">
      <alignment horizontal="left" vertical="center"/>
    </xf>
    <xf numFmtId="43" fontId="0" fillId="29" borderId="27" xfId="1" applyFont="1" applyFill="1" applyBorder="1" applyAlignment="1">
      <alignment horizontal="left" vertical="center"/>
    </xf>
    <xf numFmtId="43" fontId="0" fillId="30" borderId="27" xfId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43" fontId="7" fillId="2" borderId="28" xfId="1" applyFont="1" applyFill="1" applyBorder="1"/>
    <xf numFmtId="41" fontId="7" fillId="21" borderId="0" xfId="4" applyFont="1" applyFill="1" applyBorder="1" applyAlignment="1">
      <alignment vertical="center"/>
    </xf>
    <xf numFmtId="41" fontId="7" fillId="3" borderId="0" xfId="4" applyFont="1" applyFill="1" applyBorder="1" applyAlignment="1">
      <alignment vertical="center"/>
    </xf>
    <xf numFmtId="41" fontId="6" fillId="5" borderId="0" xfId="4" applyFont="1" applyFill="1" applyBorder="1" applyAlignment="1">
      <alignment vertical="center"/>
    </xf>
    <xf numFmtId="43" fontId="8" fillId="13" borderId="0" xfId="1" applyFont="1" applyFill="1" applyBorder="1" applyAlignment="1">
      <alignment horizontal="center" vertical="center" wrapText="1"/>
    </xf>
    <xf numFmtId="43" fontId="8" fillId="2" borderId="0" xfId="1" applyFont="1" applyFill="1" applyBorder="1"/>
    <xf numFmtId="41" fontId="10" fillId="0" borderId="9" xfId="4" applyFont="1" applyBorder="1"/>
    <xf numFmtId="9" fontId="3" fillId="4" borderId="27" xfId="3" applyFont="1" applyFill="1" applyBorder="1" applyAlignment="1">
      <alignment horizontal="center" vertical="center"/>
    </xf>
    <xf numFmtId="9" fontId="3" fillId="3" borderId="27" xfId="3" applyFont="1" applyFill="1" applyBorder="1" applyAlignment="1">
      <alignment horizontal="center" vertical="center"/>
    </xf>
    <xf numFmtId="9" fontId="3" fillId="2" borderId="27" xfId="3" applyFont="1" applyFill="1" applyBorder="1" applyAlignment="1">
      <alignment horizontal="center" vertical="center"/>
    </xf>
    <xf numFmtId="43" fontId="3" fillId="0" borderId="7" xfId="1" applyFont="1" applyFill="1" applyBorder="1" applyAlignment="1">
      <alignment horizontal="left" vertical="center"/>
    </xf>
    <xf numFmtId="43" fontId="3" fillId="0" borderId="27" xfId="1" applyFont="1" applyFill="1" applyBorder="1" applyAlignment="1">
      <alignment horizontal="left" vertical="center"/>
    </xf>
    <xf numFmtId="9" fontId="2" fillId="6" borderId="9" xfId="3" applyFont="1" applyFill="1" applyBorder="1" applyAlignment="1">
      <alignment horizontal="center" vertical="center" wrapText="1"/>
    </xf>
    <xf numFmtId="9" fontId="0" fillId="5" borderId="9" xfId="3" applyFont="1" applyFill="1" applyBorder="1" applyAlignment="1">
      <alignment horizontal="center" vertical="center"/>
    </xf>
    <xf numFmtId="9" fontId="3" fillId="4" borderId="9" xfId="3" applyFont="1" applyFill="1" applyBorder="1" applyAlignment="1">
      <alignment horizontal="center" vertical="center"/>
    </xf>
    <xf numFmtId="9" fontId="3" fillId="3" borderId="9" xfId="3" applyFont="1" applyFill="1" applyBorder="1" applyAlignment="1">
      <alignment horizontal="center" vertical="center"/>
    </xf>
    <xf numFmtId="9" fontId="3" fillId="2" borderId="9" xfId="3" applyFont="1" applyFill="1" applyBorder="1" applyAlignment="1">
      <alignment horizontal="center" vertical="center"/>
    </xf>
    <xf numFmtId="9" fontId="0" fillId="3" borderId="9" xfId="3" applyFont="1" applyFill="1" applyBorder="1" applyAlignment="1">
      <alignment horizontal="center" vertical="center"/>
    </xf>
    <xf numFmtId="9" fontId="0" fillId="4" borderId="9" xfId="3" applyFont="1" applyFill="1" applyBorder="1" applyAlignment="1">
      <alignment horizontal="center" vertical="center"/>
    </xf>
    <xf numFmtId="9" fontId="3" fillId="5" borderId="9" xfId="3" applyFont="1" applyFill="1" applyBorder="1" applyAlignment="1">
      <alignment horizontal="center" vertical="center"/>
    </xf>
    <xf numFmtId="9" fontId="0" fillId="2" borderId="9" xfId="3" applyFont="1" applyFill="1" applyBorder="1" applyAlignment="1">
      <alignment horizontal="center" vertical="center"/>
    </xf>
    <xf numFmtId="41" fontId="0" fillId="5" borderId="9" xfId="4" applyFont="1" applyFill="1" applyBorder="1" applyAlignment="1">
      <alignment horizontal="left" vertical="center"/>
    </xf>
    <xf numFmtId="41" fontId="0" fillId="4" borderId="9" xfId="4" applyFont="1" applyFill="1" applyBorder="1" applyAlignment="1">
      <alignment horizontal="left" vertical="center"/>
    </xf>
    <xf numFmtId="41" fontId="0" fillId="3" borderId="9" xfId="4" applyFont="1" applyFill="1" applyBorder="1" applyAlignment="1">
      <alignment horizontal="left" vertical="center"/>
    </xf>
    <xf numFmtId="41" fontId="0" fillId="2" borderId="9" xfId="4" applyFont="1" applyFill="1" applyBorder="1" applyAlignment="1">
      <alignment horizontal="left" vertical="center"/>
    </xf>
    <xf numFmtId="41" fontId="3" fillId="2" borderId="27" xfId="4" applyFont="1" applyFill="1" applyBorder="1" applyAlignment="1">
      <alignment horizontal="left" vertical="center"/>
    </xf>
    <xf numFmtId="41" fontId="3" fillId="3" borderId="27" xfId="4" applyFont="1" applyFill="1" applyBorder="1" applyAlignment="1">
      <alignment horizontal="left" vertical="center"/>
    </xf>
    <xf numFmtId="41" fontId="3" fillId="4" borderId="27" xfId="4" applyFont="1" applyFill="1" applyBorder="1" applyAlignment="1">
      <alignment horizontal="left" vertical="center"/>
    </xf>
    <xf numFmtId="41" fontId="0" fillId="3" borderId="27" xfId="4" applyFont="1" applyFill="1" applyBorder="1" applyAlignment="1">
      <alignment horizontal="left" vertical="center"/>
    </xf>
    <xf numFmtId="41" fontId="0" fillId="5" borderId="27" xfId="4" applyFont="1" applyFill="1" applyBorder="1" applyAlignment="1">
      <alignment horizontal="left" vertical="center"/>
    </xf>
    <xf numFmtId="41" fontId="0" fillId="0" borderId="9" xfId="4" applyFont="1" applyFill="1" applyBorder="1" applyAlignment="1">
      <alignment horizontal="left" vertical="center"/>
    </xf>
    <xf numFmtId="43" fontId="6" fillId="0" borderId="28" xfId="1" applyFont="1" applyBorder="1"/>
    <xf numFmtId="9" fontId="7" fillId="2" borderId="28" xfId="3" applyFont="1" applyFill="1" applyBorder="1" applyAlignment="1">
      <alignment horizontal="center" vertical="center"/>
    </xf>
    <xf numFmtId="41" fontId="7" fillId="21" borderId="5" xfId="4" applyFont="1" applyFill="1" applyBorder="1" applyAlignment="1">
      <alignment horizontal="left" vertical="center"/>
    </xf>
    <xf numFmtId="41" fontId="7" fillId="3" borderId="5" xfId="4" applyFont="1" applyFill="1" applyBorder="1" applyAlignment="1">
      <alignment horizontal="left" vertical="center"/>
    </xf>
    <xf numFmtId="41" fontId="6" fillId="5" borderId="5" xfId="4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center" vertical="center"/>
    </xf>
    <xf numFmtId="1" fontId="10" fillId="5" borderId="28" xfId="0" applyNumberFormat="1" applyFont="1" applyFill="1" applyBorder="1" applyAlignment="1">
      <alignment horizontal="left"/>
    </xf>
    <xf numFmtId="43" fontId="2" fillId="6" borderId="15" xfId="1" applyFont="1" applyFill="1" applyBorder="1" applyAlignment="1">
      <alignment horizontal="center" vertical="center" wrapText="1"/>
    </xf>
    <xf numFmtId="43" fontId="2" fillId="6" borderId="0" xfId="1" applyFont="1" applyFill="1" applyBorder="1" applyAlignment="1">
      <alignment horizontal="center" vertical="center" wrapText="1"/>
    </xf>
    <xf numFmtId="43" fontId="2" fillId="6" borderId="30" xfId="1" applyFont="1" applyFill="1" applyBorder="1" applyAlignment="1">
      <alignment horizontal="center" vertical="center" wrapText="1"/>
    </xf>
    <xf numFmtId="1" fontId="11" fillId="21" borderId="28" xfId="0" applyNumberFormat="1" applyFont="1" applyFill="1" applyBorder="1" applyAlignment="1">
      <alignment horizontal="left"/>
    </xf>
    <xf numFmtId="1" fontId="11" fillId="23" borderId="28" xfId="0" applyNumberFormat="1" applyFont="1" applyFill="1" applyBorder="1" applyAlignment="1">
      <alignment horizontal="left"/>
    </xf>
    <xf numFmtId="0" fontId="3" fillId="21" borderId="9" xfId="0" applyFont="1" applyFill="1" applyBorder="1" applyAlignment="1">
      <alignment horizontal="left" vertical="center"/>
    </xf>
    <xf numFmtId="41" fontId="3" fillId="21" borderId="9" xfId="4" applyFont="1" applyFill="1" applyBorder="1" applyAlignment="1">
      <alignment horizontal="left" vertical="center"/>
    </xf>
    <xf numFmtId="0" fontId="0" fillId="23" borderId="9" xfId="0" applyFill="1" applyBorder="1" applyAlignment="1">
      <alignment horizontal="left" vertical="center"/>
    </xf>
    <xf numFmtId="41" fontId="0" fillId="23" borderId="9" xfId="4" applyFont="1" applyFill="1" applyBorder="1" applyAlignment="1">
      <alignment horizontal="left" vertical="center"/>
    </xf>
    <xf numFmtId="41" fontId="3" fillId="21" borderId="18" xfId="4" applyFont="1" applyFill="1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" fillId="6" borderId="0" xfId="0" applyFont="1" applyFill="1" applyAlignment="1">
      <alignment horizontal="center" wrapText="1"/>
    </xf>
    <xf numFmtId="1" fontId="0" fillId="24" borderId="9" xfId="0" applyNumberFormat="1" applyFill="1" applyBorder="1" applyAlignment="1">
      <alignment horizontal="left" vertical="center" wrapText="1"/>
    </xf>
    <xf numFmtId="0" fontId="0" fillId="24" borderId="9" xfId="0" applyFill="1" applyBorder="1" applyAlignment="1">
      <alignment horizontal="left" vertical="center" wrapText="1"/>
    </xf>
    <xf numFmtId="41" fontId="0" fillId="24" borderId="9" xfId="4" applyFont="1" applyFill="1" applyBorder="1" applyAlignment="1">
      <alignment horizontal="left" vertical="center" wrapText="1"/>
    </xf>
    <xf numFmtId="41" fontId="0" fillId="24" borderId="9" xfId="0" applyNumberFormat="1" applyFill="1" applyBorder="1" applyAlignment="1">
      <alignment horizontal="left" vertical="center" wrapText="1"/>
    </xf>
    <xf numFmtId="0" fontId="3" fillId="5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" fontId="3" fillId="21" borderId="18" xfId="0" applyNumberFormat="1" applyFont="1" applyFill="1" applyBorder="1" applyAlignment="1">
      <alignment horizontal="left" wrapText="1"/>
    </xf>
    <xf numFmtId="1" fontId="3" fillId="21" borderId="19" xfId="0" applyNumberFormat="1" applyFont="1" applyFill="1" applyBorder="1" applyAlignment="1">
      <alignment horizontal="left" wrapText="1"/>
    </xf>
    <xf numFmtId="0" fontId="3" fillId="12" borderId="9" xfId="0" applyFont="1" applyFill="1" applyBorder="1" applyAlignment="1">
      <alignment horizontal="left" vertical="center" wrapText="1"/>
    </xf>
    <xf numFmtId="41" fontId="3" fillId="12" borderId="9" xfId="0" applyNumberFormat="1" applyFont="1" applyFill="1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15" fillId="22" borderId="15" xfId="0" applyFont="1" applyFill="1" applyBorder="1" applyAlignment="1">
      <alignment horizontal="center" vertical="center" wrapText="1"/>
    </xf>
    <xf numFmtId="0" fontId="15" fillId="22" borderId="17" xfId="0" applyFont="1" applyFill="1" applyBorder="1" applyAlignment="1">
      <alignment horizontal="center" vertical="center" wrapText="1"/>
    </xf>
    <xf numFmtId="0" fontId="15" fillId="22" borderId="16" xfId="0" applyFont="1" applyFill="1" applyBorder="1" applyAlignment="1">
      <alignment horizontal="center" vertical="center"/>
    </xf>
    <xf numFmtId="0" fontId="15" fillId="22" borderId="17" xfId="0" applyFont="1" applyFill="1" applyBorder="1" applyAlignment="1">
      <alignment horizontal="center" vertical="center"/>
    </xf>
    <xf numFmtId="0" fontId="17" fillId="0" borderId="22" xfId="0" applyFont="1" applyBorder="1" applyAlignment="1">
      <alignment horizontal="center" wrapText="1"/>
    </xf>
    <xf numFmtId="0" fontId="18" fillId="0" borderId="23" xfId="0" applyFont="1" applyBorder="1"/>
    <xf numFmtId="0" fontId="18" fillId="0" borderId="24" xfId="0" applyFont="1" applyBorder="1"/>
  </cellXfs>
  <cellStyles count="7">
    <cellStyle name="Millares" xfId="1" builtinId="3"/>
    <cellStyle name="Millares [0]" xfId="4" builtinId="6"/>
    <cellStyle name="Millares 2" xfId="6"/>
    <cellStyle name="Moneda [0]" xfId="2" builtinId="7"/>
    <cellStyle name="Normal" xfId="0" builtinId="0"/>
    <cellStyle name="Normal 2" xfId="5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218506</xdr:colOff>
      <xdr:row>0</xdr:row>
      <xdr:rowOff>10583</xdr:rowOff>
    </xdr:from>
    <xdr:to>
      <xdr:col>10</xdr:col>
      <xdr:colOff>531186</xdr:colOff>
      <xdr:row>3</xdr:row>
      <xdr:rowOff>31972</xdr:rowOff>
    </xdr:to>
    <xdr:grpSp>
      <xdr:nvGrpSpPr>
        <xdr:cNvPr id="2" name="Grupo 1"/>
        <xdr:cNvGrpSpPr/>
      </xdr:nvGrpSpPr>
      <xdr:grpSpPr>
        <a:xfrm>
          <a:off x="218506" y="10583"/>
          <a:ext cx="15178030" cy="878639"/>
          <a:chOff x="211450" y="10583"/>
          <a:chExt cx="15563263" cy="1611024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66084" y="131235"/>
            <a:ext cx="3508629" cy="859367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1450" y="148167"/>
            <a:ext cx="2275853" cy="899574"/>
          </a:xfrm>
          <a:prstGeom prst="rect">
            <a:avLst/>
          </a:prstGeom>
        </xdr:spPr>
      </xdr:pic>
      <xdr:sp macro="" textlink="">
        <xdr:nvSpPr>
          <xdr:cNvPr id="5" name="Rectángulo 4"/>
          <xdr:cNvSpPr/>
        </xdr:nvSpPr>
        <xdr:spPr>
          <a:xfrm>
            <a:off x="3672417" y="10583"/>
            <a:ext cx="7810500" cy="1611024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INGRESOS DE  JULIO</a:t>
            </a:r>
            <a:r>
              <a:rPr lang="es-ES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 DEL 2020</a:t>
            </a:r>
            <a:endPara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0</xdr:row>
      <xdr:rowOff>66676</xdr:rowOff>
    </xdr:from>
    <xdr:to>
      <xdr:col>12</xdr:col>
      <xdr:colOff>47625</xdr:colOff>
      <xdr:row>3</xdr:row>
      <xdr:rowOff>181904</xdr:rowOff>
    </xdr:to>
    <xdr:grpSp>
      <xdr:nvGrpSpPr>
        <xdr:cNvPr id="2" name="Grupo 1"/>
        <xdr:cNvGrpSpPr/>
      </xdr:nvGrpSpPr>
      <xdr:grpSpPr>
        <a:xfrm>
          <a:off x="200026" y="66676"/>
          <a:ext cx="17144999" cy="667678"/>
          <a:chOff x="200026" y="66676"/>
          <a:chExt cx="15949618" cy="948969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1432" y="140494"/>
            <a:ext cx="2548212" cy="812006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6" y="142875"/>
            <a:ext cx="1694148" cy="819149"/>
          </a:xfrm>
          <a:prstGeom prst="rect">
            <a:avLst/>
          </a:prstGeom>
        </xdr:spPr>
      </xdr:pic>
      <xdr:sp macro="" textlink="">
        <xdr:nvSpPr>
          <xdr:cNvPr id="5" name="Rectángulo 4"/>
          <xdr:cNvSpPr/>
        </xdr:nvSpPr>
        <xdr:spPr>
          <a:xfrm>
            <a:off x="4202912" y="66676"/>
            <a:ext cx="7150047" cy="948969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GASTOS  JULIO</a:t>
            </a:r>
            <a:r>
              <a:rPr lang="es-ES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DE 2020</a:t>
            </a:r>
            <a:endPara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211450</xdr:colOff>
      <xdr:row>0</xdr:row>
      <xdr:rowOff>10583</xdr:rowOff>
    </xdr:from>
    <xdr:to>
      <xdr:col>10</xdr:col>
      <xdr:colOff>524130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211450" y="10583"/>
          <a:ext cx="13704124" cy="1008592"/>
          <a:chOff x="211450" y="10583"/>
          <a:chExt cx="15563263" cy="1037158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66084" y="131235"/>
            <a:ext cx="3508629" cy="859367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1450" y="148167"/>
            <a:ext cx="2275853" cy="899574"/>
          </a:xfrm>
          <a:prstGeom prst="rect">
            <a:avLst/>
          </a:prstGeom>
        </xdr:spPr>
      </xdr:pic>
      <xdr:sp macro="" textlink="">
        <xdr:nvSpPr>
          <xdr:cNvPr id="5" name="Rectángulo 4"/>
          <xdr:cNvSpPr/>
        </xdr:nvSpPr>
        <xdr:spPr>
          <a:xfrm>
            <a:off x="3672417" y="10583"/>
            <a:ext cx="7810500" cy="899896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INGRESOS DE  MARZO</a:t>
            </a:r>
            <a:r>
              <a:rPr lang="es-ES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 DEL 2020</a:t>
            </a:r>
            <a:endPara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0</xdr:row>
      <xdr:rowOff>66676</xdr:rowOff>
    </xdr:from>
    <xdr:to>
      <xdr:col>49</xdr:col>
      <xdr:colOff>656167</xdr:colOff>
      <xdr:row>3</xdr:row>
      <xdr:rowOff>391454</xdr:rowOff>
    </xdr:to>
    <xdr:grpSp>
      <xdr:nvGrpSpPr>
        <xdr:cNvPr id="5" name="Grupo 4"/>
        <xdr:cNvGrpSpPr/>
      </xdr:nvGrpSpPr>
      <xdr:grpSpPr>
        <a:xfrm>
          <a:off x="200026" y="66676"/>
          <a:ext cx="25729141" cy="875111"/>
          <a:chOff x="200026" y="66676"/>
          <a:chExt cx="22747068" cy="896301"/>
        </a:xfrm>
      </xdr:grpSpPr>
      <xdr:pic>
        <xdr:nvPicPr>
          <xdr:cNvPr id="2" name="Imagen 1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1432" y="140494"/>
            <a:ext cx="2548212" cy="812006"/>
          </a:xfrm>
          <a:prstGeom prst="rect">
            <a:avLst/>
          </a:prstGeom>
        </xdr:spPr>
      </xdr:pic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6" y="142875"/>
            <a:ext cx="1694148" cy="819149"/>
          </a:xfrm>
          <a:prstGeom prst="rect">
            <a:avLst/>
          </a:prstGeom>
        </xdr:spPr>
      </xdr:pic>
      <xdr:sp macro="" textlink="">
        <xdr:nvSpPr>
          <xdr:cNvPr id="4" name="Rectángulo 3"/>
          <xdr:cNvSpPr/>
        </xdr:nvSpPr>
        <xdr:spPr>
          <a:xfrm>
            <a:off x="5674518" y="66676"/>
            <a:ext cx="17272576" cy="896301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GASTOS  MARZO</a:t>
            </a:r>
            <a:r>
              <a:rPr lang="es-ES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2020</a:t>
            </a:r>
            <a:endPara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10583</xdr:rowOff>
    </xdr:from>
    <xdr:to>
      <xdr:col>10</xdr:col>
      <xdr:colOff>0</xdr:colOff>
      <xdr:row>181</xdr:row>
      <xdr:rowOff>127000</xdr:rowOff>
    </xdr:to>
    <xdr:grpSp>
      <xdr:nvGrpSpPr>
        <xdr:cNvPr id="2" name="Grupo 1"/>
        <xdr:cNvGrpSpPr/>
      </xdr:nvGrpSpPr>
      <xdr:grpSpPr>
        <a:xfrm>
          <a:off x="0" y="10583"/>
          <a:ext cx="6851650" cy="694267"/>
          <a:chOff x="211450" y="10583"/>
          <a:chExt cx="15563263" cy="11596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66084" y="131235"/>
            <a:ext cx="3508629" cy="859367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1450" y="148167"/>
            <a:ext cx="2275853" cy="899574"/>
          </a:xfrm>
          <a:prstGeom prst="rect">
            <a:avLst/>
          </a:prstGeom>
        </xdr:spPr>
      </xdr:pic>
      <xdr:sp macro="" textlink="">
        <xdr:nvSpPr>
          <xdr:cNvPr id="5" name="Rectángulo 4"/>
          <xdr:cNvSpPr/>
        </xdr:nvSpPr>
        <xdr:spPr>
          <a:xfrm>
            <a:off x="3672416" y="10583"/>
            <a:ext cx="7810500" cy="1159682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05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INGRESOS DE  JULIO</a:t>
            </a:r>
            <a:r>
              <a:rPr lang="es-ES" sz="105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 DEL 2020</a:t>
            </a:r>
            <a:endParaRPr lang="es-ES" sz="105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66676</xdr:rowOff>
    </xdr:from>
    <xdr:to>
      <xdr:col>12</xdr:col>
      <xdr:colOff>0</xdr:colOff>
      <xdr:row>3</xdr:row>
      <xdr:rowOff>389337</xdr:rowOff>
    </xdr:to>
    <xdr:grpSp>
      <xdr:nvGrpSpPr>
        <xdr:cNvPr id="2" name="Grupo 1"/>
        <xdr:cNvGrpSpPr/>
      </xdr:nvGrpSpPr>
      <xdr:grpSpPr>
        <a:xfrm>
          <a:off x="0" y="66676"/>
          <a:ext cx="8064500" cy="875111"/>
          <a:chOff x="200026" y="66676"/>
          <a:chExt cx="15949618" cy="1243793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1432" y="140494"/>
            <a:ext cx="2548212" cy="812006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6" y="142875"/>
            <a:ext cx="1694148" cy="819149"/>
          </a:xfrm>
          <a:prstGeom prst="rect">
            <a:avLst/>
          </a:prstGeom>
        </xdr:spPr>
      </xdr:pic>
      <xdr:sp macro="" textlink="">
        <xdr:nvSpPr>
          <xdr:cNvPr id="5" name="Rectángulo 4"/>
          <xdr:cNvSpPr/>
        </xdr:nvSpPr>
        <xdr:spPr>
          <a:xfrm>
            <a:off x="2737787" y="66676"/>
            <a:ext cx="10394674" cy="1243793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GASTOS  JULIO</a:t>
            </a:r>
            <a:r>
              <a:rPr lang="es-ES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DE 2020</a:t>
            </a:r>
            <a:endPara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1344998</xdr:colOff>
      <xdr:row>0</xdr:row>
      <xdr:rowOff>77258</xdr:rowOff>
    </xdr:from>
    <xdr:to>
      <xdr:col>10</xdr:col>
      <xdr:colOff>228600</xdr:colOff>
      <xdr:row>3</xdr:row>
      <xdr:rowOff>98647</xdr:rowOff>
    </xdr:to>
    <xdr:sp macro="" textlink="">
      <xdr:nvSpPr>
        <xdr:cNvPr id="2" name="Rectángulo 1"/>
        <xdr:cNvSpPr/>
      </xdr:nvSpPr>
      <xdr:spPr>
        <a:xfrm>
          <a:off x="2278448" y="77258"/>
          <a:ext cx="11294677" cy="116438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INGRESOS DE</a:t>
          </a:r>
          <a:r>
            <a:rPr lang="es-E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OCTUBRE  DE 2020</a:t>
          </a:r>
          <a:endParaRPr lang="es-ES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2</xdr:row>
      <xdr:rowOff>130175</xdr:rowOff>
    </xdr:to>
    <xdr:sp macro="" textlink="">
      <xdr:nvSpPr>
        <xdr:cNvPr id="3" name="AutoShape 1" descr="Universidad del Tolima - College &amp; University - Ibagué, Tolima - 8,848  Photos | Facebook"/>
        <xdr:cNvSpPr>
          <a:spLocks noChangeAspect="1" noChangeArrowheads="1"/>
        </xdr:cNvSpPr>
      </xdr:nvSpPr>
      <xdr:spPr bwMode="auto">
        <a:xfrm>
          <a:off x="977900" y="1841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4" name="AutoShape 2" descr="Inicio"/>
        <xdr:cNvSpPr>
          <a:spLocks noChangeAspect="1" noChangeArrowheads="1"/>
        </xdr:cNvSpPr>
      </xdr:nvSpPr>
      <xdr:spPr bwMode="auto">
        <a:xfrm>
          <a:off x="977900" y="374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190499</xdr:colOff>
      <xdr:row>0</xdr:row>
      <xdr:rowOff>38100</xdr:rowOff>
    </xdr:from>
    <xdr:to>
      <xdr:col>1</xdr:col>
      <xdr:colOff>2895028</xdr:colOff>
      <xdr:row>2</xdr:row>
      <xdr:rowOff>692149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38100"/>
          <a:ext cx="3530029" cy="10223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504751</xdr:colOff>
      <xdr:row>0</xdr:row>
      <xdr:rowOff>66676</xdr:rowOff>
    </xdr:from>
    <xdr:to>
      <xdr:col>8</xdr:col>
      <xdr:colOff>512952</xdr:colOff>
      <xdr:row>3</xdr:row>
      <xdr:rowOff>391454</xdr:rowOff>
    </xdr:to>
    <xdr:sp macro="" textlink="">
      <xdr:nvSpPr>
        <xdr:cNvPr id="2" name="Rectángulo 1"/>
        <xdr:cNvSpPr/>
      </xdr:nvSpPr>
      <xdr:spPr>
        <a:xfrm>
          <a:off x="5241851" y="66676"/>
          <a:ext cx="8396551" cy="87722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GASTOS OCTUBRE</a:t>
          </a:r>
          <a:r>
            <a:rPr lang="es-E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2020</a:t>
          </a:r>
          <a:endParaRPr lang="es-ES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148166</xdr:colOff>
      <xdr:row>0</xdr:row>
      <xdr:rowOff>31750</xdr:rowOff>
    </xdr:from>
    <xdr:to>
      <xdr:col>1</xdr:col>
      <xdr:colOff>3213099</xdr:colOff>
      <xdr:row>3</xdr:row>
      <xdr:rowOff>546100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6" y="31750"/>
          <a:ext cx="4112683" cy="1066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ocuments\INFORMES%20ENTES%20DE%20CONTROL\SNIES%202020\INFORMES%20ABRIL%202020\Copia%20de%20Informaci_n_presupuestal_Universidades_P_blicas__v_lido_reporte_desde_2017_.PLANTILLA-ABRI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ocuments\INFORMACION%20PPTAL-TESORAL-CONTABLE%20CIERRE%202019-MEN\Formato_Informacion_adicional_IES-PPT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%20carlos/AppData/Roaming/Microsoft/Excel/INVERSI&#211;N%202020%202020%20-%20POR%20FUENTES%20DE%20FINANCIACION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_UNIVERSIDADES_V2"/>
      <sheetName val="GASTOS_UNIVERSIDADES_V2"/>
      <sheetName val="INFO"/>
      <sheetName val="Ejec ing-abril"/>
      <sheetName val="Ejec gastos abril"/>
      <sheetName val="Ejec-gastos-marzo"/>
      <sheetName val="Ejec-Ing-Marzo"/>
      <sheetName val="ejec-ing-feb-20"/>
      <sheetName val="ejec-gastos-feb-20"/>
      <sheetName val="EJE-ING.ENERO-2020"/>
      <sheetName val="EJE-GASTOS ENERO-2020"/>
      <sheetName val="PLANO GASTOS-2020"/>
      <sheetName val="PLANO-ING-2020"/>
      <sheetName val="ADICIONES ENERO"/>
      <sheetName val="TRASLADOS ENERO"/>
      <sheetName val="Hoja4"/>
      <sheetName val="Hoja3"/>
    </sheetNames>
    <sheetDataSet>
      <sheetData sheetId="0">
        <row r="13">
          <cell r="E13">
            <v>81443507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7">
          <cell r="F17">
            <v>20933828.129999999</v>
          </cell>
        </row>
        <row r="19">
          <cell r="F19">
            <v>1579921.17</v>
          </cell>
        </row>
        <row r="21">
          <cell r="F21">
            <v>2489290.7400000002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IES"/>
      <sheetName val="Lista de campos"/>
      <sheetName val="0.Datos Contacto"/>
      <sheetName val="1.Información Presupuestal 2019"/>
      <sheetName val="2.Información Tesoral 2019"/>
      <sheetName val="3.Cierre Contable 2019"/>
      <sheetName val="4.Situacion Fiscal 2019"/>
      <sheetName val="5.Consid. Presupuesto 2020"/>
      <sheetName val="6.Adicional 2019"/>
      <sheetName val="7.Poblacio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8">
          <cell r="C28">
            <v>152055651742.47</v>
          </cell>
        </row>
      </sheetData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6">
          <cell r="E6">
            <v>1805163840</v>
          </cell>
          <cell r="F6">
            <v>877036160</v>
          </cell>
        </row>
        <row r="24">
          <cell r="E24">
            <v>1394836160</v>
          </cell>
          <cell r="F24">
            <v>1292963840</v>
          </cell>
        </row>
        <row r="63">
          <cell r="E63">
            <v>0</v>
          </cell>
          <cell r="F63">
            <v>330000000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93"/>
  <sheetViews>
    <sheetView showGridLines="0" topLeftCell="B1" workbookViewId="0">
      <selection activeCell="G179" sqref="G179"/>
    </sheetView>
  </sheetViews>
  <sheetFormatPr baseColWidth="10" defaultColWidth="11.42578125" defaultRowHeight="15" x14ac:dyDescent="0.25"/>
  <cols>
    <col min="1" max="1" width="14" style="1" bestFit="1" customWidth="1"/>
    <col min="2" max="2" width="43.85546875" style="2" customWidth="1"/>
    <col min="3" max="3" width="24.7109375" style="2" bestFit="1" customWidth="1"/>
    <col min="4" max="4" width="17.42578125" style="2" bestFit="1" customWidth="1"/>
    <col min="5" max="5" width="15.85546875" style="2" customWidth="1"/>
    <col min="6" max="6" width="18.42578125" style="2" bestFit="1" customWidth="1"/>
    <col min="7" max="7" width="24" style="2" bestFit="1" customWidth="1"/>
    <col min="8" max="8" width="19.42578125" style="2" bestFit="1" customWidth="1"/>
    <col min="9" max="9" width="17.42578125" style="2" bestFit="1" customWidth="1"/>
    <col min="10" max="10" width="17.7109375" style="2" bestFit="1" customWidth="1"/>
    <col min="11" max="11" width="15.28515625" style="5" bestFit="1" customWidth="1"/>
    <col min="12" max="12" width="6.7109375" style="2" customWidth="1"/>
    <col min="13" max="13" width="14" style="2" hidden="1" customWidth="1"/>
    <col min="14" max="14" width="90.85546875" style="2" hidden="1" customWidth="1"/>
    <col min="15" max="15" width="24.7109375" style="2" hidden="1" customWidth="1"/>
    <col min="16" max="16" width="17.42578125" style="2" hidden="1" customWidth="1"/>
    <col min="17" max="17" width="18.140625" style="2" hidden="1" customWidth="1"/>
    <col min="18" max="18" width="18.42578125" style="2" hidden="1" customWidth="1"/>
    <col min="19" max="19" width="24" style="2" hidden="1" customWidth="1"/>
    <col min="20" max="20" width="19.42578125" style="2" hidden="1" customWidth="1"/>
    <col min="21" max="21" width="17.42578125" style="2" hidden="1" customWidth="1"/>
    <col min="22" max="22" width="17.7109375" style="2" hidden="1" customWidth="1"/>
    <col min="23" max="23" width="15.28515625" style="2" hidden="1" customWidth="1"/>
    <col min="24" max="24" width="3.85546875" style="2" hidden="1" customWidth="1"/>
    <col min="25" max="25" width="14.7109375" style="2" hidden="1" customWidth="1"/>
    <col min="26" max="26" width="17.42578125" style="2" hidden="1" customWidth="1"/>
    <col min="27" max="27" width="18.42578125" style="2" hidden="1" customWidth="1"/>
    <col min="28" max="28" width="17.42578125" style="2" hidden="1" customWidth="1"/>
    <col min="29" max="29" width="0" style="2" hidden="1" customWidth="1"/>
    <col min="30" max="30" width="18.42578125" style="2" hidden="1" customWidth="1"/>
    <col min="31" max="31" width="17.42578125" style="2" hidden="1" customWidth="1"/>
    <col min="32" max="32" width="16.42578125" style="2" hidden="1" customWidth="1"/>
    <col min="33" max="33" width="17.42578125" style="2" hidden="1" customWidth="1"/>
    <col min="34" max="34" width="17.7109375" style="2" hidden="1" customWidth="1"/>
    <col min="35" max="35" width="0" style="2" hidden="1" customWidth="1"/>
    <col min="36" max="36" width="14.7109375" style="2" bestFit="1" customWidth="1"/>
    <col min="37" max="16384" width="11.42578125" style="2"/>
  </cols>
  <sheetData>
    <row r="1" spans="1:35" x14ac:dyDescent="0.25">
      <c r="G1" s="3"/>
      <c r="J1" s="4"/>
    </row>
    <row r="2" spans="1:35" ht="15.75" thickBot="1" x14ac:dyDescent="0.3">
      <c r="F2" s="4"/>
      <c r="G2" s="4"/>
      <c r="J2" s="4"/>
    </row>
    <row r="3" spans="1:35" s="8" customFormat="1" ht="38.1" customHeight="1" thickBot="1" x14ac:dyDescent="0.3">
      <c r="A3" s="6"/>
      <c r="B3" s="7"/>
      <c r="C3" s="427"/>
      <c r="D3" s="427"/>
      <c r="E3" s="427"/>
      <c r="F3" s="427"/>
      <c r="G3" s="427"/>
      <c r="H3" s="427"/>
      <c r="I3" s="427"/>
      <c r="J3" s="427"/>
      <c r="K3" s="427"/>
    </row>
    <row r="4" spans="1:35" s="8" customFormat="1" ht="30" x14ac:dyDescent="0.25">
      <c r="A4" s="9" t="s">
        <v>0</v>
      </c>
      <c r="B4" s="10" t="s">
        <v>1</v>
      </c>
      <c r="C4" s="10" t="s">
        <v>221</v>
      </c>
      <c r="D4" s="10" t="s">
        <v>5</v>
      </c>
      <c r="E4" s="10" t="s">
        <v>222</v>
      </c>
      <c r="F4" s="10" t="s">
        <v>223</v>
      </c>
      <c r="G4" s="10" t="s">
        <v>224</v>
      </c>
      <c r="H4" s="10" t="s">
        <v>225</v>
      </c>
      <c r="I4" s="10" t="s">
        <v>226</v>
      </c>
      <c r="J4" s="10" t="s">
        <v>227</v>
      </c>
      <c r="K4" s="11" t="s">
        <v>228</v>
      </c>
      <c r="L4" s="113"/>
      <c r="M4" s="9" t="s">
        <v>0</v>
      </c>
      <c r="N4" s="10" t="s">
        <v>1</v>
      </c>
      <c r="O4" s="10" t="s">
        <v>221</v>
      </c>
      <c r="P4" s="10" t="s">
        <v>5</v>
      </c>
      <c r="Q4" s="10" t="s">
        <v>222</v>
      </c>
      <c r="R4" s="10" t="s">
        <v>223</v>
      </c>
      <c r="S4" s="10" t="s">
        <v>224</v>
      </c>
      <c r="T4" s="10" t="s">
        <v>225</v>
      </c>
      <c r="U4" s="10" t="s">
        <v>226</v>
      </c>
      <c r="V4" s="10" t="s">
        <v>227</v>
      </c>
      <c r="W4" s="11" t="s">
        <v>228</v>
      </c>
      <c r="Y4" s="9" t="s">
        <v>0</v>
      </c>
      <c r="Z4" s="10" t="s">
        <v>1</v>
      </c>
      <c r="AA4" s="10" t="s">
        <v>221</v>
      </c>
      <c r="AB4" s="10" t="s">
        <v>5</v>
      </c>
      <c r="AC4" s="10" t="s">
        <v>222</v>
      </c>
      <c r="AD4" s="10" t="s">
        <v>223</v>
      </c>
      <c r="AE4" s="10" t="s">
        <v>224</v>
      </c>
      <c r="AF4" s="10" t="s">
        <v>225</v>
      </c>
      <c r="AG4" s="10" t="s">
        <v>226</v>
      </c>
      <c r="AH4" s="10" t="s">
        <v>227</v>
      </c>
      <c r="AI4" s="11" t="s">
        <v>228</v>
      </c>
    </row>
    <row r="5" spans="1:35" x14ac:dyDescent="0.25">
      <c r="A5" s="12">
        <v>1</v>
      </c>
      <c r="B5" s="13" t="s">
        <v>229</v>
      </c>
      <c r="C5" s="14">
        <f>+C6+C160</f>
        <v>128545687388</v>
      </c>
      <c r="D5" s="14">
        <f t="shared" ref="D5:J5" si="0">+D6+D160</f>
        <v>24369960169.77</v>
      </c>
      <c r="E5" s="14">
        <f t="shared" si="0"/>
        <v>0</v>
      </c>
      <c r="F5" s="14">
        <f t="shared" si="0"/>
        <v>152915647557.76999</v>
      </c>
      <c r="G5" s="14">
        <f t="shared" si="0"/>
        <v>87591741449.449997</v>
      </c>
      <c r="H5" s="14">
        <f t="shared" si="0"/>
        <v>8159252731.9800005</v>
      </c>
      <c r="I5" s="14">
        <f t="shared" si="0"/>
        <v>87591741449.449997</v>
      </c>
      <c r="J5" s="14">
        <f t="shared" si="0"/>
        <v>61359708865.639999</v>
      </c>
      <c r="K5" s="15">
        <f t="shared" ref="K5:K69" si="1">+I5/F5</f>
        <v>0.5728108460343061</v>
      </c>
      <c r="L5" s="113">
        <f>+I5-G5</f>
        <v>0</v>
      </c>
      <c r="M5" s="12">
        <v>1</v>
      </c>
      <c r="N5" s="13" t="s">
        <v>229</v>
      </c>
      <c r="O5" s="14">
        <v>128545687388</v>
      </c>
      <c r="P5" s="14">
        <v>24369960169.77</v>
      </c>
      <c r="Q5" s="14">
        <v>0</v>
      </c>
      <c r="R5" s="14">
        <v>152915647557.76999</v>
      </c>
      <c r="S5" s="14">
        <v>73456152802.679993</v>
      </c>
      <c r="T5" s="14">
        <v>8786816296.7900009</v>
      </c>
      <c r="U5" s="14">
        <v>82232338541.940002</v>
      </c>
      <c r="V5" s="14">
        <v>69477042765.779999</v>
      </c>
      <c r="W5" s="15">
        <v>0.5377627460320793</v>
      </c>
      <c r="Y5" s="12">
        <v>1</v>
      </c>
      <c r="Z5" s="13" t="s">
        <v>229</v>
      </c>
      <c r="AA5" s="14">
        <v>128545687388</v>
      </c>
      <c r="AB5" s="14">
        <v>24369960169.77</v>
      </c>
      <c r="AC5" s="14">
        <v>0</v>
      </c>
      <c r="AD5" s="14">
        <v>152915647557.76999</v>
      </c>
      <c r="AE5" s="14">
        <v>86298098046.449997</v>
      </c>
      <c r="AF5" s="14">
        <v>8182110631.9800005</v>
      </c>
      <c r="AG5" s="14">
        <v>86298098046.449997</v>
      </c>
      <c r="AH5" s="14">
        <v>62443212240.639999</v>
      </c>
      <c r="AI5" s="15">
        <v>0.5643509962827542</v>
      </c>
    </row>
    <row r="6" spans="1:35" x14ac:dyDescent="0.25">
      <c r="A6" s="12" t="s">
        <v>230</v>
      </c>
      <c r="B6" s="13" t="s">
        <v>231</v>
      </c>
      <c r="C6" s="14">
        <f>+C7</f>
        <v>128185121191</v>
      </c>
      <c r="D6" s="14">
        <f t="shared" ref="D6:J6" si="2">+D7</f>
        <v>1289139986</v>
      </c>
      <c r="E6" s="14">
        <f t="shared" si="2"/>
        <v>0</v>
      </c>
      <c r="F6" s="14">
        <f t="shared" si="2"/>
        <v>129474261177</v>
      </c>
      <c r="G6" s="14">
        <f t="shared" si="2"/>
        <v>64120473103.849998</v>
      </c>
      <c r="H6" s="14">
        <f t="shared" si="2"/>
        <v>8094494839.8400002</v>
      </c>
      <c r="I6" s="14">
        <f t="shared" si="2"/>
        <v>64120473103.849998</v>
      </c>
      <c r="J6" s="14">
        <f t="shared" si="2"/>
        <v>61389590830.470001</v>
      </c>
      <c r="K6" s="15">
        <f t="shared" si="1"/>
        <v>0.49523721951340594</v>
      </c>
      <c r="L6" s="113">
        <f t="shared" ref="L6:L69" si="3">+I6-G6</f>
        <v>0</v>
      </c>
      <c r="M6" s="12" t="s">
        <v>230</v>
      </c>
      <c r="N6" s="13" t="s">
        <v>231</v>
      </c>
      <c r="O6" s="14">
        <v>128185121191</v>
      </c>
      <c r="P6" s="14">
        <v>1289139986</v>
      </c>
      <c r="Q6" s="14">
        <v>0</v>
      </c>
      <c r="R6" s="14">
        <v>129474261177</v>
      </c>
      <c r="S6" s="14">
        <v>50121382210.229996</v>
      </c>
      <c r="T6" s="14">
        <v>8711445937.7800007</v>
      </c>
      <c r="U6" s="14">
        <v>58825828148.010002</v>
      </c>
      <c r="V6" s="14">
        <v>69442166838.470001</v>
      </c>
      <c r="W6" s="15">
        <v>0.45434380249207329</v>
      </c>
      <c r="Y6" s="12" t="s">
        <v>230</v>
      </c>
      <c r="Z6" s="13" t="s">
        <v>231</v>
      </c>
      <c r="AA6" s="14">
        <v>128185121191</v>
      </c>
      <c r="AB6" s="14">
        <v>1289139986</v>
      </c>
      <c r="AC6" s="14">
        <v>0</v>
      </c>
      <c r="AD6" s="14">
        <v>129474261177</v>
      </c>
      <c r="AE6" s="14">
        <v>63131434742.849998</v>
      </c>
      <c r="AF6" s="14">
        <v>8117352739.8400002</v>
      </c>
      <c r="AG6" s="14">
        <v>63131434742.849998</v>
      </c>
      <c r="AH6" s="14">
        <v>62473094205.470001</v>
      </c>
      <c r="AI6" s="15">
        <v>0.48759833938380304</v>
      </c>
    </row>
    <row r="7" spans="1:35" x14ac:dyDescent="0.25">
      <c r="A7" s="12" t="s">
        <v>232</v>
      </c>
      <c r="B7" s="13" t="s">
        <v>233</v>
      </c>
      <c r="C7" s="14">
        <f>+C8+C126</f>
        <v>128185121191</v>
      </c>
      <c r="D7" s="14">
        <f t="shared" ref="D7:J7" si="4">+D8+D126</f>
        <v>1289139986</v>
      </c>
      <c r="E7" s="14">
        <f t="shared" si="4"/>
        <v>0</v>
      </c>
      <c r="F7" s="14">
        <f t="shared" si="4"/>
        <v>129474261177</v>
      </c>
      <c r="G7" s="14">
        <f t="shared" si="4"/>
        <v>64120473103.849998</v>
      </c>
      <c r="H7" s="14">
        <f t="shared" si="4"/>
        <v>8094494839.8400002</v>
      </c>
      <c r="I7" s="14">
        <f t="shared" si="4"/>
        <v>64120473103.849998</v>
      </c>
      <c r="J7" s="14">
        <f t="shared" si="4"/>
        <v>61389590830.470001</v>
      </c>
      <c r="K7" s="15">
        <f t="shared" si="1"/>
        <v>0.49523721951340594</v>
      </c>
      <c r="L7" s="113">
        <f t="shared" si="3"/>
        <v>0</v>
      </c>
      <c r="M7" s="12" t="s">
        <v>232</v>
      </c>
      <c r="N7" s="13" t="s">
        <v>233</v>
      </c>
      <c r="O7" s="14">
        <v>128185121191</v>
      </c>
      <c r="P7" s="14">
        <v>1289139986</v>
      </c>
      <c r="Q7" s="14">
        <v>0</v>
      </c>
      <c r="R7" s="14">
        <v>129474261177</v>
      </c>
      <c r="S7" s="14">
        <v>50121382210.229996</v>
      </c>
      <c r="T7" s="14">
        <v>8711445937.7800007</v>
      </c>
      <c r="U7" s="14">
        <v>58825828148.010002</v>
      </c>
      <c r="V7" s="14">
        <v>69442166838.470001</v>
      </c>
      <c r="W7" s="15">
        <v>0.45434380249207329</v>
      </c>
      <c r="Y7" s="12" t="s">
        <v>232</v>
      </c>
      <c r="Z7" s="13" t="s">
        <v>233</v>
      </c>
      <c r="AA7" s="14">
        <v>128185121191</v>
      </c>
      <c r="AB7" s="14">
        <v>1289139986</v>
      </c>
      <c r="AC7" s="14">
        <v>0</v>
      </c>
      <c r="AD7" s="14">
        <v>129474261177</v>
      </c>
      <c r="AE7" s="14">
        <v>63131434742.849998</v>
      </c>
      <c r="AF7" s="14">
        <v>8117352739.8400002</v>
      </c>
      <c r="AG7" s="14">
        <v>63131434742.849998</v>
      </c>
      <c r="AH7" s="14">
        <v>62473094205.470001</v>
      </c>
      <c r="AI7" s="15">
        <v>0.48759833938380304</v>
      </c>
    </row>
    <row r="8" spans="1:35" x14ac:dyDescent="0.25">
      <c r="A8" s="12" t="s">
        <v>234</v>
      </c>
      <c r="B8" s="13" t="s">
        <v>235</v>
      </c>
      <c r="C8" s="14">
        <f>+C9+C84</f>
        <v>46439868581</v>
      </c>
      <c r="D8" s="14">
        <f t="shared" ref="D8:J8" si="5">+D9+D84</f>
        <v>0</v>
      </c>
      <c r="E8" s="14">
        <f t="shared" si="5"/>
        <v>0</v>
      </c>
      <c r="F8" s="14">
        <f t="shared" si="5"/>
        <v>46439868581</v>
      </c>
      <c r="G8" s="14">
        <f t="shared" si="5"/>
        <v>19191183067.529999</v>
      </c>
      <c r="H8" s="14">
        <f t="shared" si="5"/>
        <v>2425456952</v>
      </c>
      <c r="I8" s="14">
        <f t="shared" si="5"/>
        <v>19191183067.529999</v>
      </c>
      <c r="J8" s="14">
        <f t="shared" si="5"/>
        <v>23316949787.470001</v>
      </c>
      <c r="K8" s="15">
        <f t="shared" si="1"/>
        <v>0.41324800551614205</v>
      </c>
      <c r="L8" s="113">
        <f t="shared" si="3"/>
        <v>0</v>
      </c>
      <c r="M8" s="12" t="s">
        <v>234</v>
      </c>
      <c r="N8" s="13" t="s">
        <v>235</v>
      </c>
      <c r="O8" s="14">
        <v>46439868581</v>
      </c>
      <c r="P8" s="14">
        <v>0</v>
      </c>
      <c r="Q8" s="14">
        <v>0</v>
      </c>
      <c r="R8" s="14">
        <v>46439868581</v>
      </c>
      <c r="S8" s="14">
        <v>15958736655.75</v>
      </c>
      <c r="T8" s="14">
        <v>689473499.77999997</v>
      </c>
      <c r="U8" s="14">
        <v>16641210155.530001</v>
      </c>
      <c r="V8" s="14">
        <v>28643231229.470001</v>
      </c>
      <c r="W8" s="15">
        <v>0.35833887269737968</v>
      </c>
      <c r="Y8" s="12" t="s">
        <v>234</v>
      </c>
      <c r="Z8" s="13" t="s">
        <v>235</v>
      </c>
      <c r="AA8" s="14">
        <v>46439868581</v>
      </c>
      <c r="AB8" s="14">
        <v>0</v>
      </c>
      <c r="AC8" s="14">
        <v>0</v>
      </c>
      <c r="AD8" s="14">
        <v>46439868581</v>
      </c>
      <c r="AE8" s="14">
        <v>19285648081.529999</v>
      </c>
      <c r="AF8" s="14">
        <v>2448314852</v>
      </c>
      <c r="AG8" s="14">
        <v>19285648081.529999</v>
      </c>
      <c r="AH8" s="14">
        <v>23316949787.470001</v>
      </c>
      <c r="AI8" s="15">
        <v>0.41528214163423277</v>
      </c>
    </row>
    <row r="9" spans="1:35" s="20" customFormat="1" x14ac:dyDescent="0.25">
      <c r="A9" s="16" t="s">
        <v>236</v>
      </c>
      <c r="B9" s="17" t="s">
        <v>237</v>
      </c>
      <c r="C9" s="18">
        <f>+C10+C81</f>
        <v>44746571785</v>
      </c>
      <c r="D9" s="18">
        <f t="shared" ref="D9:J9" si="6">+D10+D81</f>
        <v>0</v>
      </c>
      <c r="E9" s="18">
        <f t="shared" si="6"/>
        <v>0</v>
      </c>
      <c r="F9" s="18">
        <f t="shared" si="6"/>
        <v>44746571785</v>
      </c>
      <c r="G9" s="18">
        <f t="shared" si="6"/>
        <v>18337865443.529999</v>
      </c>
      <c r="H9" s="18">
        <f t="shared" si="6"/>
        <v>2322738735</v>
      </c>
      <c r="I9" s="18">
        <f t="shared" si="6"/>
        <v>18337865443.529999</v>
      </c>
      <c r="J9" s="18">
        <f t="shared" si="6"/>
        <v>22476970615.470001</v>
      </c>
      <c r="K9" s="19">
        <f t="shared" si="1"/>
        <v>0.40981609790444862</v>
      </c>
      <c r="L9" s="113">
        <f t="shared" si="3"/>
        <v>0</v>
      </c>
      <c r="M9" s="16" t="s">
        <v>236</v>
      </c>
      <c r="N9" s="17" t="s">
        <v>237</v>
      </c>
      <c r="O9" s="18">
        <v>44746571785</v>
      </c>
      <c r="P9" s="18">
        <v>0</v>
      </c>
      <c r="Q9" s="18">
        <v>0</v>
      </c>
      <c r="R9" s="18">
        <v>44746571785</v>
      </c>
      <c r="S9" s="18">
        <v>15423640602.75</v>
      </c>
      <c r="T9" s="18">
        <v>598486105.77999997</v>
      </c>
      <c r="U9" s="18">
        <v>16015126708.530001</v>
      </c>
      <c r="V9" s="18">
        <v>28731445076.470001</v>
      </c>
      <c r="W9" s="19">
        <v>0.35790734506947436</v>
      </c>
      <c r="Y9" s="16" t="s">
        <v>236</v>
      </c>
      <c r="Z9" s="17" t="s">
        <v>237</v>
      </c>
      <c r="AA9" s="18">
        <v>44746571785</v>
      </c>
      <c r="AB9" s="18">
        <v>0</v>
      </c>
      <c r="AC9" s="18">
        <v>0</v>
      </c>
      <c r="AD9" s="18">
        <v>44746571785</v>
      </c>
      <c r="AE9" s="18">
        <v>18337865443.529999</v>
      </c>
      <c r="AF9" s="18">
        <v>2322738735</v>
      </c>
      <c r="AG9" s="18">
        <v>18337865443.529999</v>
      </c>
      <c r="AH9" s="18">
        <v>22476970615.470001</v>
      </c>
      <c r="AI9" s="19">
        <v>0.40981609790444862</v>
      </c>
    </row>
    <row r="10" spans="1:35" s="20" customFormat="1" x14ac:dyDescent="0.25">
      <c r="A10" s="16" t="s">
        <v>238</v>
      </c>
      <c r="B10" s="17" t="s">
        <v>239</v>
      </c>
      <c r="C10" s="18">
        <f>+C11</f>
        <v>44516571785</v>
      </c>
      <c r="D10" s="18">
        <f t="shared" ref="D10:J11" si="7">+D11</f>
        <v>0</v>
      </c>
      <c r="E10" s="18">
        <f t="shared" si="7"/>
        <v>0</v>
      </c>
      <c r="F10" s="18">
        <f t="shared" si="7"/>
        <v>44516571785</v>
      </c>
      <c r="G10" s="18">
        <f t="shared" si="7"/>
        <v>18297931383.529999</v>
      </c>
      <c r="H10" s="18">
        <f t="shared" si="7"/>
        <v>2322738735</v>
      </c>
      <c r="I10" s="18">
        <f t="shared" si="7"/>
        <v>18297931383.529999</v>
      </c>
      <c r="J10" s="18">
        <f t="shared" si="7"/>
        <v>22286904675.470001</v>
      </c>
      <c r="K10" s="19">
        <f t="shared" si="1"/>
        <v>0.41103639947619564</v>
      </c>
      <c r="L10" s="113">
        <f t="shared" si="3"/>
        <v>0</v>
      </c>
      <c r="M10" s="16" t="s">
        <v>238</v>
      </c>
      <c r="N10" s="17" t="s">
        <v>239</v>
      </c>
      <c r="O10" s="18">
        <v>44516571785</v>
      </c>
      <c r="P10" s="18">
        <v>0</v>
      </c>
      <c r="Q10" s="18">
        <v>0</v>
      </c>
      <c r="R10" s="18">
        <v>44516571785</v>
      </c>
      <c r="S10" s="18">
        <v>15383706542.75</v>
      </c>
      <c r="T10" s="18">
        <v>598486105.77999997</v>
      </c>
      <c r="U10" s="18">
        <v>15975192648.530001</v>
      </c>
      <c r="V10" s="18">
        <v>28541379136.470001</v>
      </c>
      <c r="W10" s="19">
        <v>0.35885945408565562</v>
      </c>
      <c r="Y10" s="16" t="s">
        <v>238</v>
      </c>
      <c r="Z10" s="17" t="s">
        <v>239</v>
      </c>
      <c r="AA10" s="18">
        <v>44516571785</v>
      </c>
      <c r="AB10" s="18">
        <v>0</v>
      </c>
      <c r="AC10" s="18">
        <v>0</v>
      </c>
      <c r="AD10" s="18">
        <v>44516571785</v>
      </c>
      <c r="AE10" s="18">
        <v>18297931383.529999</v>
      </c>
      <c r="AF10" s="18">
        <v>2322738735</v>
      </c>
      <c r="AG10" s="18">
        <v>18297931383.529999</v>
      </c>
      <c r="AH10" s="18">
        <v>22286904675.470001</v>
      </c>
      <c r="AI10" s="19">
        <v>0.41103639947619564</v>
      </c>
    </row>
    <row r="11" spans="1:35" s="20" customFormat="1" x14ac:dyDescent="0.25">
      <c r="A11" s="16" t="s">
        <v>240</v>
      </c>
      <c r="B11" s="17" t="s">
        <v>241</v>
      </c>
      <c r="C11" s="18">
        <f>+C12</f>
        <v>44516571785</v>
      </c>
      <c r="D11" s="18">
        <f t="shared" si="7"/>
        <v>0</v>
      </c>
      <c r="E11" s="18">
        <f t="shared" si="7"/>
        <v>0</v>
      </c>
      <c r="F11" s="18">
        <f t="shared" si="7"/>
        <v>44516571785</v>
      </c>
      <c r="G11" s="18">
        <f t="shared" si="7"/>
        <v>18297931383.529999</v>
      </c>
      <c r="H11" s="18">
        <f t="shared" si="7"/>
        <v>2322738735</v>
      </c>
      <c r="I11" s="18">
        <f t="shared" si="7"/>
        <v>18297931383.529999</v>
      </c>
      <c r="J11" s="18">
        <f t="shared" si="7"/>
        <v>22286904675.470001</v>
      </c>
      <c r="K11" s="19">
        <f t="shared" si="1"/>
        <v>0.41103639947619564</v>
      </c>
      <c r="L11" s="113">
        <f t="shared" si="3"/>
        <v>0</v>
      </c>
      <c r="M11" s="16" t="s">
        <v>240</v>
      </c>
      <c r="N11" s="17" t="s">
        <v>241</v>
      </c>
      <c r="O11" s="18">
        <v>44516571785</v>
      </c>
      <c r="P11" s="18">
        <v>0</v>
      </c>
      <c r="Q11" s="18">
        <v>0</v>
      </c>
      <c r="R11" s="18">
        <v>44516571785</v>
      </c>
      <c r="S11" s="18">
        <v>15383706542.75</v>
      </c>
      <c r="T11" s="18">
        <v>598486105.77999997</v>
      </c>
      <c r="U11" s="18">
        <v>15975192648.530001</v>
      </c>
      <c r="V11" s="18">
        <v>28541379136.470001</v>
      </c>
      <c r="W11" s="19">
        <v>0.35885945408565562</v>
      </c>
      <c r="Y11" s="16" t="s">
        <v>240</v>
      </c>
      <c r="Z11" s="17" t="s">
        <v>241</v>
      </c>
      <c r="AA11" s="18">
        <v>44516571785</v>
      </c>
      <c r="AB11" s="18">
        <v>0</v>
      </c>
      <c r="AC11" s="18">
        <v>0</v>
      </c>
      <c r="AD11" s="18">
        <v>44516571785</v>
      </c>
      <c r="AE11" s="18">
        <v>18297931383.529999</v>
      </c>
      <c r="AF11" s="18">
        <v>2322738735</v>
      </c>
      <c r="AG11" s="18">
        <v>18297931383.529999</v>
      </c>
      <c r="AH11" s="18">
        <v>22286904675.470001</v>
      </c>
      <c r="AI11" s="19">
        <v>0.41103639947619564</v>
      </c>
    </row>
    <row r="12" spans="1:35" s="20" customFormat="1" x14ac:dyDescent="0.25">
      <c r="A12" s="16" t="s">
        <v>242</v>
      </c>
      <c r="B12" s="17" t="s">
        <v>243</v>
      </c>
      <c r="C12" s="18">
        <f>+C13+C27+C45</f>
        <v>44516571785</v>
      </c>
      <c r="D12" s="18">
        <f t="shared" ref="D12:J12" si="8">+D13+D27+D45</f>
        <v>0</v>
      </c>
      <c r="E12" s="18">
        <f t="shared" si="8"/>
        <v>0</v>
      </c>
      <c r="F12" s="18">
        <f t="shared" si="8"/>
        <v>44516571785</v>
      </c>
      <c r="G12" s="18">
        <f t="shared" si="8"/>
        <v>18297931383.529999</v>
      </c>
      <c r="H12" s="18">
        <f t="shared" si="8"/>
        <v>2322738735</v>
      </c>
      <c r="I12" s="18">
        <f t="shared" si="8"/>
        <v>18297931383.529999</v>
      </c>
      <c r="J12" s="18">
        <f t="shared" si="8"/>
        <v>22286904675.470001</v>
      </c>
      <c r="K12" s="19">
        <f t="shared" si="1"/>
        <v>0.41103639947619564</v>
      </c>
      <c r="L12" s="113">
        <f t="shared" si="3"/>
        <v>0</v>
      </c>
      <c r="M12" s="16" t="s">
        <v>242</v>
      </c>
      <c r="N12" s="17" t="s">
        <v>243</v>
      </c>
      <c r="O12" s="18">
        <v>44516571785</v>
      </c>
      <c r="P12" s="18">
        <v>0</v>
      </c>
      <c r="Q12" s="18">
        <v>0</v>
      </c>
      <c r="R12" s="18">
        <v>44516571785</v>
      </c>
      <c r="S12" s="18">
        <v>15383706542.75</v>
      </c>
      <c r="T12" s="18">
        <v>598486105.77999997</v>
      </c>
      <c r="U12" s="18">
        <v>15975192648.530001</v>
      </c>
      <c r="V12" s="18">
        <v>28541379136.470001</v>
      </c>
      <c r="W12" s="19">
        <v>0.35885945408565562</v>
      </c>
      <c r="Y12" s="16" t="s">
        <v>242</v>
      </c>
      <c r="Z12" s="17" t="s">
        <v>243</v>
      </c>
      <c r="AA12" s="18">
        <v>44516571785</v>
      </c>
      <c r="AB12" s="18">
        <v>0</v>
      </c>
      <c r="AC12" s="18">
        <v>0</v>
      </c>
      <c r="AD12" s="18">
        <v>44516571785</v>
      </c>
      <c r="AE12" s="18">
        <v>18297931383.529999</v>
      </c>
      <c r="AF12" s="18">
        <v>2322738735</v>
      </c>
      <c r="AG12" s="18">
        <v>18297931383.529999</v>
      </c>
      <c r="AH12" s="18">
        <v>22286904675.470001</v>
      </c>
      <c r="AI12" s="19">
        <v>0.41103639947619564</v>
      </c>
    </row>
    <row r="13" spans="1:35" s="20" customFormat="1" x14ac:dyDescent="0.25">
      <c r="A13" s="16" t="s">
        <v>244</v>
      </c>
      <c r="B13" s="17" t="s">
        <v>245</v>
      </c>
      <c r="C13" s="18">
        <f>SUM(C14)</f>
        <v>32250745169</v>
      </c>
      <c r="D13" s="18">
        <f t="shared" ref="D13:J13" si="9">SUM(D14)</f>
        <v>0</v>
      </c>
      <c r="E13" s="18">
        <f t="shared" si="9"/>
        <v>0</v>
      </c>
      <c r="F13" s="18">
        <f t="shared" si="9"/>
        <v>32250745169</v>
      </c>
      <c r="G13" s="18">
        <f t="shared" si="9"/>
        <v>12380388672.280001</v>
      </c>
      <c r="H13" s="18">
        <f t="shared" si="9"/>
        <v>1857730232</v>
      </c>
      <c r="I13" s="18">
        <f t="shared" si="9"/>
        <v>12380388672.280001</v>
      </c>
      <c r="J13" s="18">
        <f t="shared" si="9"/>
        <v>19870356496.720001</v>
      </c>
      <c r="K13" s="19">
        <f t="shared" si="1"/>
        <v>0.38387915092827851</v>
      </c>
      <c r="L13" s="113">
        <f t="shared" si="3"/>
        <v>0</v>
      </c>
      <c r="M13" s="16" t="s">
        <v>244</v>
      </c>
      <c r="N13" s="17" t="s">
        <v>245</v>
      </c>
      <c r="O13" s="18">
        <v>32250745169</v>
      </c>
      <c r="P13" s="18">
        <v>0</v>
      </c>
      <c r="Q13" s="18">
        <v>0</v>
      </c>
      <c r="R13" s="18">
        <v>32250745169</v>
      </c>
      <c r="S13" s="18">
        <v>10372939245.280001</v>
      </c>
      <c r="T13" s="18">
        <v>149719195</v>
      </c>
      <c r="U13" s="18">
        <v>10522658440.280001</v>
      </c>
      <c r="V13" s="18">
        <v>21728086728.720001</v>
      </c>
      <c r="W13" s="19">
        <v>0.32627644369577452</v>
      </c>
      <c r="Y13" s="16" t="s">
        <v>244</v>
      </c>
      <c r="Z13" s="17" t="s">
        <v>245</v>
      </c>
      <c r="AA13" s="18">
        <v>32250745169</v>
      </c>
      <c r="AB13" s="18">
        <v>0</v>
      </c>
      <c r="AC13" s="18">
        <v>0</v>
      </c>
      <c r="AD13" s="18">
        <v>32250745169</v>
      </c>
      <c r="AE13" s="18">
        <v>12380388672.280001</v>
      </c>
      <c r="AF13" s="18">
        <v>1857730232</v>
      </c>
      <c r="AG13" s="18">
        <v>12380388672.280001</v>
      </c>
      <c r="AH13" s="18">
        <v>19870356496.720001</v>
      </c>
      <c r="AI13" s="19">
        <v>0.38387915092827851</v>
      </c>
    </row>
    <row r="14" spans="1:35" x14ac:dyDescent="0.25">
      <c r="A14" s="21" t="s">
        <v>246</v>
      </c>
      <c r="B14" s="22" t="s">
        <v>247</v>
      </c>
      <c r="C14" s="23">
        <f>SUM(C15:C26)</f>
        <v>32250745169</v>
      </c>
      <c r="D14" s="23">
        <f t="shared" ref="D14:J14" si="10">SUM(D15:D26)</f>
        <v>0</v>
      </c>
      <c r="E14" s="23">
        <f t="shared" si="10"/>
        <v>0</v>
      </c>
      <c r="F14" s="23">
        <f t="shared" si="10"/>
        <v>32250745169</v>
      </c>
      <c r="G14" s="23">
        <f t="shared" si="10"/>
        <v>12380388672.280001</v>
      </c>
      <c r="H14" s="23">
        <f t="shared" si="10"/>
        <v>1857730232</v>
      </c>
      <c r="I14" s="23">
        <f t="shared" si="10"/>
        <v>12380388672.280001</v>
      </c>
      <c r="J14" s="23">
        <f t="shared" si="10"/>
        <v>19870356496.720001</v>
      </c>
      <c r="K14" s="24">
        <f t="shared" si="1"/>
        <v>0.38387915092827851</v>
      </c>
      <c r="L14" s="113">
        <f t="shared" si="3"/>
        <v>0</v>
      </c>
      <c r="M14" s="21" t="s">
        <v>246</v>
      </c>
      <c r="N14" s="22" t="s">
        <v>247</v>
      </c>
      <c r="O14" s="23">
        <v>32250745169</v>
      </c>
      <c r="P14" s="23">
        <v>0</v>
      </c>
      <c r="Q14" s="23">
        <v>0</v>
      </c>
      <c r="R14" s="23">
        <v>32250745169</v>
      </c>
      <c r="S14" s="23">
        <v>10372939245.280001</v>
      </c>
      <c r="T14" s="23">
        <v>149719195</v>
      </c>
      <c r="U14" s="23">
        <v>10522658440.280001</v>
      </c>
      <c r="V14" s="23">
        <v>21728086728.720001</v>
      </c>
      <c r="W14" s="24">
        <v>0.32627644369577452</v>
      </c>
      <c r="Y14" s="21" t="s">
        <v>246</v>
      </c>
      <c r="Z14" s="22" t="s">
        <v>247</v>
      </c>
      <c r="AA14" s="23">
        <v>32250745169</v>
      </c>
      <c r="AB14" s="23">
        <v>0</v>
      </c>
      <c r="AC14" s="23">
        <v>0</v>
      </c>
      <c r="AD14" s="23">
        <v>32250745169</v>
      </c>
      <c r="AE14" s="23">
        <v>12380388672.280001</v>
      </c>
      <c r="AF14" s="23">
        <v>1857730232</v>
      </c>
      <c r="AG14" s="23">
        <v>12380388672.280001</v>
      </c>
      <c r="AH14" s="23">
        <v>19870356496.720001</v>
      </c>
      <c r="AI14" s="24">
        <v>0.38387915092827851</v>
      </c>
    </row>
    <row r="15" spans="1:35" x14ac:dyDescent="0.25">
      <c r="A15" s="25" t="s">
        <v>248</v>
      </c>
      <c r="B15" s="26" t="s">
        <v>249</v>
      </c>
      <c r="C15" s="27">
        <v>1755025978</v>
      </c>
      <c r="D15" s="28"/>
      <c r="E15" s="29"/>
      <c r="F15" s="30">
        <f t="shared" ref="F15:F78" si="11">+C15+D15</f>
        <v>1755025978</v>
      </c>
      <c r="G15" s="31">
        <v>0</v>
      </c>
      <c r="H15" s="27"/>
      <c r="I15" s="31">
        <v>0</v>
      </c>
      <c r="J15" s="32">
        <f t="shared" ref="J15:J78" si="12">SUM(F15-I15)</f>
        <v>1755025978</v>
      </c>
      <c r="K15" s="33">
        <f t="shared" si="1"/>
        <v>0</v>
      </c>
      <c r="L15" s="113">
        <f t="shared" si="3"/>
        <v>0</v>
      </c>
      <c r="M15" s="25" t="s">
        <v>248</v>
      </c>
      <c r="N15" s="26" t="s">
        <v>249</v>
      </c>
      <c r="O15" s="27">
        <v>1755025978</v>
      </c>
      <c r="P15" s="28"/>
      <c r="Q15" s="29"/>
      <c r="R15" s="30">
        <v>1755025978</v>
      </c>
      <c r="S15" s="31">
        <v>0</v>
      </c>
      <c r="T15" s="27"/>
      <c r="U15" s="31">
        <v>0</v>
      </c>
      <c r="V15" s="32">
        <v>1755025978</v>
      </c>
      <c r="W15" s="33">
        <v>0</v>
      </c>
      <c r="Y15" s="25" t="s">
        <v>248</v>
      </c>
      <c r="Z15" s="26" t="s">
        <v>249</v>
      </c>
      <c r="AA15" s="27">
        <v>1755025978</v>
      </c>
      <c r="AB15" s="28"/>
      <c r="AC15" s="29"/>
      <c r="AD15" s="30">
        <v>1755025978</v>
      </c>
      <c r="AE15" s="31">
        <v>0</v>
      </c>
      <c r="AF15" s="27"/>
      <c r="AG15" s="31">
        <v>0</v>
      </c>
      <c r="AH15" s="32">
        <v>1755025978</v>
      </c>
      <c r="AI15" s="33">
        <v>0</v>
      </c>
    </row>
    <row r="16" spans="1:35" x14ac:dyDescent="0.25">
      <c r="A16" s="25" t="s">
        <v>250</v>
      </c>
      <c r="B16" s="26" t="s">
        <v>251</v>
      </c>
      <c r="C16" s="27">
        <v>27484600657</v>
      </c>
      <c r="D16" s="27"/>
      <c r="E16" s="34"/>
      <c r="F16" s="30">
        <f t="shared" si="11"/>
        <v>27484600657</v>
      </c>
      <c r="G16" s="31">
        <v>11136600412.280001</v>
      </c>
      <c r="H16" s="27">
        <v>1570322273</v>
      </c>
      <c r="I16" s="31">
        <v>11136600412.280001</v>
      </c>
      <c r="J16" s="32">
        <f t="shared" si="12"/>
        <v>16348000244.719999</v>
      </c>
      <c r="K16" s="33">
        <f t="shared" si="1"/>
        <v>0.40519418678341396</v>
      </c>
      <c r="L16" s="113">
        <f t="shared" si="3"/>
        <v>0</v>
      </c>
      <c r="M16" s="25" t="s">
        <v>250</v>
      </c>
      <c r="N16" s="26" t="s">
        <v>251</v>
      </c>
      <c r="O16" s="27">
        <v>27484600657</v>
      </c>
      <c r="P16" s="27"/>
      <c r="Q16" s="34"/>
      <c r="R16" s="30">
        <v>27484600657</v>
      </c>
      <c r="S16" s="31">
        <v>9484827514.2800007</v>
      </c>
      <c r="T16" s="27">
        <v>81450625</v>
      </c>
      <c r="U16" s="31">
        <v>9566278139.2800007</v>
      </c>
      <c r="V16" s="32">
        <v>17918322517.720001</v>
      </c>
      <c r="W16" s="33">
        <v>0.34805956465092697</v>
      </c>
      <c r="Y16" s="25" t="s">
        <v>250</v>
      </c>
      <c r="Z16" s="26" t="s">
        <v>251</v>
      </c>
      <c r="AA16" s="27">
        <v>27484600657</v>
      </c>
      <c r="AB16" s="27"/>
      <c r="AC16" s="34"/>
      <c r="AD16" s="30">
        <v>27484600657</v>
      </c>
      <c r="AE16" s="31">
        <v>11136600412.280001</v>
      </c>
      <c r="AF16" s="27">
        <v>1570322273</v>
      </c>
      <c r="AG16" s="31">
        <v>11136600412.280001</v>
      </c>
      <c r="AH16" s="32">
        <v>16348000244.719999</v>
      </c>
      <c r="AI16" s="33">
        <v>0.40519418678341396</v>
      </c>
    </row>
    <row r="17" spans="1:35" x14ac:dyDescent="0.25">
      <c r="A17" s="25" t="s">
        <v>252</v>
      </c>
      <c r="B17" s="26" t="s">
        <v>253</v>
      </c>
      <c r="C17" s="27">
        <v>10000764</v>
      </c>
      <c r="D17" s="27"/>
      <c r="E17" s="34"/>
      <c r="F17" s="30">
        <f t="shared" si="11"/>
        <v>10000764</v>
      </c>
      <c r="G17" s="31">
        <v>21234271</v>
      </c>
      <c r="H17" s="27"/>
      <c r="I17" s="31">
        <v>21234271</v>
      </c>
      <c r="J17" s="32">
        <f t="shared" si="12"/>
        <v>-11233507</v>
      </c>
      <c r="K17" s="33">
        <f t="shared" si="1"/>
        <v>2.1232648825629723</v>
      </c>
      <c r="L17" s="113">
        <f t="shared" si="3"/>
        <v>0</v>
      </c>
      <c r="M17" s="25" t="s">
        <v>252</v>
      </c>
      <c r="N17" s="26" t="s">
        <v>253</v>
      </c>
      <c r="O17" s="27">
        <v>10000764</v>
      </c>
      <c r="P17" s="27"/>
      <c r="Q17" s="34"/>
      <c r="R17" s="30">
        <v>10000764</v>
      </c>
      <c r="S17" s="31">
        <v>20918262</v>
      </c>
      <c r="T17" s="27">
        <v>316009</v>
      </c>
      <c r="U17" s="31">
        <v>21234271</v>
      </c>
      <c r="V17" s="32">
        <v>-11233507</v>
      </c>
      <c r="W17" s="33">
        <v>2.1232648825629723</v>
      </c>
      <c r="Y17" s="25" t="s">
        <v>252</v>
      </c>
      <c r="Z17" s="26" t="s">
        <v>253</v>
      </c>
      <c r="AA17" s="27">
        <v>10000764</v>
      </c>
      <c r="AB17" s="27"/>
      <c r="AC17" s="34"/>
      <c r="AD17" s="30">
        <v>10000764</v>
      </c>
      <c r="AE17" s="31">
        <v>21234271</v>
      </c>
      <c r="AF17" s="27"/>
      <c r="AG17" s="31">
        <v>21234271</v>
      </c>
      <c r="AH17" s="32">
        <v>-11233507</v>
      </c>
      <c r="AI17" s="33">
        <v>2.1232648825629723</v>
      </c>
    </row>
    <row r="18" spans="1:35" x14ac:dyDescent="0.25">
      <c r="A18" s="25" t="s">
        <v>254</v>
      </c>
      <c r="B18" s="26" t="s">
        <v>255</v>
      </c>
      <c r="C18" s="27">
        <v>1796956253</v>
      </c>
      <c r="D18" s="27"/>
      <c r="E18" s="34"/>
      <c r="F18" s="30">
        <f t="shared" si="11"/>
        <v>1796956253</v>
      </c>
      <c r="G18" s="31">
        <v>608761153</v>
      </c>
      <c r="H18" s="27">
        <v>40847000</v>
      </c>
      <c r="I18" s="31">
        <v>608761153</v>
      </c>
      <c r="J18" s="32">
        <f t="shared" si="12"/>
        <v>1188195100</v>
      </c>
      <c r="K18" s="33">
        <f t="shared" si="1"/>
        <v>0.33877349656324662</v>
      </c>
      <c r="L18" s="113">
        <f t="shared" si="3"/>
        <v>0</v>
      </c>
      <c r="M18" s="25" t="s">
        <v>254</v>
      </c>
      <c r="N18" s="26" t="s">
        <v>255</v>
      </c>
      <c r="O18" s="27">
        <v>1796956253</v>
      </c>
      <c r="P18" s="27"/>
      <c r="Q18" s="34"/>
      <c r="R18" s="30">
        <v>1796956253</v>
      </c>
      <c r="S18" s="31">
        <v>529812153</v>
      </c>
      <c r="T18" s="27">
        <v>38102000</v>
      </c>
      <c r="U18" s="31">
        <v>567914153</v>
      </c>
      <c r="V18" s="32">
        <v>1229042100</v>
      </c>
      <c r="W18" s="33">
        <v>0.31604228096920733</v>
      </c>
      <c r="Y18" s="25" t="s">
        <v>254</v>
      </c>
      <c r="Z18" s="26" t="s">
        <v>255</v>
      </c>
      <c r="AA18" s="27">
        <v>1796956253</v>
      </c>
      <c r="AB18" s="27"/>
      <c r="AC18" s="34"/>
      <c r="AD18" s="30">
        <v>1796956253</v>
      </c>
      <c r="AE18" s="31">
        <v>608761153</v>
      </c>
      <c r="AF18" s="27">
        <v>40847000</v>
      </c>
      <c r="AG18" s="31">
        <v>608761153</v>
      </c>
      <c r="AH18" s="32">
        <v>1188195100</v>
      </c>
      <c r="AI18" s="33">
        <v>0.33877349656324662</v>
      </c>
    </row>
    <row r="19" spans="1:35" x14ac:dyDescent="0.25">
      <c r="A19" s="25" t="s">
        <v>256</v>
      </c>
      <c r="B19" s="26" t="s">
        <v>257</v>
      </c>
      <c r="C19" s="27">
        <v>5182800</v>
      </c>
      <c r="D19" s="27"/>
      <c r="E19" s="29"/>
      <c r="F19" s="30">
        <f t="shared" si="11"/>
        <v>5182800</v>
      </c>
      <c r="G19" s="31">
        <v>1050000</v>
      </c>
      <c r="H19" s="27"/>
      <c r="I19" s="31">
        <v>1050000</v>
      </c>
      <c r="J19" s="32">
        <f t="shared" si="12"/>
        <v>4132800</v>
      </c>
      <c r="K19" s="35">
        <f t="shared" si="1"/>
        <v>0.2025931928687196</v>
      </c>
      <c r="L19" s="113">
        <f t="shared" si="3"/>
        <v>0</v>
      </c>
      <c r="M19" s="25" t="s">
        <v>256</v>
      </c>
      <c r="N19" s="26" t="s">
        <v>257</v>
      </c>
      <c r="O19" s="27">
        <v>5182800</v>
      </c>
      <c r="P19" s="27"/>
      <c r="Q19" s="29"/>
      <c r="R19" s="30">
        <v>5182800</v>
      </c>
      <c r="S19" s="31">
        <v>1020000</v>
      </c>
      <c r="T19" s="27">
        <v>30000</v>
      </c>
      <c r="U19" s="31">
        <v>1050000</v>
      </c>
      <c r="V19" s="32">
        <v>4132800</v>
      </c>
      <c r="W19" s="35">
        <v>0.2025931928687196</v>
      </c>
      <c r="Y19" s="25" t="s">
        <v>256</v>
      </c>
      <c r="Z19" s="26" t="s">
        <v>257</v>
      </c>
      <c r="AA19" s="27">
        <v>5182800</v>
      </c>
      <c r="AB19" s="27"/>
      <c r="AC19" s="29"/>
      <c r="AD19" s="30">
        <v>5182800</v>
      </c>
      <c r="AE19" s="31">
        <v>1050000</v>
      </c>
      <c r="AF19" s="27"/>
      <c r="AG19" s="31">
        <v>1050000</v>
      </c>
      <c r="AH19" s="32">
        <v>4132800</v>
      </c>
      <c r="AI19" s="35">
        <v>0.2025931928687196</v>
      </c>
    </row>
    <row r="20" spans="1:35" x14ac:dyDescent="0.25">
      <c r="A20" s="25" t="s">
        <v>258</v>
      </c>
      <c r="B20" s="26" t="s">
        <v>259</v>
      </c>
      <c r="C20" s="27">
        <v>87550000</v>
      </c>
      <c r="D20" s="27"/>
      <c r="E20" s="34"/>
      <c r="F20" s="30">
        <f t="shared" si="11"/>
        <v>87550000</v>
      </c>
      <c r="G20" s="31">
        <v>78986323</v>
      </c>
      <c r="H20" s="27">
        <v>6541369</v>
      </c>
      <c r="I20" s="31">
        <v>78986323</v>
      </c>
      <c r="J20" s="32">
        <f t="shared" si="12"/>
        <v>8563677</v>
      </c>
      <c r="K20" s="33">
        <f t="shared" si="1"/>
        <v>0.90218529982866935</v>
      </c>
      <c r="L20" s="113">
        <f t="shared" si="3"/>
        <v>0</v>
      </c>
      <c r="M20" s="25" t="s">
        <v>258</v>
      </c>
      <c r="N20" s="26" t="s">
        <v>259</v>
      </c>
      <c r="O20" s="27">
        <v>87550000</v>
      </c>
      <c r="P20" s="27"/>
      <c r="Q20" s="34"/>
      <c r="R20" s="30">
        <v>87550000</v>
      </c>
      <c r="S20" s="31">
        <v>65329154</v>
      </c>
      <c r="T20" s="27">
        <v>7115800</v>
      </c>
      <c r="U20" s="31">
        <v>72444954</v>
      </c>
      <c r="V20" s="32">
        <v>15105046</v>
      </c>
      <c r="W20" s="33">
        <v>0.82746949171901774</v>
      </c>
      <c r="Y20" s="25" t="s">
        <v>258</v>
      </c>
      <c r="Z20" s="26" t="s">
        <v>259</v>
      </c>
      <c r="AA20" s="27">
        <v>87550000</v>
      </c>
      <c r="AB20" s="27"/>
      <c r="AC20" s="34"/>
      <c r="AD20" s="30">
        <v>87550000</v>
      </c>
      <c r="AE20" s="31">
        <v>78986323</v>
      </c>
      <c r="AF20" s="27">
        <v>6541369</v>
      </c>
      <c r="AG20" s="31">
        <v>78986323</v>
      </c>
      <c r="AH20" s="32">
        <v>8563677</v>
      </c>
      <c r="AI20" s="33">
        <v>0.90218529982866935</v>
      </c>
    </row>
    <row r="21" spans="1:35" x14ac:dyDescent="0.25">
      <c r="A21" s="25" t="s">
        <v>260</v>
      </c>
      <c r="B21" s="26" t="s">
        <v>261</v>
      </c>
      <c r="C21" s="27">
        <v>13081000</v>
      </c>
      <c r="D21" s="27"/>
      <c r="E21" s="34"/>
      <c r="F21" s="30">
        <f t="shared" si="11"/>
        <v>13081000</v>
      </c>
      <c r="G21" s="31">
        <v>2332000</v>
      </c>
      <c r="H21" s="27"/>
      <c r="I21" s="31">
        <v>2332000</v>
      </c>
      <c r="J21" s="32">
        <f t="shared" si="12"/>
        <v>10749000</v>
      </c>
      <c r="K21" s="33">
        <f t="shared" si="1"/>
        <v>0.17827383227581989</v>
      </c>
      <c r="L21" s="113">
        <f t="shared" si="3"/>
        <v>0</v>
      </c>
      <c r="M21" s="25" t="s">
        <v>260</v>
      </c>
      <c r="N21" s="26" t="s">
        <v>261</v>
      </c>
      <c r="O21" s="27">
        <v>13081000</v>
      </c>
      <c r="P21" s="27"/>
      <c r="Q21" s="34"/>
      <c r="R21" s="30">
        <v>13081000</v>
      </c>
      <c r="S21" s="31">
        <v>832000</v>
      </c>
      <c r="T21" s="27">
        <v>1500000</v>
      </c>
      <c r="U21" s="31">
        <v>2332000</v>
      </c>
      <c r="V21" s="32">
        <v>10749000</v>
      </c>
      <c r="W21" s="33">
        <v>0.17827383227581989</v>
      </c>
      <c r="Y21" s="25" t="s">
        <v>260</v>
      </c>
      <c r="Z21" s="26" t="s">
        <v>261</v>
      </c>
      <c r="AA21" s="27">
        <v>13081000</v>
      </c>
      <c r="AB21" s="27"/>
      <c r="AC21" s="34"/>
      <c r="AD21" s="30">
        <v>13081000</v>
      </c>
      <c r="AE21" s="31">
        <v>2332000</v>
      </c>
      <c r="AF21" s="27"/>
      <c r="AG21" s="31">
        <v>2332000</v>
      </c>
      <c r="AH21" s="32">
        <v>10749000</v>
      </c>
      <c r="AI21" s="33">
        <v>0.17827383227581989</v>
      </c>
    </row>
    <row r="22" spans="1:35" x14ac:dyDescent="0.25">
      <c r="A22" s="25" t="s">
        <v>262</v>
      </c>
      <c r="B22" s="26" t="s">
        <v>263</v>
      </c>
      <c r="C22" s="27">
        <v>61800000</v>
      </c>
      <c r="D22" s="27"/>
      <c r="E22" s="34"/>
      <c r="F22" s="30">
        <f t="shared" si="11"/>
        <v>61800000</v>
      </c>
      <c r="G22" s="31">
        <v>31076128</v>
      </c>
      <c r="H22" s="27">
        <v>185882</v>
      </c>
      <c r="I22" s="31">
        <v>31076128</v>
      </c>
      <c r="J22" s="32">
        <f t="shared" si="12"/>
        <v>30723872</v>
      </c>
      <c r="K22" s="33">
        <f t="shared" si="1"/>
        <v>0.50284996763754042</v>
      </c>
      <c r="L22" s="113">
        <f t="shared" si="3"/>
        <v>0</v>
      </c>
      <c r="M22" s="25" t="s">
        <v>262</v>
      </c>
      <c r="N22" s="26" t="s">
        <v>263</v>
      </c>
      <c r="O22" s="27">
        <v>61800000</v>
      </c>
      <c r="P22" s="27"/>
      <c r="Q22" s="34"/>
      <c r="R22" s="30">
        <v>61800000</v>
      </c>
      <c r="S22" s="31">
        <v>30602346</v>
      </c>
      <c r="T22" s="27">
        <v>287900</v>
      </c>
      <c r="U22" s="31">
        <v>30890246</v>
      </c>
      <c r="V22" s="32">
        <v>30909754</v>
      </c>
      <c r="W22" s="33">
        <v>0.49984216828478967</v>
      </c>
      <c r="Y22" s="25" t="s">
        <v>262</v>
      </c>
      <c r="Z22" s="26" t="s">
        <v>263</v>
      </c>
      <c r="AA22" s="27">
        <v>61800000</v>
      </c>
      <c r="AB22" s="27"/>
      <c r="AC22" s="34"/>
      <c r="AD22" s="30">
        <v>61800000</v>
      </c>
      <c r="AE22" s="31">
        <v>31076128</v>
      </c>
      <c r="AF22" s="27">
        <v>185882</v>
      </c>
      <c r="AG22" s="31">
        <v>31076128</v>
      </c>
      <c r="AH22" s="32">
        <v>30723872</v>
      </c>
      <c r="AI22" s="33">
        <v>0.50284996763754042</v>
      </c>
    </row>
    <row r="23" spans="1:35" x14ac:dyDescent="0.25">
      <c r="A23" s="25" t="s">
        <v>264</v>
      </c>
      <c r="B23" s="26" t="s">
        <v>265</v>
      </c>
      <c r="C23" s="27">
        <v>7004000</v>
      </c>
      <c r="D23" s="27"/>
      <c r="E23" s="34"/>
      <c r="F23" s="30">
        <f t="shared" si="11"/>
        <v>7004000</v>
      </c>
      <c r="G23" s="31">
        <v>1996500</v>
      </c>
      <c r="H23" s="27">
        <v>300000</v>
      </c>
      <c r="I23" s="31">
        <v>1996500</v>
      </c>
      <c r="J23" s="32">
        <f t="shared" si="12"/>
        <v>5007500</v>
      </c>
      <c r="K23" s="33">
        <f t="shared" si="1"/>
        <v>0.28505139920045686</v>
      </c>
      <c r="L23" s="113">
        <f t="shared" si="3"/>
        <v>0</v>
      </c>
      <c r="M23" s="25" t="s">
        <v>264</v>
      </c>
      <c r="N23" s="26" t="s">
        <v>265</v>
      </c>
      <c r="O23" s="27">
        <v>7004000</v>
      </c>
      <c r="P23" s="27"/>
      <c r="Q23" s="34"/>
      <c r="R23" s="30">
        <v>7004000</v>
      </c>
      <c r="S23" s="31">
        <v>1635500</v>
      </c>
      <c r="T23" s="27">
        <v>61000</v>
      </c>
      <c r="U23" s="31">
        <v>1696500</v>
      </c>
      <c r="V23" s="32">
        <v>5307500</v>
      </c>
      <c r="W23" s="33">
        <v>0.24221873215305539</v>
      </c>
      <c r="Y23" s="25" t="s">
        <v>264</v>
      </c>
      <c r="Z23" s="26" t="s">
        <v>265</v>
      </c>
      <c r="AA23" s="27">
        <v>7004000</v>
      </c>
      <c r="AB23" s="27"/>
      <c r="AC23" s="34"/>
      <c r="AD23" s="30">
        <v>7004000</v>
      </c>
      <c r="AE23" s="31">
        <v>1996500</v>
      </c>
      <c r="AF23" s="27">
        <v>300000</v>
      </c>
      <c r="AG23" s="31">
        <v>1996500</v>
      </c>
      <c r="AH23" s="32">
        <v>5007500</v>
      </c>
      <c r="AI23" s="33">
        <v>0.28505139920045686</v>
      </c>
    </row>
    <row r="24" spans="1:35" x14ac:dyDescent="0.25">
      <c r="A24" s="25" t="s">
        <v>266</v>
      </c>
      <c r="B24" s="26" t="s">
        <v>267</v>
      </c>
      <c r="C24" s="27">
        <v>15000000</v>
      </c>
      <c r="D24" s="27"/>
      <c r="E24" s="34"/>
      <c r="F24" s="30">
        <f>+C24+D24</f>
        <v>15000000</v>
      </c>
      <c r="G24" s="31">
        <v>17203200</v>
      </c>
      <c r="H24" s="27">
        <v>226000</v>
      </c>
      <c r="I24" s="31">
        <v>17203200</v>
      </c>
      <c r="J24" s="32">
        <f>SUM(F24-I24)</f>
        <v>-2203200</v>
      </c>
      <c r="K24" s="33">
        <f t="shared" si="1"/>
        <v>1.1468799999999999</v>
      </c>
      <c r="L24" s="113">
        <f t="shared" si="3"/>
        <v>0</v>
      </c>
      <c r="M24" s="25" t="s">
        <v>266</v>
      </c>
      <c r="N24" s="26" t="s">
        <v>267</v>
      </c>
      <c r="O24" s="27">
        <v>15000000</v>
      </c>
      <c r="P24" s="27"/>
      <c r="Q24" s="34"/>
      <c r="R24" s="30">
        <v>15000000</v>
      </c>
      <c r="S24" s="31">
        <v>16750700</v>
      </c>
      <c r="T24" s="27">
        <v>226500</v>
      </c>
      <c r="U24" s="31">
        <v>16977200</v>
      </c>
      <c r="V24" s="32">
        <v>-1977200</v>
      </c>
      <c r="W24" s="33">
        <v>1.1318133333333333</v>
      </c>
      <c r="Y24" s="25" t="s">
        <v>266</v>
      </c>
      <c r="Z24" s="26" t="s">
        <v>267</v>
      </c>
      <c r="AA24" s="27">
        <v>15000000</v>
      </c>
      <c r="AB24" s="27"/>
      <c r="AC24" s="34"/>
      <c r="AD24" s="30">
        <v>15000000</v>
      </c>
      <c r="AE24" s="31">
        <v>17203200</v>
      </c>
      <c r="AF24" s="27">
        <v>226000</v>
      </c>
      <c r="AG24" s="31">
        <v>17203200</v>
      </c>
      <c r="AH24" s="32">
        <v>-2203200</v>
      </c>
      <c r="AI24" s="33">
        <v>1.1468799999999999</v>
      </c>
    </row>
    <row r="25" spans="1:35" x14ac:dyDescent="0.25">
      <c r="A25" s="25" t="s">
        <v>268</v>
      </c>
      <c r="B25" s="26" t="s">
        <v>269</v>
      </c>
      <c r="C25" s="27">
        <v>940383717</v>
      </c>
      <c r="D25" s="27"/>
      <c r="E25" s="34"/>
      <c r="F25" s="30">
        <f>+C25+D25</f>
        <v>940383717</v>
      </c>
      <c r="G25" s="31">
        <v>473408071</v>
      </c>
      <c r="H25" s="27">
        <v>236679644</v>
      </c>
      <c r="I25" s="31">
        <v>473408071</v>
      </c>
      <c r="J25" s="32">
        <f>SUM(F25-I25)</f>
        <v>466975646</v>
      </c>
      <c r="K25" s="33">
        <f t="shared" si="1"/>
        <v>0.50342010653933944</v>
      </c>
      <c r="L25" s="113">
        <f t="shared" si="3"/>
        <v>0</v>
      </c>
      <c r="M25" s="25" t="s">
        <v>268</v>
      </c>
      <c r="N25" s="26" t="s">
        <v>269</v>
      </c>
      <c r="O25" s="27">
        <v>940383717</v>
      </c>
      <c r="P25" s="27"/>
      <c r="Q25" s="34"/>
      <c r="R25" s="30">
        <v>940383717</v>
      </c>
      <c r="S25" s="31">
        <v>216319066</v>
      </c>
      <c r="T25" s="27">
        <v>20409361</v>
      </c>
      <c r="U25" s="31">
        <v>236728427</v>
      </c>
      <c r="V25" s="32">
        <v>703655290</v>
      </c>
      <c r="W25" s="33">
        <v>0.25173599108586009</v>
      </c>
      <c r="Y25" s="25" t="s">
        <v>268</v>
      </c>
      <c r="Z25" s="26" t="s">
        <v>269</v>
      </c>
      <c r="AA25" s="27">
        <v>940383717</v>
      </c>
      <c r="AB25" s="27"/>
      <c r="AC25" s="34"/>
      <c r="AD25" s="30">
        <v>940383717</v>
      </c>
      <c r="AE25" s="31">
        <v>473408071</v>
      </c>
      <c r="AF25" s="27">
        <v>236679644</v>
      </c>
      <c r="AG25" s="31">
        <v>473408071</v>
      </c>
      <c r="AH25" s="32">
        <v>466975646</v>
      </c>
      <c r="AI25" s="33">
        <v>0.50342010653933944</v>
      </c>
    </row>
    <row r="26" spans="1:35" x14ac:dyDescent="0.25">
      <c r="A26" s="25" t="s">
        <v>270</v>
      </c>
      <c r="B26" s="26" t="s">
        <v>271</v>
      </c>
      <c r="C26" s="27">
        <v>74160000</v>
      </c>
      <c r="D26" s="27"/>
      <c r="E26" s="34"/>
      <c r="F26" s="30">
        <f>+C26+D26</f>
        <v>74160000</v>
      </c>
      <c r="G26" s="31">
        <v>7740614</v>
      </c>
      <c r="H26" s="27">
        <v>2628064</v>
      </c>
      <c r="I26" s="31">
        <v>7740614</v>
      </c>
      <c r="J26" s="32">
        <f>SUM(F26-I26)</f>
        <v>66419386</v>
      </c>
      <c r="K26" s="33">
        <f t="shared" si="1"/>
        <v>0.1043772114347357</v>
      </c>
      <c r="L26" s="113">
        <f t="shared" si="3"/>
        <v>0</v>
      </c>
      <c r="M26" s="25" t="s">
        <v>270</v>
      </c>
      <c r="N26" s="26" t="s">
        <v>271</v>
      </c>
      <c r="O26" s="27">
        <v>74160000</v>
      </c>
      <c r="P26" s="27"/>
      <c r="Q26" s="34"/>
      <c r="R26" s="30">
        <v>74160000</v>
      </c>
      <c r="S26" s="31">
        <v>4892550</v>
      </c>
      <c r="T26" s="27">
        <v>220000</v>
      </c>
      <c r="U26" s="31">
        <v>5112550</v>
      </c>
      <c r="V26" s="32">
        <v>69047450</v>
      </c>
      <c r="W26" s="33">
        <v>6.8939455231930957E-2</v>
      </c>
      <c r="Y26" s="25" t="s">
        <v>270</v>
      </c>
      <c r="Z26" s="26" t="s">
        <v>271</v>
      </c>
      <c r="AA26" s="27">
        <v>74160000</v>
      </c>
      <c r="AB26" s="27"/>
      <c r="AC26" s="34"/>
      <c r="AD26" s="30">
        <v>74160000</v>
      </c>
      <c r="AE26" s="31">
        <v>7740614</v>
      </c>
      <c r="AF26" s="27">
        <v>2628064</v>
      </c>
      <c r="AG26" s="31">
        <v>7740614</v>
      </c>
      <c r="AH26" s="32">
        <v>66419386</v>
      </c>
      <c r="AI26" s="33">
        <v>0.1043772114347357</v>
      </c>
    </row>
    <row r="27" spans="1:35" s="20" customFormat="1" x14ac:dyDescent="0.25">
      <c r="A27" s="16" t="s">
        <v>272</v>
      </c>
      <c r="B27" s="17" t="s">
        <v>273</v>
      </c>
      <c r="C27" s="18">
        <f>+C28+C34+C39</f>
        <v>9796488332</v>
      </c>
      <c r="D27" s="18">
        <f t="shared" ref="D27:J27" si="13">+D28+D34+D39</f>
        <v>0</v>
      </c>
      <c r="E27" s="18">
        <f t="shared" si="13"/>
        <v>0</v>
      </c>
      <c r="F27" s="18">
        <f t="shared" si="13"/>
        <v>9796488332</v>
      </c>
      <c r="G27" s="18">
        <f t="shared" si="13"/>
        <v>4380576036</v>
      </c>
      <c r="H27" s="18">
        <f t="shared" si="13"/>
        <v>134520159</v>
      </c>
      <c r="I27" s="18">
        <f t="shared" si="13"/>
        <v>4380576036</v>
      </c>
      <c r="J27" s="18">
        <f t="shared" si="13"/>
        <v>1484176570</v>
      </c>
      <c r="K27" s="19">
        <f t="shared" si="1"/>
        <v>0.44715778629480429</v>
      </c>
      <c r="L27" s="113">
        <f t="shared" si="3"/>
        <v>0</v>
      </c>
      <c r="M27" s="16" t="s">
        <v>272</v>
      </c>
      <c r="N27" s="17" t="s">
        <v>273</v>
      </c>
      <c r="O27" s="18">
        <v>9796488332</v>
      </c>
      <c r="P27" s="18">
        <v>0</v>
      </c>
      <c r="Q27" s="18">
        <v>0</v>
      </c>
      <c r="R27" s="18">
        <v>9796488332</v>
      </c>
      <c r="S27" s="18">
        <v>4015292460</v>
      </c>
      <c r="T27" s="18">
        <v>230763417</v>
      </c>
      <c r="U27" s="18">
        <v>4246055877</v>
      </c>
      <c r="V27" s="18">
        <v>5550432455</v>
      </c>
      <c r="W27" s="19">
        <v>0.433426319013759</v>
      </c>
      <c r="Y27" s="16" t="s">
        <v>272</v>
      </c>
      <c r="Z27" s="17" t="s">
        <v>273</v>
      </c>
      <c r="AA27" s="18">
        <v>9796488332</v>
      </c>
      <c r="AB27" s="18">
        <v>0</v>
      </c>
      <c r="AC27" s="18">
        <v>0</v>
      </c>
      <c r="AD27" s="18">
        <v>9796488332</v>
      </c>
      <c r="AE27" s="18">
        <v>4380576036</v>
      </c>
      <c r="AF27" s="18">
        <v>134520159</v>
      </c>
      <c r="AG27" s="18">
        <v>4380576036</v>
      </c>
      <c r="AH27" s="18">
        <v>1484176570</v>
      </c>
      <c r="AI27" s="19">
        <v>0.44715778629480429</v>
      </c>
    </row>
    <row r="28" spans="1:35" x14ac:dyDescent="0.25">
      <c r="A28" s="21" t="s">
        <v>274</v>
      </c>
      <c r="B28" s="22" t="s">
        <v>275</v>
      </c>
      <c r="C28" s="23">
        <f>SUM(C29:C33)</f>
        <v>4983476830</v>
      </c>
      <c r="D28" s="23">
        <f t="shared" ref="D28:J28" si="14">SUM(D29:D33)</f>
        <v>0</v>
      </c>
      <c r="E28" s="23">
        <f t="shared" si="14"/>
        <v>0</v>
      </c>
      <c r="F28" s="23">
        <f t="shared" si="14"/>
        <v>4983476830</v>
      </c>
      <c r="G28" s="23">
        <f t="shared" si="14"/>
        <v>2110914166</v>
      </c>
      <c r="H28" s="23">
        <f t="shared" si="14"/>
        <v>65769761</v>
      </c>
      <c r="I28" s="23">
        <f t="shared" si="14"/>
        <v>2110914166</v>
      </c>
      <c r="J28" s="23">
        <f t="shared" si="14"/>
        <v>664975378</v>
      </c>
      <c r="K28" s="36">
        <f t="shared" si="1"/>
        <v>0.42358261872364317</v>
      </c>
      <c r="L28" s="113">
        <f t="shared" si="3"/>
        <v>0</v>
      </c>
      <c r="M28" s="21" t="s">
        <v>274</v>
      </c>
      <c r="N28" s="22" t="s">
        <v>275</v>
      </c>
      <c r="O28" s="23">
        <v>4983476830</v>
      </c>
      <c r="P28" s="23">
        <v>0</v>
      </c>
      <c r="Q28" s="23">
        <v>0</v>
      </c>
      <c r="R28" s="23">
        <v>4983476830</v>
      </c>
      <c r="S28" s="23">
        <v>1990939778</v>
      </c>
      <c r="T28" s="23">
        <v>54204627</v>
      </c>
      <c r="U28" s="23">
        <v>2045144405</v>
      </c>
      <c r="V28" s="23">
        <v>2938332425</v>
      </c>
      <c r="W28" s="36">
        <v>0.41038505340055931</v>
      </c>
      <c r="Y28" s="21" t="s">
        <v>274</v>
      </c>
      <c r="Z28" s="22" t="s">
        <v>275</v>
      </c>
      <c r="AA28" s="23">
        <v>4983476830</v>
      </c>
      <c r="AB28" s="23">
        <v>0</v>
      </c>
      <c r="AC28" s="23">
        <v>0</v>
      </c>
      <c r="AD28" s="23">
        <v>4983476830</v>
      </c>
      <c r="AE28" s="23">
        <v>2110914166</v>
      </c>
      <c r="AF28" s="23">
        <v>65769761</v>
      </c>
      <c r="AG28" s="23">
        <v>2110914166</v>
      </c>
      <c r="AH28" s="23">
        <v>664975378</v>
      </c>
      <c r="AI28" s="36">
        <v>0.42358261872364317</v>
      </c>
    </row>
    <row r="29" spans="1:35" x14ac:dyDescent="0.25">
      <c r="A29" s="25" t="s">
        <v>276</v>
      </c>
      <c r="B29" s="26" t="s">
        <v>249</v>
      </c>
      <c r="C29" s="27">
        <v>176410005</v>
      </c>
      <c r="D29" s="27"/>
      <c r="E29" s="34"/>
      <c r="F29" s="30">
        <f t="shared" si="11"/>
        <v>176410005</v>
      </c>
      <c r="G29" s="31">
        <v>41052000</v>
      </c>
      <c r="H29" s="27"/>
      <c r="I29" s="31">
        <v>41052000</v>
      </c>
      <c r="J29" s="32">
        <v>21234271</v>
      </c>
      <c r="K29" s="33">
        <f t="shared" si="1"/>
        <v>0.23270788978210163</v>
      </c>
      <c r="L29" s="113">
        <f t="shared" si="3"/>
        <v>0</v>
      </c>
      <c r="M29" s="25" t="s">
        <v>276</v>
      </c>
      <c r="N29" s="26" t="s">
        <v>249</v>
      </c>
      <c r="O29" s="27">
        <v>176410005</v>
      </c>
      <c r="P29" s="27"/>
      <c r="Q29" s="34"/>
      <c r="R29" s="30">
        <v>176410005</v>
      </c>
      <c r="S29" s="31">
        <v>41052000</v>
      </c>
      <c r="T29" s="27"/>
      <c r="U29" s="31">
        <v>41052000</v>
      </c>
      <c r="V29" s="32">
        <v>135358005</v>
      </c>
      <c r="W29" s="33">
        <v>0.23270788978210163</v>
      </c>
      <c r="Y29" s="25" t="s">
        <v>276</v>
      </c>
      <c r="Z29" s="26" t="s">
        <v>249</v>
      </c>
      <c r="AA29" s="27">
        <v>176410005</v>
      </c>
      <c r="AB29" s="27"/>
      <c r="AC29" s="34"/>
      <c r="AD29" s="30">
        <v>176410005</v>
      </c>
      <c r="AE29" s="31">
        <v>41052000</v>
      </c>
      <c r="AF29" s="27"/>
      <c r="AG29" s="31">
        <v>41052000</v>
      </c>
      <c r="AH29" s="32">
        <v>21234271</v>
      </c>
      <c r="AI29" s="33">
        <v>0.23270788978210163</v>
      </c>
    </row>
    <row r="30" spans="1:35" x14ac:dyDescent="0.25">
      <c r="A30" s="25" t="s">
        <v>277</v>
      </c>
      <c r="B30" s="26" t="s">
        <v>251</v>
      </c>
      <c r="C30" s="27">
        <v>4000596877</v>
      </c>
      <c r="D30" s="27"/>
      <c r="E30" s="34"/>
      <c r="F30" s="30">
        <f t="shared" si="11"/>
        <v>4000596877</v>
      </c>
      <c r="G30" s="31">
        <v>1909914753</v>
      </c>
      <c r="H30" s="27">
        <v>62765986</v>
      </c>
      <c r="I30" s="31">
        <v>1909914753</v>
      </c>
      <c r="J30" s="32">
        <v>567914153</v>
      </c>
      <c r="K30" s="33">
        <f t="shared" si="1"/>
        <v>0.47740744986838624</v>
      </c>
      <c r="L30" s="113">
        <f t="shared" si="3"/>
        <v>0</v>
      </c>
      <c r="M30" s="25" t="s">
        <v>277</v>
      </c>
      <c r="N30" s="26" t="s">
        <v>251</v>
      </c>
      <c r="O30" s="27">
        <v>4000596877</v>
      </c>
      <c r="P30" s="27"/>
      <c r="Q30" s="34"/>
      <c r="R30" s="30">
        <v>4000596877</v>
      </c>
      <c r="S30" s="31">
        <v>1799132140</v>
      </c>
      <c r="T30" s="27">
        <v>48016627</v>
      </c>
      <c r="U30" s="31">
        <v>1847148767</v>
      </c>
      <c r="V30" s="32">
        <v>2153448110</v>
      </c>
      <c r="W30" s="33">
        <v>0.46171829449238455</v>
      </c>
      <c r="Y30" s="25" t="s">
        <v>277</v>
      </c>
      <c r="Z30" s="26" t="s">
        <v>251</v>
      </c>
      <c r="AA30" s="27">
        <v>4000596877</v>
      </c>
      <c r="AB30" s="27"/>
      <c r="AC30" s="34"/>
      <c r="AD30" s="30">
        <v>4000596877</v>
      </c>
      <c r="AE30" s="31">
        <v>1909914753</v>
      </c>
      <c r="AF30" s="27">
        <v>62765986</v>
      </c>
      <c r="AG30" s="31">
        <v>1909914753</v>
      </c>
      <c r="AH30" s="32">
        <v>567914153</v>
      </c>
      <c r="AI30" s="33">
        <v>0.47740744986838624</v>
      </c>
    </row>
    <row r="31" spans="1:35" x14ac:dyDescent="0.25">
      <c r="A31" s="25" t="s">
        <v>278</v>
      </c>
      <c r="B31" s="26" t="s">
        <v>279</v>
      </c>
      <c r="C31" s="27">
        <v>594153640</v>
      </c>
      <c r="D31" s="27"/>
      <c r="E31" s="34"/>
      <c r="F31" s="30">
        <f t="shared" si="11"/>
        <v>594153640</v>
      </c>
      <c r="G31" s="31">
        <v>128199638</v>
      </c>
      <c r="H31" s="27"/>
      <c r="I31" s="31">
        <v>128199638</v>
      </c>
      <c r="J31" s="32">
        <v>1050000</v>
      </c>
      <c r="K31" s="33">
        <f t="shared" si="1"/>
        <v>0.2157684971853408</v>
      </c>
      <c r="L31" s="113">
        <f t="shared" si="3"/>
        <v>0</v>
      </c>
      <c r="M31" s="25" t="s">
        <v>278</v>
      </c>
      <c r="N31" s="26" t="s">
        <v>279</v>
      </c>
      <c r="O31" s="27">
        <v>594153640</v>
      </c>
      <c r="P31" s="27"/>
      <c r="Q31" s="34"/>
      <c r="R31" s="30">
        <v>594153640</v>
      </c>
      <c r="S31" s="31">
        <v>128199638</v>
      </c>
      <c r="T31" s="27"/>
      <c r="U31" s="31">
        <v>128199638</v>
      </c>
      <c r="V31" s="32">
        <v>465954002</v>
      </c>
      <c r="W31" s="33">
        <v>0.2157684971853408</v>
      </c>
      <c r="Y31" s="25" t="s">
        <v>278</v>
      </c>
      <c r="Z31" s="26" t="s">
        <v>279</v>
      </c>
      <c r="AA31" s="27">
        <v>594153640</v>
      </c>
      <c r="AB31" s="27"/>
      <c r="AC31" s="34"/>
      <c r="AD31" s="30">
        <v>594153640</v>
      </c>
      <c r="AE31" s="31">
        <v>128199638</v>
      </c>
      <c r="AF31" s="27"/>
      <c r="AG31" s="31">
        <v>128199638</v>
      </c>
      <c r="AH31" s="32">
        <v>1050000</v>
      </c>
      <c r="AI31" s="33">
        <v>0.2157684971853408</v>
      </c>
    </row>
    <row r="32" spans="1:35" x14ac:dyDescent="0.25">
      <c r="A32" s="25" t="s">
        <v>280</v>
      </c>
      <c r="B32" s="26" t="s">
        <v>281</v>
      </c>
      <c r="C32" s="27">
        <v>44607920</v>
      </c>
      <c r="D32" s="27"/>
      <c r="E32" s="34"/>
      <c r="F32" s="30">
        <f t="shared" si="11"/>
        <v>44607920</v>
      </c>
      <c r="G32" s="31">
        <v>3003775</v>
      </c>
      <c r="H32" s="27">
        <v>3003775</v>
      </c>
      <c r="I32" s="31">
        <v>3003775</v>
      </c>
      <c r="J32" s="32">
        <v>72444954</v>
      </c>
      <c r="K32" s="33">
        <f t="shared" si="1"/>
        <v>6.733725759909899E-2</v>
      </c>
      <c r="L32" s="113">
        <f t="shared" si="3"/>
        <v>0</v>
      </c>
      <c r="M32" s="25" t="s">
        <v>280</v>
      </c>
      <c r="N32" s="26" t="s">
        <v>281</v>
      </c>
      <c r="O32" s="27">
        <v>44607920</v>
      </c>
      <c r="P32" s="27"/>
      <c r="Q32" s="34"/>
      <c r="R32" s="30">
        <v>44607920</v>
      </c>
      <c r="S32" s="31">
        <v>0</v>
      </c>
      <c r="T32" s="27"/>
      <c r="U32" s="31">
        <v>0</v>
      </c>
      <c r="V32" s="32">
        <v>44607920</v>
      </c>
      <c r="W32" s="33">
        <v>0</v>
      </c>
      <c r="Y32" s="25" t="s">
        <v>280</v>
      </c>
      <c r="Z32" s="26" t="s">
        <v>281</v>
      </c>
      <c r="AA32" s="27">
        <v>44607920</v>
      </c>
      <c r="AB32" s="27"/>
      <c r="AC32" s="34"/>
      <c r="AD32" s="30">
        <v>44607920</v>
      </c>
      <c r="AE32" s="31">
        <v>3003775</v>
      </c>
      <c r="AF32" s="27">
        <v>3003775</v>
      </c>
      <c r="AG32" s="27">
        <v>3003775</v>
      </c>
      <c r="AH32" s="32">
        <v>72444954</v>
      </c>
      <c r="AI32" s="33">
        <v>6.733725759909899E-2</v>
      </c>
    </row>
    <row r="33" spans="1:35" x14ac:dyDescent="0.25">
      <c r="A33" s="25" t="s">
        <v>282</v>
      </c>
      <c r="B33" s="26" t="s">
        <v>255</v>
      </c>
      <c r="C33" s="27">
        <v>167708388</v>
      </c>
      <c r="D33" s="27"/>
      <c r="E33" s="34"/>
      <c r="F33" s="30">
        <f t="shared" si="11"/>
        <v>167708388</v>
      </c>
      <c r="G33" s="31">
        <v>28744000</v>
      </c>
      <c r="H33" s="27"/>
      <c r="I33" s="31">
        <v>28744000</v>
      </c>
      <c r="J33" s="32">
        <v>2332000</v>
      </c>
      <c r="K33" s="33">
        <f t="shared" si="1"/>
        <v>0.17139273916341025</v>
      </c>
      <c r="L33" s="113">
        <f t="shared" si="3"/>
        <v>0</v>
      </c>
      <c r="M33" s="25" t="s">
        <v>282</v>
      </c>
      <c r="N33" s="26" t="s">
        <v>255</v>
      </c>
      <c r="O33" s="27">
        <v>167708388</v>
      </c>
      <c r="P33" s="27"/>
      <c r="Q33" s="34"/>
      <c r="R33" s="30">
        <v>167708388</v>
      </c>
      <c r="S33" s="31">
        <v>22556000</v>
      </c>
      <c r="T33" s="27">
        <v>6188000</v>
      </c>
      <c r="U33" s="31">
        <v>28744000</v>
      </c>
      <c r="V33" s="32">
        <v>138964388</v>
      </c>
      <c r="W33" s="33">
        <v>0.17139273916341025</v>
      </c>
      <c r="Y33" s="25" t="s">
        <v>282</v>
      </c>
      <c r="Z33" s="26" t="s">
        <v>255</v>
      </c>
      <c r="AA33" s="27">
        <v>167708388</v>
      </c>
      <c r="AB33" s="27"/>
      <c r="AC33" s="34"/>
      <c r="AD33" s="30">
        <v>167708388</v>
      </c>
      <c r="AE33" s="31">
        <v>28744000</v>
      </c>
      <c r="AF33" s="27"/>
      <c r="AG33" s="31">
        <v>28744000</v>
      </c>
      <c r="AH33" s="32">
        <v>2332000</v>
      </c>
      <c r="AI33" s="33">
        <v>0.17139273916341025</v>
      </c>
    </row>
    <row r="34" spans="1:35" x14ac:dyDescent="0.25">
      <c r="A34" s="21" t="s">
        <v>283</v>
      </c>
      <c r="B34" s="22" t="s">
        <v>284</v>
      </c>
      <c r="C34" s="23">
        <f>SUM(C35:C38)</f>
        <v>3817074480</v>
      </c>
      <c r="D34" s="23">
        <f t="shared" ref="D34:J34" si="15">SUM(D35:D38)</f>
        <v>0</v>
      </c>
      <c r="E34" s="23">
        <f t="shared" si="15"/>
        <v>0</v>
      </c>
      <c r="F34" s="23">
        <f t="shared" si="15"/>
        <v>3817074480</v>
      </c>
      <c r="G34" s="23">
        <f t="shared" si="15"/>
        <v>1832411363</v>
      </c>
      <c r="H34" s="23">
        <f t="shared" si="15"/>
        <v>66154087</v>
      </c>
      <c r="I34" s="23">
        <f t="shared" si="15"/>
        <v>1832411363</v>
      </c>
      <c r="J34" s="23">
        <f t="shared" si="15"/>
        <v>260514677</v>
      </c>
      <c r="K34" s="36">
        <f t="shared" si="1"/>
        <v>0.48005648634867609</v>
      </c>
      <c r="L34" s="113">
        <f t="shared" si="3"/>
        <v>0</v>
      </c>
      <c r="M34" s="21" t="s">
        <v>283</v>
      </c>
      <c r="N34" s="22" t="s">
        <v>284</v>
      </c>
      <c r="O34" s="23">
        <v>3817074480</v>
      </c>
      <c r="P34" s="23">
        <v>0</v>
      </c>
      <c r="Q34" s="23">
        <v>0</v>
      </c>
      <c r="R34" s="23">
        <v>3817074480</v>
      </c>
      <c r="S34" s="23">
        <v>1703948155</v>
      </c>
      <c r="T34" s="23">
        <v>62309121</v>
      </c>
      <c r="U34" s="23">
        <v>1766257276</v>
      </c>
      <c r="V34" s="23">
        <v>2050817204</v>
      </c>
      <c r="W34" s="36">
        <v>0.46272538962876092</v>
      </c>
      <c r="Y34" s="21" t="s">
        <v>283</v>
      </c>
      <c r="Z34" s="22" t="s">
        <v>284</v>
      </c>
      <c r="AA34" s="23">
        <v>3817074480</v>
      </c>
      <c r="AB34" s="23">
        <v>0</v>
      </c>
      <c r="AC34" s="23">
        <v>0</v>
      </c>
      <c r="AD34" s="23">
        <v>3817074480</v>
      </c>
      <c r="AE34" s="23">
        <v>1832411363</v>
      </c>
      <c r="AF34" s="23">
        <v>66154087</v>
      </c>
      <c r="AG34" s="23">
        <v>1832411363</v>
      </c>
      <c r="AH34" s="23">
        <v>260514677</v>
      </c>
      <c r="AI34" s="36">
        <v>0.48005648634867609</v>
      </c>
    </row>
    <row r="35" spans="1:35" x14ac:dyDescent="0.25">
      <c r="A35" s="25" t="s">
        <v>285</v>
      </c>
      <c r="B35" s="26" t="s">
        <v>249</v>
      </c>
      <c r="C35" s="27">
        <v>73640621</v>
      </c>
      <c r="D35" s="27"/>
      <c r="E35" s="34"/>
      <c r="F35" s="30">
        <f t="shared" si="11"/>
        <v>73640621</v>
      </c>
      <c r="G35" s="31">
        <v>11119600</v>
      </c>
      <c r="H35" s="27"/>
      <c r="I35" s="31">
        <v>11119600</v>
      </c>
      <c r="J35" s="32">
        <v>1696500</v>
      </c>
      <c r="K35" s="33">
        <f t="shared" si="1"/>
        <v>0.15099818346181518</v>
      </c>
      <c r="L35" s="113">
        <f t="shared" si="3"/>
        <v>0</v>
      </c>
      <c r="M35" s="25" t="s">
        <v>285</v>
      </c>
      <c r="N35" s="26" t="s">
        <v>249</v>
      </c>
      <c r="O35" s="27">
        <v>73640621</v>
      </c>
      <c r="P35" s="27"/>
      <c r="Q35" s="34"/>
      <c r="R35" s="30">
        <v>73640621</v>
      </c>
      <c r="S35" s="31">
        <v>11119600</v>
      </c>
      <c r="T35" s="27"/>
      <c r="U35" s="31">
        <v>11119600</v>
      </c>
      <c r="V35" s="32">
        <v>62521021</v>
      </c>
      <c r="W35" s="33">
        <v>0.15099818346181518</v>
      </c>
      <c r="Y35" s="25" t="s">
        <v>285</v>
      </c>
      <c r="Z35" s="26" t="s">
        <v>249</v>
      </c>
      <c r="AA35" s="27">
        <v>73640621</v>
      </c>
      <c r="AB35" s="27"/>
      <c r="AC35" s="34"/>
      <c r="AD35" s="30">
        <v>73640621</v>
      </c>
      <c r="AE35" s="31">
        <v>11119600</v>
      </c>
      <c r="AF35" s="27"/>
      <c r="AG35" s="31">
        <v>11119600</v>
      </c>
      <c r="AH35" s="32">
        <v>1696500</v>
      </c>
      <c r="AI35" s="33">
        <v>0.15099818346181518</v>
      </c>
    </row>
    <row r="36" spans="1:35" x14ac:dyDescent="0.25">
      <c r="A36" s="25" t="s">
        <v>286</v>
      </c>
      <c r="B36" s="26" t="s">
        <v>251</v>
      </c>
      <c r="C36" s="27">
        <v>3469054021</v>
      </c>
      <c r="D36" s="27"/>
      <c r="E36" s="34"/>
      <c r="F36" s="30">
        <f t="shared" si="11"/>
        <v>3469054021</v>
      </c>
      <c r="G36" s="31">
        <v>1819625517</v>
      </c>
      <c r="H36" s="27">
        <v>64487841</v>
      </c>
      <c r="I36" s="31">
        <v>1819625517</v>
      </c>
      <c r="J36" s="32">
        <v>16977200</v>
      </c>
      <c r="K36" s="33">
        <f t="shared" si="1"/>
        <v>0.52453075275993233</v>
      </c>
      <c r="L36" s="113">
        <f t="shared" si="3"/>
        <v>0</v>
      </c>
      <c r="M36" s="25" t="s">
        <v>286</v>
      </c>
      <c r="N36" s="26" t="s">
        <v>251</v>
      </c>
      <c r="O36" s="27">
        <v>3469054021</v>
      </c>
      <c r="P36" s="27"/>
      <c r="Q36" s="34"/>
      <c r="R36" s="30">
        <v>3469054021</v>
      </c>
      <c r="S36" s="31">
        <v>1692828555</v>
      </c>
      <c r="T36" s="27">
        <v>62309121</v>
      </c>
      <c r="U36" s="31">
        <v>1755137676</v>
      </c>
      <c r="V36" s="32">
        <v>1713916345</v>
      </c>
      <c r="W36" s="33">
        <v>0.5059412927487531</v>
      </c>
      <c r="Y36" s="25" t="s">
        <v>286</v>
      </c>
      <c r="Z36" s="26" t="s">
        <v>251</v>
      </c>
      <c r="AA36" s="27">
        <v>3469054021</v>
      </c>
      <c r="AB36" s="27"/>
      <c r="AC36" s="34"/>
      <c r="AD36" s="30">
        <v>3469054021</v>
      </c>
      <c r="AE36" s="31">
        <v>1819625517</v>
      </c>
      <c r="AF36" s="27">
        <v>64487841</v>
      </c>
      <c r="AG36" s="31">
        <v>1819625517</v>
      </c>
      <c r="AH36" s="32">
        <v>16977200</v>
      </c>
      <c r="AI36" s="33">
        <v>0.52453075275993233</v>
      </c>
    </row>
    <row r="37" spans="1:35" x14ac:dyDescent="0.25">
      <c r="A37" s="25" t="s">
        <v>287</v>
      </c>
      <c r="B37" s="26" t="s">
        <v>279</v>
      </c>
      <c r="C37" s="27">
        <v>266109890</v>
      </c>
      <c r="D37" s="27"/>
      <c r="E37" s="34"/>
      <c r="F37" s="30">
        <f t="shared" si="11"/>
        <v>266109890</v>
      </c>
      <c r="G37" s="31">
        <v>0</v>
      </c>
      <c r="H37" s="27"/>
      <c r="I37" s="31"/>
      <c r="J37" s="32">
        <v>236728427</v>
      </c>
      <c r="K37" s="33">
        <f t="shared" si="1"/>
        <v>0</v>
      </c>
      <c r="L37" s="113">
        <f t="shared" si="3"/>
        <v>0</v>
      </c>
      <c r="M37" s="25" t="s">
        <v>287</v>
      </c>
      <c r="N37" s="26" t="s">
        <v>279</v>
      </c>
      <c r="O37" s="27">
        <v>266109890</v>
      </c>
      <c r="P37" s="27"/>
      <c r="Q37" s="34"/>
      <c r="R37" s="30">
        <v>266109890</v>
      </c>
      <c r="S37" s="31"/>
      <c r="T37" s="27"/>
      <c r="U37" s="31"/>
      <c r="V37" s="32">
        <v>266109890</v>
      </c>
      <c r="W37" s="33">
        <v>0</v>
      </c>
      <c r="Y37" s="25" t="s">
        <v>287</v>
      </c>
      <c r="Z37" s="26" t="s">
        <v>279</v>
      </c>
      <c r="AA37" s="27">
        <v>266109890</v>
      </c>
      <c r="AB37" s="27"/>
      <c r="AC37" s="34"/>
      <c r="AD37" s="30">
        <v>266109890</v>
      </c>
      <c r="AE37" s="31">
        <v>0</v>
      </c>
      <c r="AF37" s="27"/>
      <c r="AG37" s="31"/>
      <c r="AH37" s="32">
        <v>236728427</v>
      </c>
      <c r="AI37" s="33">
        <v>0</v>
      </c>
    </row>
    <row r="38" spans="1:35" x14ac:dyDescent="0.25">
      <c r="A38" s="25" t="s">
        <v>288</v>
      </c>
      <c r="B38" s="26" t="s">
        <v>281</v>
      </c>
      <c r="C38" s="27">
        <v>8269948</v>
      </c>
      <c r="D38" s="27"/>
      <c r="E38" s="34"/>
      <c r="F38" s="30">
        <f t="shared" si="11"/>
        <v>8269948</v>
      </c>
      <c r="G38" s="31">
        <v>1666246</v>
      </c>
      <c r="H38" s="27">
        <v>1666246</v>
      </c>
      <c r="I38" s="31">
        <v>1666246</v>
      </c>
      <c r="J38" s="32">
        <v>5112550</v>
      </c>
      <c r="K38" s="33">
        <f t="shared" si="1"/>
        <v>0.2014820407576928</v>
      </c>
      <c r="L38" s="113">
        <f t="shared" si="3"/>
        <v>0</v>
      </c>
      <c r="M38" s="25" t="s">
        <v>288</v>
      </c>
      <c r="N38" s="26" t="s">
        <v>281</v>
      </c>
      <c r="O38" s="27">
        <v>8269948</v>
      </c>
      <c r="P38" s="27"/>
      <c r="Q38" s="34"/>
      <c r="R38" s="30">
        <v>8269948</v>
      </c>
      <c r="S38" s="31">
        <v>0</v>
      </c>
      <c r="T38" s="27"/>
      <c r="U38" s="31">
        <v>0</v>
      </c>
      <c r="V38" s="32">
        <v>8269948</v>
      </c>
      <c r="W38" s="33">
        <v>0</v>
      </c>
      <c r="Y38" s="25" t="s">
        <v>288</v>
      </c>
      <c r="Z38" s="26" t="s">
        <v>281</v>
      </c>
      <c r="AA38" s="27">
        <v>8269948</v>
      </c>
      <c r="AB38" s="27"/>
      <c r="AC38" s="34"/>
      <c r="AD38" s="30">
        <v>8269948</v>
      </c>
      <c r="AE38" s="31">
        <v>1666246</v>
      </c>
      <c r="AF38" s="27">
        <v>1666246</v>
      </c>
      <c r="AG38" s="27">
        <v>1666246</v>
      </c>
      <c r="AH38" s="32">
        <v>5112550</v>
      </c>
      <c r="AI38" s="33">
        <v>0.2014820407576928</v>
      </c>
    </row>
    <row r="39" spans="1:35" x14ac:dyDescent="0.25">
      <c r="A39" s="21" t="s">
        <v>289</v>
      </c>
      <c r="B39" s="22" t="s">
        <v>290</v>
      </c>
      <c r="C39" s="23">
        <f>SUM(C40:C44)</f>
        <v>995937022</v>
      </c>
      <c r="D39" s="23">
        <f t="shared" ref="D39:J39" si="16">SUM(D40:D44)</f>
        <v>0</v>
      </c>
      <c r="E39" s="23">
        <f t="shared" si="16"/>
        <v>0</v>
      </c>
      <c r="F39" s="23">
        <f t="shared" si="16"/>
        <v>995937022</v>
      </c>
      <c r="G39" s="23">
        <f t="shared" si="16"/>
        <v>437250507</v>
      </c>
      <c r="H39" s="23">
        <f t="shared" si="16"/>
        <v>2596311</v>
      </c>
      <c r="I39" s="23">
        <f t="shared" si="16"/>
        <v>437250507</v>
      </c>
      <c r="J39" s="23">
        <f t="shared" si="16"/>
        <v>558686515</v>
      </c>
      <c r="K39" s="36">
        <f t="shared" si="1"/>
        <v>0.43903429367645297</v>
      </c>
      <c r="L39" s="113">
        <f t="shared" si="3"/>
        <v>0</v>
      </c>
      <c r="M39" s="21" t="s">
        <v>289</v>
      </c>
      <c r="N39" s="22" t="s">
        <v>290</v>
      </c>
      <c r="O39" s="23">
        <v>995937022</v>
      </c>
      <c r="P39" s="23">
        <v>0</v>
      </c>
      <c r="Q39" s="23">
        <v>0</v>
      </c>
      <c r="R39" s="23">
        <v>995937022</v>
      </c>
      <c r="S39" s="23">
        <v>320404527</v>
      </c>
      <c r="T39" s="23">
        <v>114249669</v>
      </c>
      <c r="U39" s="23">
        <v>434654196</v>
      </c>
      <c r="V39" s="23">
        <v>561282826</v>
      </c>
      <c r="W39" s="36">
        <v>0.43642739088777444</v>
      </c>
      <c r="Y39" s="21" t="s">
        <v>289</v>
      </c>
      <c r="Z39" s="22" t="s">
        <v>290</v>
      </c>
      <c r="AA39" s="23">
        <v>995937022</v>
      </c>
      <c r="AB39" s="23">
        <v>0</v>
      </c>
      <c r="AC39" s="23">
        <v>0</v>
      </c>
      <c r="AD39" s="23">
        <v>995937022</v>
      </c>
      <c r="AE39" s="23">
        <v>437250507</v>
      </c>
      <c r="AF39" s="23">
        <v>2596311</v>
      </c>
      <c r="AG39" s="23">
        <v>437250507</v>
      </c>
      <c r="AH39" s="23">
        <v>558686515</v>
      </c>
      <c r="AI39" s="36">
        <v>0.43903429367645297</v>
      </c>
    </row>
    <row r="40" spans="1:35" x14ac:dyDescent="0.25">
      <c r="A40" s="25" t="s">
        <v>291</v>
      </c>
      <c r="B40" s="26" t="s">
        <v>292</v>
      </c>
      <c r="C40" s="27">
        <v>123593826</v>
      </c>
      <c r="D40" s="27"/>
      <c r="E40" s="34"/>
      <c r="F40" s="30">
        <f t="shared" si="11"/>
        <v>123593826</v>
      </c>
      <c r="G40" s="31">
        <v>66591903</v>
      </c>
      <c r="H40" s="27">
        <v>2194508</v>
      </c>
      <c r="I40" s="31">
        <v>66591903</v>
      </c>
      <c r="J40" s="32">
        <f t="shared" si="12"/>
        <v>57001923</v>
      </c>
      <c r="K40" s="33">
        <f t="shared" si="1"/>
        <v>0.53879635541018045</v>
      </c>
      <c r="L40" s="113">
        <f t="shared" si="3"/>
        <v>0</v>
      </c>
      <c r="M40" s="25" t="s">
        <v>291</v>
      </c>
      <c r="N40" s="26" t="s">
        <v>292</v>
      </c>
      <c r="O40" s="27">
        <v>123593826</v>
      </c>
      <c r="P40" s="27"/>
      <c r="Q40" s="34"/>
      <c r="R40" s="30">
        <v>123593826</v>
      </c>
      <c r="S40" s="31">
        <v>64397395</v>
      </c>
      <c r="T40" s="27"/>
      <c r="U40" s="31">
        <v>64397395</v>
      </c>
      <c r="V40" s="32">
        <v>59196431</v>
      </c>
      <c r="W40" s="33">
        <v>0.52104054938796052</v>
      </c>
      <c r="Y40" s="25" t="s">
        <v>291</v>
      </c>
      <c r="Z40" s="26" t="s">
        <v>292</v>
      </c>
      <c r="AA40" s="27">
        <v>123593826</v>
      </c>
      <c r="AB40" s="27"/>
      <c r="AC40" s="34"/>
      <c r="AD40" s="30">
        <v>123593826</v>
      </c>
      <c r="AE40" s="31">
        <v>66591903</v>
      </c>
      <c r="AF40" s="27">
        <v>2194508</v>
      </c>
      <c r="AG40" s="31">
        <v>66591903</v>
      </c>
      <c r="AH40" s="32">
        <v>57001923</v>
      </c>
      <c r="AI40" s="33">
        <v>0.53879635541018045</v>
      </c>
    </row>
    <row r="41" spans="1:35" x14ac:dyDescent="0.25">
      <c r="A41" s="25" t="s">
        <v>293</v>
      </c>
      <c r="B41" s="26" t="s">
        <v>294</v>
      </c>
      <c r="C41" s="27">
        <v>436733306</v>
      </c>
      <c r="D41" s="27"/>
      <c r="E41" s="34"/>
      <c r="F41" s="30">
        <f t="shared" si="11"/>
        <v>436733306</v>
      </c>
      <c r="G41" s="31">
        <v>208278819</v>
      </c>
      <c r="H41" s="27">
        <v>401803</v>
      </c>
      <c r="I41" s="31">
        <v>208278819</v>
      </c>
      <c r="J41" s="32">
        <f t="shared" si="12"/>
        <v>228454487</v>
      </c>
      <c r="K41" s="33">
        <f t="shared" si="1"/>
        <v>0.47690161510145967</v>
      </c>
      <c r="L41" s="113">
        <f t="shared" si="3"/>
        <v>0</v>
      </c>
      <c r="M41" s="25" t="s">
        <v>293</v>
      </c>
      <c r="N41" s="26" t="s">
        <v>294</v>
      </c>
      <c r="O41" s="27">
        <v>436733306</v>
      </c>
      <c r="P41" s="27"/>
      <c r="Q41" s="34"/>
      <c r="R41" s="30">
        <v>436733306</v>
      </c>
      <c r="S41" s="31">
        <v>105860416</v>
      </c>
      <c r="T41" s="27">
        <v>102016600</v>
      </c>
      <c r="U41" s="31">
        <v>207877016</v>
      </c>
      <c r="V41" s="32">
        <v>228856290</v>
      </c>
      <c r="W41" s="33">
        <v>0.47598159596282313</v>
      </c>
      <c r="Y41" s="25" t="s">
        <v>293</v>
      </c>
      <c r="Z41" s="26" t="s">
        <v>294</v>
      </c>
      <c r="AA41" s="27">
        <v>436733306</v>
      </c>
      <c r="AB41" s="27"/>
      <c r="AC41" s="34"/>
      <c r="AD41" s="30">
        <v>436733306</v>
      </c>
      <c r="AE41" s="31">
        <v>208278819</v>
      </c>
      <c r="AF41" s="27">
        <v>401803</v>
      </c>
      <c r="AG41" s="31">
        <v>208278819</v>
      </c>
      <c r="AH41" s="32">
        <v>228454487</v>
      </c>
      <c r="AI41" s="33">
        <v>0.47690161510145967</v>
      </c>
    </row>
    <row r="42" spans="1:35" x14ac:dyDescent="0.25">
      <c r="A42" s="25" t="s">
        <v>295</v>
      </c>
      <c r="B42" s="26" t="s">
        <v>296</v>
      </c>
      <c r="C42" s="27">
        <v>93285640</v>
      </c>
      <c r="D42" s="27"/>
      <c r="E42" s="34"/>
      <c r="F42" s="30">
        <f t="shared" si="11"/>
        <v>93285640</v>
      </c>
      <c r="G42" s="31">
        <v>36142618</v>
      </c>
      <c r="H42" s="27"/>
      <c r="I42" s="31">
        <v>36142618</v>
      </c>
      <c r="J42" s="32">
        <f t="shared" si="12"/>
        <v>57143022</v>
      </c>
      <c r="K42" s="33">
        <f t="shared" si="1"/>
        <v>0.38744031771663889</v>
      </c>
      <c r="L42" s="113">
        <f t="shared" si="3"/>
        <v>0</v>
      </c>
      <c r="M42" s="25" t="s">
        <v>295</v>
      </c>
      <c r="N42" s="26" t="s">
        <v>296</v>
      </c>
      <c r="O42" s="27">
        <v>93285640</v>
      </c>
      <c r="P42" s="27"/>
      <c r="Q42" s="34"/>
      <c r="R42" s="30">
        <v>93285640</v>
      </c>
      <c r="S42" s="31">
        <v>31437594</v>
      </c>
      <c r="T42" s="27">
        <v>4705024</v>
      </c>
      <c r="U42" s="31">
        <v>36142618</v>
      </c>
      <c r="V42" s="32">
        <v>57143022</v>
      </c>
      <c r="W42" s="33">
        <v>0.38744031771663889</v>
      </c>
      <c r="Y42" s="25" t="s">
        <v>295</v>
      </c>
      <c r="Z42" s="26" t="s">
        <v>296</v>
      </c>
      <c r="AA42" s="27">
        <v>93285640</v>
      </c>
      <c r="AB42" s="27"/>
      <c r="AC42" s="34"/>
      <c r="AD42" s="30">
        <v>93285640</v>
      </c>
      <c r="AE42" s="31">
        <v>36142618</v>
      </c>
      <c r="AF42" s="27"/>
      <c r="AG42" s="31">
        <v>36142618</v>
      </c>
      <c r="AH42" s="32">
        <v>57143022</v>
      </c>
      <c r="AI42" s="33">
        <v>0.38744031771663889</v>
      </c>
    </row>
    <row r="43" spans="1:35" x14ac:dyDescent="0.25">
      <c r="A43" s="25" t="s">
        <v>297</v>
      </c>
      <c r="B43" s="26" t="s">
        <v>298</v>
      </c>
      <c r="C43" s="27">
        <v>262129868</v>
      </c>
      <c r="D43" s="27"/>
      <c r="E43" s="34"/>
      <c r="F43" s="30">
        <f t="shared" si="11"/>
        <v>262129868</v>
      </c>
      <c r="G43" s="31">
        <v>82928225</v>
      </c>
      <c r="H43" s="27"/>
      <c r="I43" s="31">
        <v>82928225</v>
      </c>
      <c r="J43" s="32">
        <f t="shared" si="12"/>
        <v>179201643</v>
      </c>
      <c r="K43" s="33">
        <f t="shared" si="1"/>
        <v>0.31636312806597072</v>
      </c>
      <c r="L43" s="113">
        <f t="shared" si="3"/>
        <v>0</v>
      </c>
      <c r="M43" s="25" t="s">
        <v>297</v>
      </c>
      <c r="N43" s="26" t="s">
        <v>298</v>
      </c>
      <c r="O43" s="27">
        <v>262129868</v>
      </c>
      <c r="P43" s="27"/>
      <c r="Q43" s="34"/>
      <c r="R43" s="30">
        <v>262129868</v>
      </c>
      <c r="S43" s="31">
        <v>75400180</v>
      </c>
      <c r="T43" s="27">
        <v>7528045</v>
      </c>
      <c r="U43" s="31">
        <v>82928225</v>
      </c>
      <c r="V43" s="32">
        <v>179201643</v>
      </c>
      <c r="W43" s="33">
        <v>0.31636312806597072</v>
      </c>
      <c r="Y43" s="25" t="s">
        <v>297</v>
      </c>
      <c r="Z43" s="26" t="s">
        <v>298</v>
      </c>
      <c r="AA43" s="27">
        <v>262129868</v>
      </c>
      <c r="AB43" s="27"/>
      <c r="AC43" s="34"/>
      <c r="AD43" s="30">
        <v>262129868</v>
      </c>
      <c r="AE43" s="31">
        <v>82928225</v>
      </c>
      <c r="AF43" s="27"/>
      <c r="AG43" s="31">
        <v>82928225</v>
      </c>
      <c r="AH43" s="32">
        <v>179201643</v>
      </c>
      <c r="AI43" s="33">
        <v>0.31636312806597072</v>
      </c>
    </row>
    <row r="44" spans="1:35" x14ac:dyDescent="0.25">
      <c r="A44" s="25" t="s">
        <v>299</v>
      </c>
      <c r="B44" s="26" t="s">
        <v>300</v>
      </c>
      <c r="C44" s="27">
        <v>80194382</v>
      </c>
      <c r="D44" s="27"/>
      <c r="E44" s="34"/>
      <c r="F44" s="30">
        <f t="shared" si="11"/>
        <v>80194382</v>
      </c>
      <c r="G44" s="31">
        <v>43308942</v>
      </c>
      <c r="H44" s="27"/>
      <c r="I44" s="31">
        <v>43308942</v>
      </c>
      <c r="J44" s="32">
        <f t="shared" si="12"/>
        <v>36885440</v>
      </c>
      <c r="K44" s="33">
        <f t="shared" si="1"/>
        <v>0.54004957604137405</v>
      </c>
      <c r="L44" s="113">
        <f t="shared" si="3"/>
        <v>0</v>
      </c>
      <c r="M44" s="25" t="s">
        <v>299</v>
      </c>
      <c r="N44" s="26" t="s">
        <v>300</v>
      </c>
      <c r="O44" s="27">
        <v>80194382</v>
      </c>
      <c r="P44" s="27"/>
      <c r="Q44" s="34"/>
      <c r="R44" s="30">
        <v>80194382</v>
      </c>
      <c r="S44" s="31">
        <v>43308942</v>
      </c>
      <c r="T44" s="27"/>
      <c r="U44" s="31">
        <v>43308942</v>
      </c>
      <c r="V44" s="32">
        <v>36885440</v>
      </c>
      <c r="W44" s="33">
        <v>0.54004957604137405</v>
      </c>
      <c r="Y44" s="25" t="s">
        <v>299</v>
      </c>
      <c r="Z44" s="26" t="s">
        <v>300</v>
      </c>
      <c r="AA44" s="27">
        <v>80194382</v>
      </c>
      <c r="AB44" s="27"/>
      <c r="AC44" s="34"/>
      <c r="AD44" s="30">
        <v>80194382</v>
      </c>
      <c r="AE44" s="31">
        <v>43308942</v>
      </c>
      <c r="AF44" s="27"/>
      <c r="AG44" s="31">
        <v>43308942</v>
      </c>
      <c r="AH44" s="32">
        <v>36885440</v>
      </c>
      <c r="AI44" s="33">
        <v>0.54004957604137405</v>
      </c>
    </row>
    <row r="45" spans="1:35" x14ac:dyDescent="0.25">
      <c r="A45" s="21" t="s">
        <v>301</v>
      </c>
      <c r="B45" s="22" t="s">
        <v>302</v>
      </c>
      <c r="C45" s="23">
        <f>SUM(C46:C80)</f>
        <v>2469338284</v>
      </c>
      <c r="D45" s="23">
        <f t="shared" ref="D45:J45" si="17">SUM(D46:D80)</f>
        <v>0</v>
      </c>
      <c r="E45" s="23">
        <f t="shared" si="17"/>
        <v>0</v>
      </c>
      <c r="F45" s="23">
        <f t="shared" si="17"/>
        <v>2469338284</v>
      </c>
      <c r="G45" s="23">
        <f t="shared" si="17"/>
        <v>1536966675.25</v>
      </c>
      <c r="H45" s="23">
        <f t="shared" si="17"/>
        <v>330488344</v>
      </c>
      <c r="I45" s="23">
        <f t="shared" si="17"/>
        <v>1536966675.25</v>
      </c>
      <c r="J45" s="23">
        <f t="shared" si="17"/>
        <v>932371608.75</v>
      </c>
      <c r="K45" s="36">
        <f t="shared" si="1"/>
        <v>0.6224204618738256</v>
      </c>
      <c r="L45" s="113">
        <f t="shared" si="3"/>
        <v>0</v>
      </c>
      <c r="M45" s="21" t="s">
        <v>301</v>
      </c>
      <c r="N45" s="22" t="s">
        <v>302</v>
      </c>
      <c r="O45" s="23">
        <v>2469338284</v>
      </c>
      <c r="P45" s="23">
        <v>0</v>
      </c>
      <c r="Q45" s="23">
        <v>0</v>
      </c>
      <c r="R45" s="23">
        <v>2469338284</v>
      </c>
      <c r="S45" s="23">
        <v>995474837.47000003</v>
      </c>
      <c r="T45" s="23">
        <v>218003493.78</v>
      </c>
      <c r="U45" s="23">
        <v>1206478331.25</v>
      </c>
      <c r="V45" s="23">
        <v>1262859952.75</v>
      </c>
      <c r="W45" s="36">
        <v>0.48858365784361685</v>
      </c>
      <c r="Y45" s="21" t="s">
        <v>301</v>
      </c>
      <c r="Z45" s="22" t="s">
        <v>302</v>
      </c>
      <c r="AA45" s="23">
        <v>2469338284</v>
      </c>
      <c r="AB45" s="23">
        <v>0</v>
      </c>
      <c r="AC45" s="23">
        <v>0</v>
      </c>
      <c r="AD45" s="23">
        <v>2469338284</v>
      </c>
      <c r="AE45" s="23">
        <v>1536966675.25</v>
      </c>
      <c r="AF45" s="23">
        <v>330488344</v>
      </c>
      <c r="AG45" s="23">
        <v>1536966675.25</v>
      </c>
      <c r="AH45" s="23">
        <v>932371608.75</v>
      </c>
      <c r="AI45" s="36">
        <v>0.6224204618738256</v>
      </c>
    </row>
    <row r="46" spans="1:35" x14ac:dyDescent="0.25">
      <c r="A46" s="25" t="s">
        <v>303</v>
      </c>
      <c r="B46" s="26" t="s">
        <v>304</v>
      </c>
      <c r="C46" s="27">
        <v>30000000</v>
      </c>
      <c r="D46" s="27"/>
      <c r="E46" s="34"/>
      <c r="F46" s="30">
        <f t="shared" si="11"/>
        <v>30000000</v>
      </c>
      <c r="G46" s="31">
        <v>1067000</v>
      </c>
      <c r="H46" s="27">
        <v>618000</v>
      </c>
      <c r="I46" s="31">
        <v>1067000</v>
      </c>
      <c r="J46" s="32">
        <f t="shared" si="12"/>
        <v>28933000</v>
      </c>
      <c r="K46" s="33">
        <f t="shared" si="1"/>
        <v>3.556666666666667E-2</v>
      </c>
      <c r="L46" s="113">
        <f t="shared" si="3"/>
        <v>0</v>
      </c>
      <c r="M46" s="25" t="s">
        <v>303</v>
      </c>
      <c r="N46" s="26" t="s">
        <v>304</v>
      </c>
      <c r="O46" s="27">
        <v>30000000</v>
      </c>
      <c r="P46" s="27"/>
      <c r="Q46" s="34"/>
      <c r="R46" s="30">
        <v>30000000</v>
      </c>
      <c r="S46" s="31"/>
      <c r="T46" s="27">
        <v>449000</v>
      </c>
      <c r="U46" s="31">
        <v>449000</v>
      </c>
      <c r="V46" s="32">
        <v>29551000</v>
      </c>
      <c r="W46" s="33">
        <v>1.4966666666666666E-2</v>
      </c>
      <c r="Y46" s="25" t="s">
        <v>303</v>
      </c>
      <c r="Z46" s="26" t="s">
        <v>304</v>
      </c>
      <c r="AA46" s="27">
        <v>30000000</v>
      </c>
      <c r="AB46" s="27"/>
      <c r="AC46" s="34"/>
      <c r="AD46" s="30">
        <v>30000000</v>
      </c>
      <c r="AE46" s="31">
        <v>1067000</v>
      </c>
      <c r="AF46" s="27">
        <v>618000</v>
      </c>
      <c r="AG46" s="31">
        <v>1067000</v>
      </c>
      <c r="AH46" s="32">
        <v>28933000</v>
      </c>
      <c r="AI46" s="33">
        <v>3.556666666666667E-2</v>
      </c>
    </row>
    <row r="47" spans="1:35" x14ac:dyDescent="0.25">
      <c r="A47" s="25">
        <v>11251101132</v>
      </c>
      <c r="B47" s="26" t="s">
        <v>305</v>
      </c>
      <c r="C47" s="27">
        <v>4500000</v>
      </c>
      <c r="D47" s="27"/>
      <c r="E47" s="34"/>
      <c r="F47" s="30">
        <f t="shared" si="11"/>
        <v>4500000</v>
      </c>
      <c r="G47" s="31">
        <v>8062359</v>
      </c>
      <c r="H47" s="27"/>
      <c r="I47" s="31">
        <v>8062359</v>
      </c>
      <c r="J47" s="32">
        <f t="shared" si="12"/>
        <v>-3562359</v>
      </c>
      <c r="K47" s="33">
        <f t="shared" si="1"/>
        <v>1.7916353333333332</v>
      </c>
      <c r="L47" s="113">
        <f t="shared" si="3"/>
        <v>0</v>
      </c>
      <c r="M47" s="25">
        <v>11251101132</v>
      </c>
      <c r="N47" s="26" t="s">
        <v>305</v>
      </c>
      <c r="O47" s="27">
        <v>4500000</v>
      </c>
      <c r="P47" s="27"/>
      <c r="Q47" s="34"/>
      <c r="R47" s="30">
        <v>4500000</v>
      </c>
      <c r="S47" s="31"/>
      <c r="T47" s="27">
        <v>8062359</v>
      </c>
      <c r="U47" s="31">
        <v>8062359</v>
      </c>
      <c r="V47" s="32">
        <v>-3562359</v>
      </c>
      <c r="W47" s="33">
        <v>1.7916353333333332</v>
      </c>
      <c r="Y47" s="25">
        <v>11251101132</v>
      </c>
      <c r="Z47" s="26" t="s">
        <v>305</v>
      </c>
      <c r="AA47" s="27">
        <v>4500000</v>
      </c>
      <c r="AB47" s="27"/>
      <c r="AC47" s="34"/>
      <c r="AD47" s="30">
        <v>4500000</v>
      </c>
      <c r="AE47" s="31">
        <v>8062359</v>
      </c>
      <c r="AF47" s="27"/>
      <c r="AG47" s="31">
        <v>8062359</v>
      </c>
      <c r="AH47" s="32">
        <v>-3562359</v>
      </c>
      <c r="AI47" s="33">
        <v>1.7916353333333332</v>
      </c>
    </row>
    <row r="48" spans="1:35" x14ac:dyDescent="0.25">
      <c r="A48" s="25">
        <v>11251101133</v>
      </c>
      <c r="B48" s="26" t="s">
        <v>306</v>
      </c>
      <c r="C48" s="27">
        <v>22000000</v>
      </c>
      <c r="D48" s="27"/>
      <c r="E48" s="34"/>
      <c r="F48" s="30">
        <f t="shared" si="11"/>
        <v>22000000</v>
      </c>
      <c r="G48" s="31">
        <v>58140913</v>
      </c>
      <c r="H48" s="27"/>
      <c r="I48" s="31">
        <v>58140913</v>
      </c>
      <c r="J48" s="32">
        <f t="shared" si="12"/>
        <v>-36140913</v>
      </c>
      <c r="K48" s="33">
        <f t="shared" si="1"/>
        <v>2.6427687727272726</v>
      </c>
      <c r="L48" s="113">
        <f t="shared" si="3"/>
        <v>0</v>
      </c>
      <c r="M48" s="25">
        <v>11251101133</v>
      </c>
      <c r="N48" s="26" t="s">
        <v>306</v>
      </c>
      <c r="O48" s="27">
        <v>22000000</v>
      </c>
      <c r="P48" s="27"/>
      <c r="Q48" s="34"/>
      <c r="R48" s="30">
        <v>22000000</v>
      </c>
      <c r="S48" s="31">
        <v>5941735</v>
      </c>
      <c r="T48" s="27">
        <v>52199178</v>
      </c>
      <c r="U48" s="31">
        <v>58140913</v>
      </c>
      <c r="V48" s="32">
        <v>-36140913</v>
      </c>
      <c r="W48" s="33">
        <v>2.6427687727272726</v>
      </c>
      <c r="Y48" s="25">
        <v>11251101133</v>
      </c>
      <c r="Z48" s="26" t="s">
        <v>306</v>
      </c>
      <c r="AA48" s="27">
        <v>22000000</v>
      </c>
      <c r="AB48" s="27"/>
      <c r="AC48" s="34"/>
      <c r="AD48" s="30">
        <v>22000000</v>
      </c>
      <c r="AE48" s="31">
        <v>58140913</v>
      </c>
      <c r="AF48" s="27"/>
      <c r="AG48" s="31">
        <v>58140913</v>
      </c>
      <c r="AH48" s="32">
        <v>-36140913</v>
      </c>
      <c r="AI48" s="33">
        <v>2.6427687727272726</v>
      </c>
    </row>
    <row r="49" spans="1:35" x14ac:dyDescent="0.25">
      <c r="A49" s="25">
        <v>11251101134</v>
      </c>
      <c r="B49" s="26" t="s">
        <v>307</v>
      </c>
      <c r="C49" s="27">
        <v>18000000</v>
      </c>
      <c r="D49" s="27"/>
      <c r="E49" s="34"/>
      <c r="F49" s="30">
        <f t="shared" si="11"/>
        <v>18000000</v>
      </c>
      <c r="G49" s="31">
        <v>3090334</v>
      </c>
      <c r="H49" s="27"/>
      <c r="I49" s="31">
        <v>3090334</v>
      </c>
      <c r="J49" s="32">
        <f t="shared" si="12"/>
        <v>14909666</v>
      </c>
      <c r="K49" s="33">
        <f t="shared" si="1"/>
        <v>0.17168522222222221</v>
      </c>
      <c r="L49" s="113">
        <f t="shared" si="3"/>
        <v>0</v>
      </c>
      <c r="M49" s="25">
        <v>11251101134</v>
      </c>
      <c r="N49" s="26" t="s">
        <v>307</v>
      </c>
      <c r="O49" s="27">
        <v>18000000</v>
      </c>
      <c r="P49" s="27"/>
      <c r="Q49" s="34"/>
      <c r="R49" s="30">
        <v>18000000</v>
      </c>
      <c r="S49" s="31"/>
      <c r="T49" s="27">
        <v>3090334</v>
      </c>
      <c r="U49" s="31">
        <v>3090334</v>
      </c>
      <c r="V49" s="32">
        <v>14909666</v>
      </c>
      <c r="W49" s="33">
        <v>0.17168522222222221</v>
      </c>
      <c r="Y49" s="25">
        <v>11251101134</v>
      </c>
      <c r="Z49" s="26" t="s">
        <v>307</v>
      </c>
      <c r="AA49" s="27">
        <v>18000000</v>
      </c>
      <c r="AB49" s="27"/>
      <c r="AC49" s="34"/>
      <c r="AD49" s="30">
        <v>18000000</v>
      </c>
      <c r="AE49" s="31">
        <v>3090334</v>
      </c>
      <c r="AF49" s="27"/>
      <c r="AG49" s="31">
        <v>3090334</v>
      </c>
      <c r="AH49" s="32">
        <v>14909666</v>
      </c>
      <c r="AI49" s="33">
        <v>0.17168522222222221</v>
      </c>
    </row>
    <row r="50" spans="1:35" x14ac:dyDescent="0.25">
      <c r="A50" s="25">
        <v>11251101135</v>
      </c>
      <c r="B50" s="26" t="s">
        <v>308</v>
      </c>
      <c r="C50" s="27"/>
      <c r="D50" s="27"/>
      <c r="E50" s="34"/>
      <c r="F50" s="30">
        <f t="shared" si="11"/>
        <v>0</v>
      </c>
      <c r="G50" s="31">
        <v>6577305</v>
      </c>
      <c r="H50" s="27"/>
      <c r="I50" s="31">
        <v>6577305</v>
      </c>
      <c r="J50" s="32">
        <f t="shared" si="12"/>
        <v>-6577305</v>
      </c>
      <c r="K50" s="33" t="e">
        <f t="shared" si="1"/>
        <v>#DIV/0!</v>
      </c>
      <c r="L50" s="113">
        <f t="shared" si="3"/>
        <v>0</v>
      </c>
      <c r="M50" s="25">
        <v>11251101135</v>
      </c>
      <c r="N50" s="26" t="s">
        <v>308</v>
      </c>
      <c r="O50" s="27"/>
      <c r="P50" s="27"/>
      <c r="Q50" s="34"/>
      <c r="R50" s="30">
        <v>0</v>
      </c>
      <c r="S50" s="31">
        <v>6066172</v>
      </c>
      <c r="T50" s="27">
        <v>511133</v>
      </c>
      <c r="U50" s="31">
        <v>6577305</v>
      </c>
      <c r="V50" s="32">
        <v>-6577305</v>
      </c>
      <c r="W50" s="33" t="e">
        <v>#DIV/0!</v>
      </c>
      <c r="Y50" s="25">
        <v>11251101135</v>
      </c>
      <c r="Z50" s="26" t="s">
        <v>308</v>
      </c>
      <c r="AA50" s="27"/>
      <c r="AB50" s="27"/>
      <c r="AC50" s="34"/>
      <c r="AD50" s="30">
        <v>0</v>
      </c>
      <c r="AE50" s="31">
        <v>6577305</v>
      </c>
      <c r="AF50" s="27"/>
      <c r="AG50" s="31">
        <v>6577305</v>
      </c>
      <c r="AH50" s="32">
        <v>-6577305</v>
      </c>
      <c r="AI50" s="33" t="e">
        <v>#DIV/0!</v>
      </c>
    </row>
    <row r="51" spans="1:35" x14ac:dyDescent="0.25">
      <c r="A51" s="25">
        <v>11251101136</v>
      </c>
      <c r="B51" s="26" t="s">
        <v>309</v>
      </c>
      <c r="C51" s="27">
        <v>33682873</v>
      </c>
      <c r="D51" s="27"/>
      <c r="E51" s="34"/>
      <c r="F51" s="30">
        <f t="shared" si="11"/>
        <v>33682873</v>
      </c>
      <c r="G51" s="31">
        <v>2963192</v>
      </c>
      <c r="H51" s="27">
        <v>224704</v>
      </c>
      <c r="I51" s="31">
        <v>2963192</v>
      </c>
      <c r="J51" s="32">
        <f t="shared" si="12"/>
        <v>30719681</v>
      </c>
      <c r="K51" s="33">
        <f t="shared" si="1"/>
        <v>8.7973255725543362E-2</v>
      </c>
      <c r="L51" s="113">
        <f t="shared" si="3"/>
        <v>0</v>
      </c>
      <c r="M51" s="25">
        <v>11251101136</v>
      </c>
      <c r="N51" s="26" t="s">
        <v>309</v>
      </c>
      <c r="O51" s="27">
        <v>33682873</v>
      </c>
      <c r="P51" s="27"/>
      <c r="Q51" s="34"/>
      <c r="R51" s="30">
        <v>33682873</v>
      </c>
      <c r="S51" s="31">
        <v>2569960</v>
      </c>
      <c r="T51" s="27">
        <v>168528</v>
      </c>
      <c r="U51" s="31">
        <v>2738488</v>
      </c>
      <c r="V51" s="32">
        <v>30944385</v>
      </c>
      <c r="W51" s="33">
        <v>8.1302090828178464E-2</v>
      </c>
      <c r="Y51" s="25">
        <v>11251101136</v>
      </c>
      <c r="Z51" s="26" t="s">
        <v>309</v>
      </c>
      <c r="AA51" s="27">
        <v>33682873</v>
      </c>
      <c r="AB51" s="27"/>
      <c r="AC51" s="34"/>
      <c r="AD51" s="30">
        <v>33682873</v>
      </c>
      <c r="AE51" s="31">
        <v>2963192</v>
      </c>
      <c r="AF51" s="27">
        <v>224704</v>
      </c>
      <c r="AG51" s="31">
        <v>2963192</v>
      </c>
      <c r="AH51" s="32">
        <v>30719681</v>
      </c>
      <c r="AI51" s="33">
        <v>8.7973255725543362E-2</v>
      </c>
    </row>
    <row r="52" spans="1:35" x14ac:dyDescent="0.25">
      <c r="A52" s="25">
        <v>11251101137</v>
      </c>
      <c r="B52" s="26" t="s">
        <v>310</v>
      </c>
      <c r="C52" s="27">
        <v>32920000</v>
      </c>
      <c r="D52" s="27"/>
      <c r="E52" s="34"/>
      <c r="F52" s="30">
        <f t="shared" si="11"/>
        <v>32920000</v>
      </c>
      <c r="G52" s="31">
        <v>7756676</v>
      </c>
      <c r="H52" s="27"/>
      <c r="I52" s="31">
        <v>7756676</v>
      </c>
      <c r="J52" s="32">
        <f t="shared" si="12"/>
        <v>25163324</v>
      </c>
      <c r="K52" s="33">
        <f t="shared" si="1"/>
        <v>0.23562199270959902</v>
      </c>
      <c r="L52" s="113">
        <f t="shared" si="3"/>
        <v>0</v>
      </c>
      <c r="M52" s="25">
        <v>11251101137</v>
      </c>
      <c r="N52" s="26" t="s">
        <v>310</v>
      </c>
      <c r="O52" s="27">
        <v>32920000</v>
      </c>
      <c r="P52" s="27"/>
      <c r="Q52" s="34"/>
      <c r="R52" s="30">
        <v>32920000</v>
      </c>
      <c r="S52" s="31">
        <v>7419600</v>
      </c>
      <c r="T52" s="27">
        <v>337076</v>
      </c>
      <c r="U52" s="31">
        <v>7756676</v>
      </c>
      <c r="V52" s="32">
        <v>25163324</v>
      </c>
      <c r="W52" s="33">
        <v>0.23562199270959902</v>
      </c>
      <c r="Y52" s="25">
        <v>11251101137</v>
      </c>
      <c r="Z52" s="26" t="s">
        <v>310</v>
      </c>
      <c r="AA52" s="27">
        <v>32920000</v>
      </c>
      <c r="AB52" s="27"/>
      <c r="AC52" s="34"/>
      <c r="AD52" s="30">
        <v>32920000</v>
      </c>
      <c r="AE52" s="31">
        <v>7756676</v>
      </c>
      <c r="AF52" s="27"/>
      <c r="AG52" s="31">
        <v>7756676</v>
      </c>
      <c r="AH52" s="32">
        <v>25163324</v>
      </c>
      <c r="AI52" s="33">
        <v>0.23562199270959902</v>
      </c>
    </row>
    <row r="53" spans="1:35" x14ac:dyDescent="0.25">
      <c r="A53" s="25">
        <v>11251101138</v>
      </c>
      <c r="B53" s="26" t="s">
        <v>311</v>
      </c>
      <c r="C53" s="27">
        <v>320000000</v>
      </c>
      <c r="D53" s="27"/>
      <c r="E53" s="34"/>
      <c r="F53" s="30">
        <f t="shared" si="11"/>
        <v>320000000</v>
      </c>
      <c r="G53" s="31">
        <v>254828420</v>
      </c>
      <c r="H53" s="27"/>
      <c r="I53" s="31">
        <v>254828420</v>
      </c>
      <c r="J53" s="32">
        <f t="shared" si="12"/>
        <v>65171580</v>
      </c>
      <c r="K53" s="33">
        <f t="shared" si="1"/>
        <v>0.79633881250000005</v>
      </c>
      <c r="L53" s="113">
        <f t="shared" si="3"/>
        <v>0</v>
      </c>
      <c r="M53" s="25">
        <v>11251101138</v>
      </c>
      <c r="N53" s="26" t="s">
        <v>311</v>
      </c>
      <c r="O53" s="27">
        <v>320000000</v>
      </c>
      <c r="P53" s="27"/>
      <c r="Q53" s="34"/>
      <c r="R53" s="30">
        <v>320000000</v>
      </c>
      <c r="S53" s="31">
        <v>254828420</v>
      </c>
      <c r="T53" s="27"/>
      <c r="U53" s="31">
        <v>254828420</v>
      </c>
      <c r="V53" s="32">
        <v>65171580</v>
      </c>
      <c r="W53" s="33">
        <v>0.79633881250000005</v>
      </c>
      <c r="Y53" s="25">
        <v>11251101138</v>
      </c>
      <c r="Z53" s="26" t="s">
        <v>311</v>
      </c>
      <c r="AA53" s="27">
        <v>320000000</v>
      </c>
      <c r="AB53" s="27"/>
      <c r="AC53" s="34"/>
      <c r="AD53" s="30">
        <v>320000000</v>
      </c>
      <c r="AE53" s="31">
        <v>254828420</v>
      </c>
      <c r="AF53" s="27"/>
      <c r="AG53" s="31">
        <v>254828420</v>
      </c>
      <c r="AH53" s="32">
        <v>65171580</v>
      </c>
      <c r="AI53" s="33">
        <v>0.79633881250000005</v>
      </c>
    </row>
    <row r="54" spans="1:35" x14ac:dyDescent="0.25">
      <c r="A54" s="25">
        <v>11251101139</v>
      </c>
      <c r="B54" s="26" t="s">
        <v>312</v>
      </c>
      <c r="C54" s="27">
        <v>140000000</v>
      </c>
      <c r="D54" s="27"/>
      <c r="E54" s="34"/>
      <c r="F54" s="30">
        <f t="shared" si="11"/>
        <v>140000000</v>
      </c>
      <c r="G54" s="31">
        <v>7203180</v>
      </c>
      <c r="H54" s="27"/>
      <c r="I54" s="31">
        <v>7203180</v>
      </c>
      <c r="J54" s="32">
        <f t="shared" si="12"/>
        <v>132796820</v>
      </c>
      <c r="K54" s="33">
        <f t="shared" si="1"/>
        <v>5.1451285714285713E-2</v>
      </c>
      <c r="L54" s="113">
        <f t="shared" si="3"/>
        <v>0</v>
      </c>
      <c r="M54" s="25">
        <v>11251101139</v>
      </c>
      <c r="N54" s="26" t="s">
        <v>312</v>
      </c>
      <c r="O54" s="27">
        <v>140000000</v>
      </c>
      <c r="P54" s="27"/>
      <c r="Q54" s="34"/>
      <c r="R54" s="30">
        <v>140000000</v>
      </c>
      <c r="S54" s="31">
        <v>7115400</v>
      </c>
      <c r="T54" s="27">
        <v>87780</v>
      </c>
      <c r="U54" s="31">
        <v>7203180</v>
      </c>
      <c r="V54" s="32">
        <v>132796820</v>
      </c>
      <c r="W54" s="33">
        <v>5.1451285714285713E-2</v>
      </c>
      <c r="Y54" s="25">
        <v>11251101139</v>
      </c>
      <c r="Z54" s="26" t="s">
        <v>312</v>
      </c>
      <c r="AA54" s="27">
        <v>140000000</v>
      </c>
      <c r="AB54" s="27"/>
      <c r="AC54" s="34"/>
      <c r="AD54" s="30">
        <v>140000000</v>
      </c>
      <c r="AE54" s="31">
        <v>7203180</v>
      </c>
      <c r="AF54" s="27"/>
      <c r="AG54" s="31">
        <v>7203180</v>
      </c>
      <c r="AH54" s="32">
        <v>132796820</v>
      </c>
      <c r="AI54" s="33">
        <v>5.1451285714285713E-2</v>
      </c>
    </row>
    <row r="55" spans="1:35" x14ac:dyDescent="0.25">
      <c r="A55" s="25" t="s">
        <v>313</v>
      </c>
      <c r="B55" s="26" t="s">
        <v>314</v>
      </c>
      <c r="C55" s="27">
        <v>240000000</v>
      </c>
      <c r="D55" s="27"/>
      <c r="E55" s="34"/>
      <c r="F55" s="30">
        <f t="shared" si="11"/>
        <v>240000000</v>
      </c>
      <c r="G55" s="31">
        <v>87282643</v>
      </c>
      <c r="H55" s="27">
        <v>87282643</v>
      </c>
      <c r="I55" s="31">
        <v>87282643</v>
      </c>
      <c r="J55" s="32">
        <f t="shared" si="12"/>
        <v>152717357</v>
      </c>
      <c r="K55" s="33">
        <f t="shared" si="1"/>
        <v>0.36367767916666666</v>
      </c>
      <c r="L55" s="113">
        <f t="shared" si="3"/>
        <v>0</v>
      </c>
      <c r="M55" s="25" t="s">
        <v>313</v>
      </c>
      <c r="N55" s="26" t="s">
        <v>314</v>
      </c>
      <c r="O55" s="27">
        <v>240000000</v>
      </c>
      <c r="P55" s="27"/>
      <c r="Q55" s="34"/>
      <c r="R55" s="30">
        <v>240000000</v>
      </c>
      <c r="S55" s="31"/>
      <c r="T55" s="27"/>
      <c r="U55" s="31"/>
      <c r="V55" s="32">
        <v>240000000</v>
      </c>
      <c r="W55" s="33">
        <v>0</v>
      </c>
      <c r="Y55" s="25" t="s">
        <v>313</v>
      </c>
      <c r="Z55" s="26" t="s">
        <v>314</v>
      </c>
      <c r="AA55" s="27">
        <v>240000000</v>
      </c>
      <c r="AB55" s="27"/>
      <c r="AC55" s="34"/>
      <c r="AD55" s="30">
        <v>240000000</v>
      </c>
      <c r="AE55" s="31">
        <v>87282643</v>
      </c>
      <c r="AF55" s="27">
        <v>87282643</v>
      </c>
      <c r="AG55" s="27">
        <v>87282643</v>
      </c>
      <c r="AH55" s="32">
        <v>152717357</v>
      </c>
      <c r="AI55" s="33">
        <v>0.36367767916666666</v>
      </c>
    </row>
    <row r="56" spans="1:35" x14ac:dyDescent="0.25">
      <c r="A56" s="25" t="s">
        <v>315</v>
      </c>
      <c r="B56" s="26" t="s">
        <v>316</v>
      </c>
      <c r="C56" s="27">
        <v>22000000</v>
      </c>
      <c r="D56" s="27"/>
      <c r="E56" s="34"/>
      <c r="F56" s="30">
        <f t="shared" si="11"/>
        <v>22000000</v>
      </c>
      <c r="G56" s="31">
        <v>15456264.25</v>
      </c>
      <c r="H56" s="27">
        <v>224718</v>
      </c>
      <c r="I56" s="31">
        <v>15456264.25</v>
      </c>
      <c r="J56" s="32">
        <f t="shared" si="12"/>
        <v>6543735.75</v>
      </c>
      <c r="K56" s="33">
        <f t="shared" si="1"/>
        <v>0.70255746590909096</v>
      </c>
      <c r="L56" s="113">
        <f t="shared" si="3"/>
        <v>0</v>
      </c>
      <c r="M56" s="25" t="s">
        <v>315</v>
      </c>
      <c r="N56" s="26" t="s">
        <v>316</v>
      </c>
      <c r="O56" s="27">
        <v>22000000</v>
      </c>
      <c r="P56" s="27"/>
      <c r="Q56" s="34"/>
      <c r="R56" s="30">
        <v>22000000</v>
      </c>
      <c r="S56" s="31">
        <v>15231545.470000001</v>
      </c>
      <c r="T56" s="27">
        <v>0.78</v>
      </c>
      <c r="U56" s="31">
        <v>15231546.25</v>
      </c>
      <c r="V56" s="32">
        <v>6768453.75</v>
      </c>
      <c r="W56" s="33">
        <v>0.69234301136363641</v>
      </c>
      <c r="Y56" s="25" t="s">
        <v>315</v>
      </c>
      <c r="Z56" s="26" t="s">
        <v>316</v>
      </c>
      <c r="AA56" s="27">
        <v>22000000</v>
      </c>
      <c r="AB56" s="27"/>
      <c r="AC56" s="34"/>
      <c r="AD56" s="30">
        <v>22000000</v>
      </c>
      <c r="AE56" s="31">
        <v>15456264.25</v>
      </c>
      <c r="AF56" s="27">
        <v>224718</v>
      </c>
      <c r="AG56" s="31">
        <v>15456264.25</v>
      </c>
      <c r="AH56" s="32">
        <v>6543735.75</v>
      </c>
      <c r="AI56" s="33">
        <v>0.70255746590909096</v>
      </c>
    </row>
    <row r="57" spans="1:35" x14ac:dyDescent="0.25">
      <c r="A57" s="25" t="s">
        <v>317</v>
      </c>
      <c r="B57" s="26" t="s">
        <v>318</v>
      </c>
      <c r="C57" s="27">
        <v>13060960</v>
      </c>
      <c r="D57" s="27"/>
      <c r="E57" s="34"/>
      <c r="F57" s="30">
        <f t="shared" si="11"/>
        <v>13060960</v>
      </c>
      <c r="G57" s="31">
        <v>1952848</v>
      </c>
      <c r="H57" s="27">
        <v>224959</v>
      </c>
      <c r="I57" s="31">
        <v>1952848</v>
      </c>
      <c r="J57" s="32">
        <f t="shared" si="12"/>
        <v>11108112</v>
      </c>
      <c r="K57" s="33">
        <f t="shared" si="1"/>
        <v>0.14951795273854296</v>
      </c>
      <c r="L57" s="113">
        <f t="shared" si="3"/>
        <v>0</v>
      </c>
      <c r="M57" s="25" t="s">
        <v>317</v>
      </c>
      <c r="N57" s="26" t="s">
        <v>318</v>
      </c>
      <c r="O57" s="27">
        <v>13060960</v>
      </c>
      <c r="P57" s="27"/>
      <c r="Q57" s="34"/>
      <c r="R57" s="30">
        <v>13060960</v>
      </c>
      <c r="S57" s="31">
        <v>154900</v>
      </c>
      <c r="T57" s="27">
        <v>1572989</v>
      </c>
      <c r="U57" s="31">
        <v>1727889</v>
      </c>
      <c r="V57" s="32">
        <v>11333071</v>
      </c>
      <c r="W57" s="33">
        <v>0.13229418051965552</v>
      </c>
      <c r="Y57" s="25" t="s">
        <v>317</v>
      </c>
      <c r="Z57" s="26" t="s">
        <v>318</v>
      </c>
      <c r="AA57" s="27">
        <v>13060960</v>
      </c>
      <c r="AB57" s="27"/>
      <c r="AC57" s="34"/>
      <c r="AD57" s="30">
        <v>13060960</v>
      </c>
      <c r="AE57" s="31">
        <v>1952848</v>
      </c>
      <c r="AF57" s="27">
        <v>224959</v>
      </c>
      <c r="AG57" s="31">
        <v>1952848</v>
      </c>
      <c r="AH57" s="32">
        <v>11108112</v>
      </c>
      <c r="AI57" s="33">
        <v>0.14951795273854296</v>
      </c>
    </row>
    <row r="58" spans="1:35" x14ac:dyDescent="0.25">
      <c r="A58" s="25" t="s">
        <v>319</v>
      </c>
      <c r="B58" s="26" t="s">
        <v>320</v>
      </c>
      <c r="C58" s="27"/>
      <c r="D58" s="27"/>
      <c r="E58" s="34"/>
      <c r="F58" s="30">
        <f t="shared" si="11"/>
        <v>0</v>
      </c>
      <c r="G58" s="31">
        <v>114483813</v>
      </c>
      <c r="H58" s="27">
        <v>634100</v>
      </c>
      <c r="I58" s="31">
        <v>114483813</v>
      </c>
      <c r="J58" s="32">
        <f t="shared" si="12"/>
        <v>-114483813</v>
      </c>
      <c r="K58" s="33" t="e">
        <f t="shared" si="1"/>
        <v>#DIV/0!</v>
      </c>
      <c r="L58" s="113">
        <f t="shared" si="3"/>
        <v>0</v>
      </c>
      <c r="M58" s="25" t="s">
        <v>319</v>
      </c>
      <c r="N58" s="26" t="s">
        <v>320</v>
      </c>
      <c r="O58" s="27"/>
      <c r="P58" s="27"/>
      <c r="Q58" s="34"/>
      <c r="R58" s="30">
        <v>0</v>
      </c>
      <c r="S58" s="31">
        <v>102823413</v>
      </c>
      <c r="T58" s="27">
        <v>11026300</v>
      </c>
      <c r="U58" s="31">
        <v>113849713</v>
      </c>
      <c r="V58" s="32">
        <v>-113849713</v>
      </c>
      <c r="W58" s="33" t="e">
        <v>#DIV/0!</v>
      </c>
      <c r="Y58" s="25" t="s">
        <v>319</v>
      </c>
      <c r="Z58" s="26" t="s">
        <v>320</v>
      </c>
      <c r="AA58" s="27"/>
      <c r="AB58" s="27"/>
      <c r="AC58" s="34"/>
      <c r="AD58" s="30">
        <v>0</v>
      </c>
      <c r="AE58" s="31">
        <v>114483813</v>
      </c>
      <c r="AF58" s="27">
        <v>634100</v>
      </c>
      <c r="AG58" s="31">
        <v>114483813</v>
      </c>
      <c r="AH58" s="32">
        <v>-114483813</v>
      </c>
      <c r="AI58" s="33" t="e">
        <v>#DIV/0!</v>
      </c>
    </row>
    <row r="59" spans="1:35" x14ac:dyDescent="0.25">
      <c r="A59" s="25" t="s">
        <v>321</v>
      </c>
      <c r="B59" s="26" t="s">
        <v>322</v>
      </c>
      <c r="C59" s="27">
        <v>80000000</v>
      </c>
      <c r="D59" s="27"/>
      <c r="E59" s="34"/>
      <c r="F59" s="30">
        <f t="shared" si="11"/>
        <v>80000000</v>
      </c>
      <c r="G59" s="31">
        <v>27110475</v>
      </c>
      <c r="H59" s="27"/>
      <c r="I59" s="31">
        <v>27110475</v>
      </c>
      <c r="J59" s="32">
        <f t="shared" si="12"/>
        <v>52889525</v>
      </c>
      <c r="K59" s="33">
        <f t="shared" si="1"/>
        <v>0.33888093749999998</v>
      </c>
      <c r="L59" s="113">
        <f t="shared" si="3"/>
        <v>0</v>
      </c>
      <c r="M59" s="25" t="s">
        <v>321</v>
      </c>
      <c r="N59" s="26" t="s">
        <v>322</v>
      </c>
      <c r="O59" s="27">
        <v>80000000</v>
      </c>
      <c r="P59" s="27"/>
      <c r="Q59" s="34"/>
      <c r="R59" s="30">
        <v>80000000</v>
      </c>
      <c r="S59" s="31">
        <v>6654890</v>
      </c>
      <c r="T59" s="27">
        <v>20455585</v>
      </c>
      <c r="U59" s="31">
        <v>27110475</v>
      </c>
      <c r="V59" s="32">
        <v>52889525</v>
      </c>
      <c r="W59" s="33">
        <v>0.33888093749999998</v>
      </c>
      <c r="Y59" s="25" t="s">
        <v>321</v>
      </c>
      <c r="Z59" s="26" t="s">
        <v>322</v>
      </c>
      <c r="AA59" s="27">
        <v>80000000</v>
      </c>
      <c r="AB59" s="27"/>
      <c r="AC59" s="34"/>
      <c r="AD59" s="30">
        <v>80000000</v>
      </c>
      <c r="AE59" s="31">
        <v>27110475</v>
      </c>
      <c r="AF59" s="27"/>
      <c r="AG59" s="31">
        <v>27110475</v>
      </c>
      <c r="AH59" s="32">
        <v>52889525</v>
      </c>
      <c r="AI59" s="33">
        <v>0.33888093749999998</v>
      </c>
    </row>
    <row r="60" spans="1:35" x14ac:dyDescent="0.25">
      <c r="A60" s="25" t="s">
        <v>323</v>
      </c>
      <c r="B60" s="26" t="s">
        <v>324</v>
      </c>
      <c r="C60" s="27">
        <v>100000000</v>
      </c>
      <c r="D60" s="27"/>
      <c r="E60" s="34"/>
      <c r="F60" s="30">
        <f t="shared" si="11"/>
        <v>100000000</v>
      </c>
      <c r="G60" s="31">
        <v>0</v>
      </c>
      <c r="H60" s="27"/>
      <c r="I60" s="31"/>
      <c r="J60" s="32">
        <f t="shared" si="12"/>
        <v>100000000</v>
      </c>
      <c r="K60" s="33">
        <f t="shared" si="1"/>
        <v>0</v>
      </c>
      <c r="L60" s="113">
        <f t="shared" si="3"/>
        <v>0</v>
      </c>
      <c r="M60" s="25" t="s">
        <v>323</v>
      </c>
      <c r="N60" s="26" t="s">
        <v>324</v>
      </c>
      <c r="O60" s="27">
        <v>100000000</v>
      </c>
      <c r="P60" s="27"/>
      <c r="Q60" s="34"/>
      <c r="R60" s="30">
        <v>100000000</v>
      </c>
      <c r="S60" s="31"/>
      <c r="T60" s="27"/>
      <c r="U60" s="31"/>
      <c r="V60" s="32">
        <v>100000000</v>
      </c>
      <c r="W60" s="33">
        <v>0</v>
      </c>
      <c r="Y60" s="25" t="s">
        <v>323</v>
      </c>
      <c r="Z60" s="26" t="s">
        <v>324</v>
      </c>
      <c r="AA60" s="27">
        <v>100000000</v>
      </c>
      <c r="AB60" s="27"/>
      <c r="AC60" s="34"/>
      <c r="AD60" s="30">
        <v>100000000</v>
      </c>
      <c r="AE60" s="31">
        <v>0</v>
      </c>
      <c r="AF60" s="27"/>
      <c r="AG60" s="31"/>
      <c r="AH60" s="32">
        <v>100000000</v>
      </c>
      <c r="AI60" s="33">
        <v>0</v>
      </c>
    </row>
    <row r="61" spans="1:35" x14ac:dyDescent="0.25">
      <c r="A61" s="25" t="s">
        <v>325</v>
      </c>
      <c r="B61" s="26" t="s">
        <v>326</v>
      </c>
      <c r="C61" s="27">
        <v>205500000</v>
      </c>
      <c r="D61" s="27"/>
      <c r="E61" s="34"/>
      <c r="F61" s="30">
        <f t="shared" si="11"/>
        <v>205500000</v>
      </c>
      <c r="G61" s="31">
        <v>124683285</v>
      </c>
      <c r="H61" s="27">
        <v>45674270</v>
      </c>
      <c r="I61" s="31">
        <v>124683285</v>
      </c>
      <c r="J61" s="32">
        <f t="shared" si="12"/>
        <v>80816715</v>
      </c>
      <c r="K61" s="33">
        <f t="shared" si="1"/>
        <v>0.60673131386861312</v>
      </c>
      <c r="L61" s="113">
        <f t="shared" si="3"/>
        <v>0</v>
      </c>
      <c r="M61" s="25" t="s">
        <v>325</v>
      </c>
      <c r="N61" s="26" t="s">
        <v>326</v>
      </c>
      <c r="O61" s="27">
        <v>205500000</v>
      </c>
      <c r="P61" s="27"/>
      <c r="Q61" s="34"/>
      <c r="R61" s="30">
        <v>205500000</v>
      </c>
      <c r="S61" s="31">
        <v>75490696</v>
      </c>
      <c r="T61" s="27">
        <v>3518319</v>
      </c>
      <c r="U61" s="31">
        <v>79009015</v>
      </c>
      <c r="V61" s="32">
        <v>126490985</v>
      </c>
      <c r="W61" s="33">
        <v>0.38447209245742092</v>
      </c>
      <c r="Y61" s="25" t="s">
        <v>325</v>
      </c>
      <c r="Z61" s="26" t="s">
        <v>326</v>
      </c>
      <c r="AA61" s="27">
        <v>205500000</v>
      </c>
      <c r="AB61" s="27"/>
      <c r="AC61" s="34"/>
      <c r="AD61" s="30">
        <v>205500000</v>
      </c>
      <c r="AE61" s="31">
        <v>124683285</v>
      </c>
      <c r="AF61" s="27">
        <v>45674270</v>
      </c>
      <c r="AG61" s="31">
        <v>124683285</v>
      </c>
      <c r="AH61" s="32">
        <v>80816715</v>
      </c>
      <c r="AI61" s="33">
        <v>0.60673131386861312</v>
      </c>
    </row>
    <row r="62" spans="1:35" x14ac:dyDescent="0.25">
      <c r="A62" s="25" t="s">
        <v>327</v>
      </c>
      <c r="B62" s="26" t="s">
        <v>328</v>
      </c>
      <c r="C62" s="27">
        <v>120000000</v>
      </c>
      <c r="D62" s="27"/>
      <c r="E62" s="34"/>
      <c r="F62" s="30">
        <f t="shared" si="11"/>
        <v>120000000</v>
      </c>
      <c r="G62" s="31">
        <v>0</v>
      </c>
      <c r="H62" s="27"/>
      <c r="I62" s="31"/>
      <c r="J62" s="32">
        <f t="shared" si="12"/>
        <v>120000000</v>
      </c>
      <c r="K62" s="33">
        <f t="shared" si="1"/>
        <v>0</v>
      </c>
      <c r="L62" s="113">
        <f t="shared" si="3"/>
        <v>0</v>
      </c>
      <c r="M62" s="25" t="s">
        <v>327</v>
      </c>
      <c r="N62" s="26" t="s">
        <v>328</v>
      </c>
      <c r="O62" s="27">
        <v>120000000</v>
      </c>
      <c r="P62" s="27"/>
      <c r="Q62" s="34"/>
      <c r="R62" s="30">
        <v>120000000</v>
      </c>
      <c r="S62" s="31"/>
      <c r="T62" s="27"/>
      <c r="U62" s="31"/>
      <c r="V62" s="32">
        <v>120000000</v>
      </c>
      <c r="W62" s="33">
        <v>0</v>
      </c>
      <c r="Y62" s="25" t="s">
        <v>327</v>
      </c>
      <c r="Z62" s="26" t="s">
        <v>328</v>
      </c>
      <c r="AA62" s="27">
        <v>120000000</v>
      </c>
      <c r="AB62" s="27"/>
      <c r="AC62" s="34"/>
      <c r="AD62" s="30">
        <v>120000000</v>
      </c>
      <c r="AE62" s="31">
        <v>0</v>
      </c>
      <c r="AF62" s="27"/>
      <c r="AG62" s="31"/>
      <c r="AH62" s="32">
        <v>120000000</v>
      </c>
      <c r="AI62" s="33">
        <v>0</v>
      </c>
    </row>
    <row r="63" spans="1:35" x14ac:dyDescent="0.25">
      <c r="A63" s="25" t="s">
        <v>329</v>
      </c>
      <c r="B63" s="26" t="s">
        <v>330</v>
      </c>
      <c r="C63" s="27">
        <v>150724000</v>
      </c>
      <c r="D63" s="27"/>
      <c r="E63" s="34"/>
      <c r="F63" s="30">
        <f t="shared" si="11"/>
        <v>150724000</v>
      </c>
      <c r="G63" s="31">
        <v>236979000</v>
      </c>
      <c r="H63" s="27">
        <v>76832000</v>
      </c>
      <c r="I63" s="31">
        <v>236979000</v>
      </c>
      <c r="J63" s="32">
        <f t="shared" si="12"/>
        <v>-86255000</v>
      </c>
      <c r="K63" s="33">
        <f t="shared" si="1"/>
        <v>1.5722711711472626</v>
      </c>
      <c r="L63" s="113">
        <f t="shared" si="3"/>
        <v>0</v>
      </c>
      <c r="M63" s="25" t="s">
        <v>329</v>
      </c>
      <c r="N63" s="26" t="s">
        <v>330</v>
      </c>
      <c r="O63" s="27">
        <v>150724000</v>
      </c>
      <c r="P63" s="27"/>
      <c r="Q63" s="34"/>
      <c r="R63" s="30">
        <v>150724000</v>
      </c>
      <c r="S63" s="31">
        <v>158566000</v>
      </c>
      <c r="T63" s="27">
        <v>1581000</v>
      </c>
      <c r="U63" s="31">
        <v>160147000</v>
      </c>
      <c r="V63" s="32">
        <v>-9423000</v>
      </c>
      <c r="W63" s="33">
        <v>1.0625182452694992</v>
      </c>
      <c r="Y63" s="25" t="s">
        <v>329</v>
      </c>
      <c r="Z63" s="26" t="s">
        <v>330</v>
      </c>
      <c r="AA63" s="27">
        <v>150724000</v>
      </c>
      <c r="AB63" s="27"/>
      <c r="AC63" s="34"/>
      <c r="AD63" s="30">
        <v>150724000</v>
      </c>
      <c r="AE63" s="31">
        <v>236979000</v>
      </c>
      <c r="AF63" s="27">
        <v>76832000</v>
      </c>
      <c r="AG63" s="31">
        <v>236979000</v>
      </c>
      <c r="AH63" s="32">
        <v>-86255000</v>
      </c>
      <c r="AI63" s="33">
        <v>1.5722711711472626</v>
      </c>
    </row>
    <row r="64" spans="1:35" x14ac:dyDescent="0.25">
      <c r="A64" s="25" t="s">
        <v>331</v>
      </c>
      <c r="B64" s="26" t="s">
        <v>332</v>
      </c>
      <c r="C64" s="27">
        <v>239891264</v>
      </c>
      <c r="D64" s="27"/>
      <c r="E64" s="34"/>
      <c r="F64" s="30">
        <f t="shared" si="11"/>
        <v>239891264</v>
      </c>
      <c r="G64" s="31">
        <v>163890487</v>
      </c>
      <c r="H64" s="27">
        <v>18627000</v>
      </c>
      <c r="I64" s="31">
        <v>163890487</v>
      </c>
      <c r="J64" s="32">
        <f t="shared" si="12"/>
        <v>76000777</v>
      </c>
      <c r="K64" s="33">
        <f t="shared" si="1"/>
        <v>0.68318655822331242</v>
      </c>
      <c r="L64" s="113">
        <f t="shared" si="3"/>
        <v>0</v>
      </c>
      <c r="M64" s="25" t="s">
        <v>331</v>
      </c>
      <c r="N64" s="26" t="s">
        <v>332</v>
      </c>
      <c r="O64" s="27">
        <v>239891264</v>
      </c>
      <c r="P64" s="27"/>
      <c r="Q64" s="34"/>
      <c r="R64" s="30">
        <v>239891264</v>
      </c>
      <c r="S64" s="31">
        <v>123920321</v>
      </c>
      <c r="T64" s="27">
        <v>21343166</v>
      </c>
      <c r="U64" s="31">
        <v>145263487</v>
      </c>
      <c r="V64" s="32">
        <v>94627777</v>
      </c>
      <c r="W64" s="33">
        <v>0.60553887864795275</v>
      </c>
      <c r="Y64" s="25" t="s">
        <v>331</v>
      </c>
      <c r="Z64" s="26" t="s">
        <v>332</v>
      </c>
      <c r="AA64" s="27">
        <v>239891264</v>
      </c>
      <c r="AB64" s="27"/>
      <c r="AC64" s="34"/>
      <c r="AD64" s="30">
        <v>239891264</v>
      </c>
      <c r="AE64" s="31">
        <v>163890487</v>
      </c>
      <c r="AF64" s="27">
        <v>18627000</v>
      </c>
      <c r="AG64" s="31">
        <v>163890487</v>
      </c>
      <c r="AH64" s="32">
        <v>76000777</v>
      </c>
      <c r="AI64" s="33">
        <v>0.68318655822331242</v>
      </c>
    </row>
    <row r="65" spans="1:35" x14ac:dyDescent="0.25">
      <c r="A65" s="25" t="s">
        <v>333</v>
      </c>
      <c r="B65" s="26" t="s">
        <v>334</v>
      </c>
      <c r="C65" s="27">
        <v>34200000</v>
      </c>
      <c r="D65" s="27"/>
      <c r="E65" s="34"/>
      <c r="F65" s="30">
        <f t="shared" si="11"/>
        <v>34200000</v>
      </c>
      <c r="G65" s="31">
        <v>337077</v>
      </c>
      <c r="H65" s="27"/>
      <c r="I65" s="31">
        <v>337077</v>
      </c>
      <c r="J65" s="32">
        <f t="shared" si="12"/>
        <v>33862923</v>
      </c>
      <c r="K65" s="33">
        <f t="shared" si="1"/>
        <v>9.8560526315789477E-3</v>
      </c>
      <c r="L65" s="113">
        <f t="shared" si="3"/>
        <v>0</v>
      </c>
      <c r="M65" s="25" t="s">
        <v>333</v>
      </c>
      <c r="N65" s="26" t="s">
        <v>334</v>
      </c>
      <c r="O65" s="27">
        <v>34200000</v>
      </c>
      <c r="P65" s="27"/>
      <c r="Q65" s="34"/>
      <c r="R65" s="30">
        <v>34200000</v>
      </c>
      <c r="S65" s="31">
        <v>337077</v>
      </c>
      <c r="T65" s="27"/>
      <c r="U65" s="31">
        <v>337077</v>
      </c>
      <c r="V65" s="32">
        <v>33862923</v>
      </c>
      <c r="W65" s="33">
        <v>9.8560526315789477E-3</v>
      </c>
      <c r="Y65" s="25" t="s">
        <v>333</v>
      </c>
      <c r="Z65" s="26" t="s">
        <v>334</v>
      </c>
      <c r="AA65" s="27">
        <v>34200000</v>
      </c>
      <c r="AB65" s="27"/>
      <c r="AC65" s="34"/>
      <c r="AD65" s="30">
        <v>34200000</v>
      </c>
      <c r="AE65" s="31">
        <v>337077</v>
      </c>
      <c r="AF65" s="27"/>
      <c r="AG65" s="31">
        <v>337077</v>
      </c>
      <c r="AH65" s="32">
        <v>33862923</v>
      </c>
      <c r="AI65" s="33">
        <v>9.8560526315789477E-3</v>
      </c>
    </row>
    <row r="66" spans="1:35" x14ac:dyDescent="0.25">
      <c r="A66" s="25" t="s">
        <v>335</v>
      </c>
      <c r="B66" s="26" t="s">
        <v>336</v>
      </c>
      <c r="C66" s="27">
        <v>48000000</v>
      </c>
      <c r="D66" s="27"/>
      <c r="E66" s="34"/>
      <c r="F66" s="30">
        <f t="shared" si="11"/>
        <v>48000000</v>
      </c>
      <c r="G66" s="31">
        <v>183630000</v>
      </c>
      <c r="H66" s="27">
        <v>66990000</v>
      </c>
      <c r="I66" s="31">
        <v>183630000</v>
      </c>
      <c r="J66" s="32">
        <f t="shared" si="12"/>
        <v>-135630000</v>
      </c>
      <c r="K66" s="33">
        <f t="shared" si="1"/>
        <v>3.8256250000000001</v>
      </c>
      <c r="L66" s="113">
        <f t="shared" si="3"/>
        <v>0</v>
      </c>
      <c r="M66" s="25" t="s">
        <v>335</v>
      </c>
      <c r="N66" s="26" t="s">
        <v>336</v>
      </c>
      <c r="O66" s="27">
        <v>48000000</v>
      </c>
      <c r="P66" s="27"/>
      <c r="Q66" s="34"/>
      <c r="R66" s="30">
        <v>48000000</v>
      </c>
      <c r="S66" s="31">
        <v>116640000</v>
      </c>
      <c r="T66" s="27"/>
      <c r="U66" s="31">
        <v>116640000</v>
      </c>
      <c r="V66" s="32">
        <v>-68640000</v>
      </c>
      <c r="W66" s="33">
        <v>2.4300000000000002</v>
      </c>
      <c r="Y66" s="25" t="s">
        <v>335</v>
      </c>
      <c r="Z66" s="26" t="s">
        <v>336</v>
      </c>
      <c r="AA66" s="27">
        <v>48000000</v>
      </c>
      <c r="AB66" s="27"/>
      <c r="AC66" s="34"/>
      <c r="AD66" s="30">
        <v>48000000</v>
      </c>
      <c r="AE66" s="31">
        <v>183630000</v>
      </c>
      <c r="AF66" s="27">
        <v>66990000</v>
      </c>
      <c r="AG66" s="31">
        <v>183630000</v>
      </c>
      <c r="AH66" s="32">
        <v>-135630000</v>
      </c>
      <c r="AI66" s="33">
        <v>3.8256250000000001</v>
      </c>
    </row>
    <row r="67" spans="1:35" x14ac:dyDescent="0.25">
      <c r="A67" s="25" t="s">
        <v>337</v>
      </c>
      <c r="B67" s="26" t="s">
        <v>338</v>
      </c>
      <c r="C67" s="27">
        <v>172025580</v>
      </c>
      <c r="D67" s="27"/>
      <c r="E67" s="34"/>
      <c r="F67" s="30">
        <f t="shared" si="11"/>
        <v>172025580</v>
      </c>
      <c r="G67" s="31">
        <v>48634374</v>
      </c>
      <c r="H67" s="27"/>
      <c r="I67" s="31">
        <v>48634374</v>
      </c>
      <c r="J67" s="32">
        <f t="shared" si="12"/>
        <v>123391206</v>
      </c>
      <c r="K67" s="33">
        <f t="shared" si="1"/>
        <v>0.28271594259411886</v>
      </c>
      <c r="L67" s="113">
        <f t="shared" si="3"/>
        <v>0</v>
      </c>
      <c r="M67" s="25" t="s">
        <v>337</v>
      </c>
      <c r="N67" s="26" t="s">
        <v>338</v>
      </c>
      <c r="O67" s="27">
        <v>172025580</v>
      </c>
      <c r="P67" s="27"/>
      <c r="Q67" s="34"/>
      <c r="R67" s="30">
        <v>172025580</v>
      </c>
      <c r="S67" s="31">
        <v>43630809</v>
      </c>
      <c r="T67" s="27">
        <v>5003565</v>
      </c>
      <c r="U67" s="31">
        <v>48634374</v>
      </c>
      <c r="V67" s="32">
        <v>123391206</v>
      </c>
      <c r="W67" s="33">
        <v>0.28271594259411886</v>
      </c>
      <c r="Y67" s="25" t="s">
        <v>337</v>
      </c>
      <c r="Z67" s="26" t="s">
        <v>338</v>
      </c>
      <c r="AA67" s="27">
        <v>172025580</v>
      </c>
      <c r="AB67" s="27"/>
      <c r="AC67" s="34"/>
      <c r="AD67" s="30">
        <v>172025580</v>
      </c>
      <c r="AE67" s="31">
        <v>48634374</v>
      </c>
      <c r="AF67" s="27"/>
      <c r="AG67" s="31">
        <v>48634374</v>
      </c>
      <c r="AH67" s="32">
        <v>123391206</v>
      </c>
      <c r="AI67" s="33">
        <v>0.28271594259411886</v>
      </c>
    </row>
    <row r="68" spans="1:35" x14ac:dyDescent="0.25">
      <c r="A68" s="25" t="s">
        <v>339</v>
      </c>
      <c r="B68" s="26" t="s">
        <v>340</v>
      </c>
      <c r="C68" s="27">
        <v>51082000</v>
      </c>
      <c r="D68" s="27"/>
      <c r="E68" s="34"/>
      <c r="F68" s="30">
        <f t="shared" si="11"/>
        <v>51082000</v>
      </c>
      <c r="G68" s="31">
        <v>877803</v>
      </c>
      <c r="H68" s="27"/>
      <c r="I68" s="31">
        <v>877803</v>
      </c>
      <c r="J68" s="32">
        <f t="shared" si="12"/>
        <v>50204197</v>
      </c>
      <c r="K68" s="33">
        <f t="shared" si="1"/>
        <v>1.7184194040953761E-2</v>
      </c>
      <c r="L68" s="113">
        <f t="shared" si="3"/>
        <v>0</v>
      </c>
      <c r="M68" s="25" t="s">
        <v>339</v>
      </c>
      <c r="N68" s="26" t="s">
        <v>340</v>
      </c>
      <c r="O68" s="27">
        <v>51082000</v>
      </c>
      <c r="P68" s="27"/>
      <c r="Q68" s="34"/>
      <c r="R68" s="30">
        <v>51082000</v>
      </c>
      <c r="S68" s="31"/>
      <c r="T68" s="27">
        <v>877803</v>
      </c>
      <c r="U68" s="31">
        <v>877803</v>
      </c>
      <c r="V68" s="32">
        <v>50204197</v>
      </c>
      <c r="W68" s="33">
        <v>1.7184194040953761E-2</v>
      </c>
      <c r="Y68" s="25" t="s">
        <v>339</v>
      </c>
      <c r="Z68" s="26" t="s">
        <v>340</v>
      </c>
      <c r="AA68" s="27">
        <v>51082000</v>
      </c>
      <c r="AB68" s="27"/>
      <c r="AC68" s="34"/>
      <c r="AD68" s="30">
        <v>51082000</v>
      </c>
      <c r="AE68" s="31">
        <v>877803</v>
      </c>
      <c r="AF68" s="27"/>
      <c r="AG68" s="31">
        <v>877803</v>
      </c>
      <c r="AH68" s="32">
        <v>50204197</v>
      </c>
      <c r="AI68" s="33">
        <v>1.7184194040953761E-2</v>
      </c>
    </row>
    <row r="69" spans="1:35" x14ac:dyDescent="0.25">
      <c r="A69" s="25" t="s">
        <v>341</v>
      </c>
      <c r="B69" s="26" t="s">
        <v>342</v>
      </c>
      <c r="C69" s="27">
        <v>3750000</v>
      </c>
      <c r="D69" s="27"/>
      <c r="E69" s="34"/>
      <c r="F69" s="30">
        <f t="shared" si="11"/>
        <v>3750000</v>
      </c>
      <c r="G69" s="31">
        <v>719100</v>
      </c>
      <c r="H69" s="27"/>
      <c r="I69" s="31">
        <v>719100</v>
      </c>
      <c r="J69" s="32">
        <f t="shared" si="12"/>
        <v>3030900</v>
      </c>
      <c r="K69" s="33">
        <f t="shared" si="1"/>
        <v>0.19176000000000001</v>
      </c>
      <c r="L69" s="113">
        <f t="shared" si="3"/>
        <v>0</v>
      </c>
      <c r="M69" s="25" t="s">
        <v>341</v>
      </c>
      <c r="N69" s="26" t="s">
        <v>342</v>
      </c>
      <c r="O69" s="27">
        <v>3750000</v>
      </c>
      <c r="P69" s="27"/>
      <c r="Q69" s="34"/>
      <c r="R69" s="30">
        <v>3750000</v>
      </c>
      <c r="S69" s="31">
        <v>719100</v>
      </c>
      <c r="T69" s="27"/>
      <c r="U69" s="31">
        <v>719100</v>
      </c>
      <c r="V69" s="32">
        <v>3030900</v>
      </c>
      <c r="W69" s="33">
        <v>0.19176000000000001</v>
      </c>
      <c r="Y69" s="25" t="s">
        <v>341</v>
      </c>
      <c r="Z69" s="26" t="s">
        <v>342</v>
      </c>
      <c r="AA69" s="27">
        <v>3750000</v>
      </c>
      <c r="AB69" s="27"/>
      <c r="AC69" s="34"/>
      <c r="AD69" s="30">
        <v>3750000</v>
      </c>
      <c r="AE69" s="31">
        <v>719100</v>
      </c>
      <c r="AF69" s="27"/>
      <c r="AG69" s="31">
        <v>719100</v>
      </c>
      <c r="AH69" s="32">
        <v>3030900</v>
      </c>
      <c r="AI69" s="33">
        <v>0.19176000000000001</v>
      </c>
    </row>
    <row r="70" spans="1:35" x14ac:dyDescent="0.25">
      <c r="A70" s="25" t="s">
        <v>343</v>
      </c>
      <c r="B70" s="26" t="s">
        <v>344</v>
      </c>
      <c r="C70" s="27">
        <v>85445009</v>
      </c>
      <c r="D70" s="27"/>
      <c r="E70" s="34"/>
      <c r="F70" s="30">
        <f t="shared" si="11"/>
        <v>85445009</v>
      </c>
      <c r="G70" s="31">
        <v>471900</v>
      </c>
      <c r="H70" s="27"/>
      <c r="I70" s="31">
        <v>471900</v>
      </c>
      <c r="J70" s="32">
        <f t="shared" si="12"/>
        <v>84973109</v>
      </c>
      <c r="K70" s="33">
        <f t="shared" ref="K70:K135" si="18">+I70/F70</f>
        <v>5.5228503750289265E-3</v>
      </c>
      <c r="L70" s="113">
        <f t="shared" ref="L70:L133" si="19">+I70-G70</f>
        <v>0</v>
      </c>
      <c r="M70" s="25" t="s">
        <v>343</v>
      </c>
      <c r="N70" s="26" t="s">
        <v>344</v>
      </c>
      <c r="O70" s="27">
        <v>85445009</v>
      </c>
      <c r="P70" s="27"/>
      <c r="Q70" s="34"/>
      <c r="R70" s="30">
        <v>85445009</v>
      </c>
      <c r="S70" s="31">
        <v>439000</v>
      </c>
      <c r="T70" s="27">
        <v>32900</v>
      </c>
      <c r="U70" s="31">
        <v>471900</v>
      </c>
      <c r="V70" s="32">
        <v>84973109</v>
      </c>
      <c r="W70" s="33">
        <v>5.5228503750289265E-3</v>
      </c>
      <c r="Y70" s="25" t="s">
        <v>343</v>
      </c>
      <c r="Z70" s="26" t="s">
        <v>344</v>
      </c>
      <c r="AA70" s="27">
        <v>85445009</v>
      </c>
      <c r="AB70" s="27"/>
      <c r="AC70" s="34"/>
      <c r="AD70" s="30">
        <v>85445009</v>
      </c>
      <c r="AE70" s="31">
        <v>471900</v>
      </c>
      <c r="AF70" s="27"/>
      <c r="AG70" s="31">
        <v>471900</v>
      </c>
      <c r="AH70" s="32">
        <v>84973109</v>
      </c>
      <c r="AI70" s="33">
        <v>5.5228503750289265E-3</v>
      </c>
    </row>
    <row r="71" spans="1:35" x14ac:dyDescent="0.25">
      <c r="A71" s="25" t="s">
        <v>345</v>
      </c>
      <c r="B71" s="26" t="s">
        <v>346</v>
      </c>
      <c r="C71" s="27">
        <v>24200000</v>
      </c>
      <c r="D71" s="27"/>
      <c r="E71" s="34"/>
      <c r="F71" s="30">
        <f t="shared" si="11"/>
        <v>24200000</v>
      </c>
      <c r="G71" s="31">
        <v>0</v>
      </c>
      <c r="H71" s="27"/>
      <c r="I71" s="31"/>
      <c r="J71" s="32">
        <f t="shared" si="12"/>
        <v>24200000</v>
      </c>
      <c r="K71" s="33">
        <f t="shared" si="18"/>
        <v>0</v>
      </c>
      <c r="L71" s="113">
        <f t="shared" si="19"/>
        <v>0</v>
      </c>
      <c r="M71" s="25" t="s">
        <v>345</v>
      </c>
      <c r="N71" s="26" t="s">
        <v>346</v>
      </c>
      <c r="O71" s="27">
        <v>24200000</v>
      </c>
      <c r="P71" s="27"/>
      <c r="Q71" s="34"/>
      <c r="R71" s="30">
        <v>24200000</v>
      </c>
      <c r="S71" s="31"/>
      <c r="T71" s="27"/>
      <c r="U71" s="31"/>
      <c r="V71" s="32">
        <v>24200000</v>
      </c>
      <c r="W71" s="33">
        <v>0</v>
      </c>
      <c r="Y71" s="25" t="s">
        <v>345</v>
      </c>
      <c r="Z71" s="26" t="s">
        <v>346</v>
      </c>
      <c r="AA71" s="27">
        <v>24200000</v>
      </c>
      <c r="AB71" s="27"/>
      <c r="AC71" s="34"/>
      <c r="AD71" s="30">
        <v>24200000</v>
      </c>
      <c r="AE71" s="31">
        <v>0</v>
      </c>
      <c r="AF71" s="27"/>
      <c r="AG71" s="31"/>
      <c r="AH71" s="32">
        <v>24200000</v>
      </c>
      <c r="AI71" s="33">
        <v>0</v>
      </c>
    </row>
    <row r="72" spans="1:35" x14ac:dyDescent="0.25">
      <c r="A72" s="25" t="s">
        <v>347</v>
      </c>
      <c r="B72" s="26" t="s">
        <v>348</v>
      </c>
      <c r="C72" s="27">
        <v>108984085</v>
      </c>
      <c r="D72" s="27"/>
      <c r="E72" s="34"/>
      <c r="F72" s="30">
        <f t="shared" si="11"/>
        <v>108984085</v>
      </c>
      <c r="G72" s="31">
        <v>26014971</v>
      </c>
      <c r="H72" s="27"/>
      <c r="I72" s="31">
        <v>26014971</v>
      </c>
      <c r="J72" s="32">
        <f t="shared" si="12"/>
        <v>82969114</v>
      </c>
      <c r="K72" s="33">
        <f t="shared" si="18"/>
        <v>0.23870431173505746</v>
      </c>
      <c r="L72" s="113">
        <f t="shared" si="19"/>
        <v>0</v>
      </c>
      <c r="M72" s="25" t="s">
        <v>347</v>
      </c>
      <c r="N72" s="26" t="s">
        <v>348</v>
      </c>
      <c r="O72" s="27">
        <v>108984085</v>
      </c>
      <c r="P72" s="27"/>
      <c r="Q72" s="34"/>
      <c r="R72" s="30">
        <v>108984085</v>
      </c>
      <c r="S72" s="31">
        <v>26014971</v>
      </c>
      <c r="T72" s="27">
        <v>7000000</v>
      </c>
      <c r="U72" s="31">
        <v>26014971</v>
      </c>
      <c r="V72" s="32">
        <v>82969114</v>
      </c>
      <c r="W72" s="33">
        <v>0.23870431173505746</v>
      </c>
      <c r="Y72" s="25" t="s">
        <v>347</v>
      </c>
      <c r="Z72" s="26" t="s">
        <v>348</v>
      </c>
      <c r="AA72" s="27">
        <v>108984085</v>
      </c>
      <c r="AB72" s="27"/>
      <c r="AC72" s="34"/>
      <c r="AD72" s="30">
        <v>108984085</v>
      </c>
      <c r="AE72" s="31">
        <v>26014971</v>
      </c>
      <c r="AF72" s="27"/>
      <c r="AG72" s="31">
        <v>26014971</v>
      </c>
      <c r="AH72" s="32">
        <v>82969114</v>
      </c>
      <c r="AI72" s="33">
        <v>0.23870431173505746</v>
      </c>
    </row>
    <row r="73" spans="1:35" x14ac:dyDescent="0.25">
      <c r="A73" s="25" t="s">
        <v>349</v>
      </c>
      <c r="B73" s="26" t="s">
        <v>350</v>
      </c>
      <c r="C73" s="27">
        <v>40000000</v>
      </c>
      <c r="D73" s="27"/>
      <c r="E73" s="34"/>
      <c r="F73" s="30">
        <f t="shared" si="11"/>
        <v>40000000</v>
      </c>
      <c r="G73" s="31">
        <v>0</v>
      </c>
      <c r="H73" s="27"/>
      <c r="I73" s="31"/>
      <c r="J73" s="32">
        <f t="shared" si="12"/>
        <v>40000000</v>
      </c>
      <c r="K73" s="33">
        <f t="shared" si="18"/>
        <v>0</v>
      </c>
      <c r="L73" s="113">
        <f t="shared" si="19"/>
        <v>0</v>
      </c>
      <c r="M73" s="25" t="s">
        <v>349</v>
      </c>
      <c r="N73" s="26" t="s">
        <v>350</v>
      </c>
      <c r="O73" s="27">
        <v>40000000</v>
      </c>
      <c r="P73" s="27"/>
      <c r="Q73" s="34"/>
      <c r="R73" s="30">
        <v>40000000</v>
      </c>
      <c r="S73" s="31"/>
      <c r="T73" s="27"/>
      <c r="U73" s="31"/>
      <c r="V73" s="32">
        <v>40000000</v>
      </c>
      <c r="W73" s="33">
        <v>0</v>
      </c>
      <c r="Y73" s="25" t="s">
        <v>349</v>
      </c>
      <c r="Z73" s="26" t="s">
        <v>350</v>
      </c>
      <c r="AA73" s="27">
        <v>40000000</v>
      </c>
      <c r="AB73" s="27"/>
      <c r="AC73" s="34"/>
      <c r="AD73" s="30">
        <v>40000000</v>
      </c>
      <c r="AE73" s="31">
        <v>0</v>
      </c>
      <c r="AF73" s="27"/>
      <c r="AG73" s="31"/>
      <c r="AH73" s="32">
        <v>40000000</v>
      </c>
      <c r="AI73" s="33">
        <v>0</v>
      </c>
    </row>
    <row r="74" spans="1:35" x14ac:dyDescent="0.25">
      <c r="A74" s="25" t="s">
        <v>351</v>
      </c>
      <c r="B74" s="26" t="s">
        <v>352</v>
      </c>
      <c r="C74" s="27">
        <v>600000</v>
      </c>
      <c r="D74" s="27"/>
      <c r="E74" s="34"/>
      <c r="F74" s="30">
        <f t="shared" si="11"/>
        <v>600000</v>
      </c>
      <c r="G74" s="31">
        <v>0</v>
      </c>
      <c r="H74" s="27"/>
      <c r="I74" s="31"/>
      <c r="J74" s="32">
        <f t="shared" si="12"/>
        <v>600000</v>
      </c>
      <c r="K74" s="33">
        <f t="shared" si="18"/>
        <v>0</v>
      </c>
      <c r="L74" s="113">
        <f t="shared" si="19"/>
        <v>0</v>
      </c>
      <c r="M74" s="25" t="s">
        <v>351</v>
      </c>
      <c r="N74" s="26" t="s">
        <v>352</v>
      </c>
      <c r="O74" s="27">
        <v>600000</v>
      </c>
      <c r="P74" s="27"/>
      <c r="Q74" s="34"/>
      <c r="R74" s="30">
        <v>600000</v>
      </c>
      <c r="S74" s="31"/>
      <c r="T74" s="27"/>
      <c r="U74" s="31"/>
      <c r="V74" s="32">
        <v>600000</v>
      </c>
      <c r="W74" s="33">
        <v>0</v>
      </c>
      <c r="Y74" s="25" t="s">
        <v>351</v>
      </c>
      <c r="Z74" s="26" t="s">
        <v>352</v>
      </c>
      <c r="AA74" s="27">
        <v>600000</v>
      </c>
      <c r="AB74" s="27"/>
      <c r="AC74" s="34"/>
      <c r="AD74" s="30">
        <v>600000</v>
      </c>
      <c r="AE74" s="31">
        <v>0</v>
      </c>
      <c r="AF74" s="27"/>
      <c r="AG74" s="31"/>
      <c r="AH74" s="32">
        <v>600000</v>
      </c>
      <c r="AI74" s="33">
        <v>0</v>
      </c>
    </row>
    <row r="75" spans="1:35" x14ac:dyDescent="0.25">
      <c r="A75" s="25" t="s">
        <v>353</v>
      </c>
      <c r="B75" s="26" t="s">
        <v>354</v>
      </c>
      <c r="C75" s="27">
        <v>200000</v>
      </c>
      <c r="D75" s="27"/>
      <c r="E75" s="34"/>
      <c r="F75" s="30">
        <f t="shared" si="11"/>
        <v>200000</v>
      </c>
      <c r="G75" s="31">
        <v>0</v>
      </c>
      <c r="H75" s="27"/>
      <c r="I75" s="31"/>
      <c r="J75" s="32">
        <f t="shared" si="12"/>
        <v>200000</v>
      </c>
      <c r="K75" s="33">
        <f t="shared" si="18"/>
        <v>0</v>
      </c>
      <c r="L75" s="113">
        <f t="shared" si="19"/>
        <v>0</v>
      </c>
      <c r="M75" s="25" t="s">
        <v>353</v>
      </c>
      <c r="N75" s="26" t="s">
        <v>354</v>
      </c>
      <c r="O75" s="27">
        <v>200000</v>
      </c>
      <c r="P75" s="27"/>
      <c r="Q75" s="34"/>
      <c r="R75" s="30">
        <v>200000</v>
      </c>
      <c r="S75" s="31"/>
      <c r="T75" s="27"/>
      <c r="U75" s="31"/>
      <c r="V75" s="32">
        <v>200000</v>
      </c>
      <c r="W75" s="33">
        <v>0</v>
      </c>
      <c r="Y75" s="25" t="s">
        <v>353</v>
      </c>
      <c r="Z75" s="26" t="s">
        <v>354</v>
      </c>
      <c r="AA75" s="27">
        <v>200000</v>
      </c>
      <c r="AB75" s="27"/>
      <c r="AC75" s="34"/>
      <c r="AD75" s="30">
        <v>200000</v>
      </c>
      <c r="AE75" s="31">
        <v>0</v>
      </c>
      <c r="AF75" s="27"/>
      <c r="AG75" s="31"/>
      <c r="AH75" s="32">
        <v>200000</v>
      </c>
      <c r="AI75" s="33">
        <v>0</v>
      </c>
    </row>
    <row r="76" spans="1:35" x14ac:dyDescent="0.25">
      <c r="A76" s="25" t="s">
        <v>355</v>
      </c>
      <c r="B76" s="26" t="s">
        <v>356</v>
      </c>
      <c r="C76" s="27">
        <v>400000</v>
      </c>
      <c r="D76" s="27"/>
      <c r="E76" s="34"/>
      <c r="F76" s="30">
        <f t="shared" si="11"/>
        <v>400000</v>
      </c>
      <c r="G76" s="31">
        <v>13220</v>
      </c>
      <c r="H76" s="27"/>
      <c r="I76" s="31">
        <v>13220</v>
      </c>
      <c r="J76" s="32">
        <f t="shared" si="12"/>
        <v>386780</v>
      </c>
      <c r="K76" s="33">
        <f t="shared" si="18"/>
        <v>3.3050000000000003E-2</v>
      </c>
      <c r="L76" s="113">
        <f t="shared" si="19"/>
        <v>0</v>
      </c>
      <c r="M76" s="25" t="s">
        <v>355</v>
      </c>
      <c r="N76" s="26" t="s">
        <v>356</v>
      </c>
      <c r="O76" s="27">
        <v>400000</v>
      </c>
      <c r="P76" s="27"/>
      <c r="Q76" s="34"/>
      <c r="R76" s="30">
        <v>400000</v>
      </c>
      <c r="S76" s="31">
        <v>13220</v>
      </c>
      <c r="T76" s="27"/>
      <c r="U76" s="31">
        <v>13220</v>
      </c>
      <c r="V76" s="32">
        <v>386780</v>
      </c>
      <c r="W76" s="33">
        <v>3.3050000000000003E-2</v>
      </c>
      <c r="Y76" s="25" t="s">
        <v>355</v>
      </c>
      <c r="Z76" s="26" t="s">
        <v>356</v>
      </c>
      <c r="AA76" s="27">
        <v>400000</v>
      </c>
      <c r="AB76" s="27"/>
      <c r="AC76" s="34"/>
      <c r="AD76" s="30">
        <v>400000</v>
      </c>
      <c r="AE76" s="31">
        <v>13220</v>
      </c>
      <c r="AF76" s="27"/>
      <c r="AG76" s="31">
        <v>13220</v>
      </c>
      <c r="AH76" s="32">
        <v>386780</v>
      </c>
      <c r="AI76" s="33">
        <v>3.3050000000000003E-2</v>
      </c>
    </row>
    <row r="77" spans="1:35" x14ac:dyDescent="0.25">
      <c r="A77" s="25" t="s">
        <v>357</v>
      </c>
      <c r="B77" s="26" t="s">
        <v>358</v>
      </c>
      <c r="C77" s="27">
        <v>5000</v>
      </c>
      <c r="D77" s="27"/>
      <c r="E77" s="34"/>
      <c r="F77" s="30">
        <f t="shared" si="11"/>
        <v>5000</v>
      </c>
      <c r="G77" s="31">
        <v>0</v>
      </c>
      <c r="H77" s="27"/>
      <c r="I77" s="31"/>
      <c r="J77" s="32">
        <f t="shared" si="12"/>
        <v>5000</v>
      </c>
      <c r="K77" s="33">
        <f t="shared" si="18"/>
        <v>0</v>
      </c>
      <c r="L77" s="113">
        <f t="shared" si="19"/>
        <v>0</v>
      </c>
      <c r="M77" s="25" t="s">
        <v>357</v>
      </c>
      <c r="N77" s="26" t="s">
        <v>358</v>
      </c>
      <c r="O77" s="27">
        <v>5000</v>
      </c>
      <c r="P77" s="27"/>
      <c r="Q77" s="34"/>
      <c r="R77" s="30">
        <v>5000</v>
      </c>
      <c r="S77" s="31"/>
      <c r="T77" s="27"/>
      <c r="U77" s="31"/>
      <c r="V77" s="32">
        <v>5000</v>
      </c>
      <c r="W77" s="33">
        <v>0</v>
      </c>
      <c r="Y77" s="25" t="s">
        <v>357</v>
      </c>
      <c r="Z77" s="26" t="s">
        <v>358</v>
      </c>
      <c r="AA77" s="27">
        <v>5000</v>
      </c>
      <c r="AB77" s="27"/>
      <c r="AC77" s="34"/>
      <c r="AD77" s="30">
        <v>5000</v>
      </c>
      <c r="AE77" s="31">
        <v>0</v>
      </c>
      <c r="AF77" s="27"/>
      <c r="AG77" s="31"/>
      <c r="AH77" s="32">
        <v>5000</v>
      </c>
      <c r="AI77" s="33">
        <v>0</v>
      </c>
    </row>
    <row r="78" spans="1:35" x14ac:dyDescent="0.25">
      <c r="A78" s="25" t="s">
        <v>359</v>
      </c>
      <c r="B78" s="26" t="s">
        <v>360</v>
      </c>
      <c r="C78" s="27"/>
      <c r="D78" s="27"/>
      <c r="E78" s="34"/>
      <c r="F78" s="30">
        <f t="shared" si="11"/>
        <v>0</v>
      </c>
      <c r="G78" s="31">
        <v>3915105</v>
      </c>
      <c r="H78" s="27">
        <v>644050</v>
      </c>
      <c r="I78" s="31">
        <v>3915105</v>
      </c>
      <c r="J78" s="32">
        <f t="shared" si="12"/>
        <v>-3915105</v>
      </c>
      <c r="K78" s="33" t="e">
        <f t="shared" si="18"/>
        <v>#DIV/0!</v>
      </c>
      <c r="L78" s="113">
        <f t="shared" si="19"/>
        <v>0</v>
      </c>
      <c r="M78" s="25" t="s">
        <v>359</v>
      </c>
      <c r="N78" s="26" t="s">
        <v>360</v>
      </c>
      <c r="O78" s="27"/>
      <c r="P78" s="27"/>
      <c r="Q78" s="34"/>
      <c r="R78" s="30">
        <v>0</v>
      </c>
      <c r="S78" s="31">
        <v>3271055</v>
      </c>
      <c r="T78" s="27"/>
      <c r="U78" s="31">
        <v>3271055</v>
      </c>
      <c r="V78" s="32">
        <v>-3271055</v>
      </c>
      <c r="W78" s="33" t="e">
        <v>#DIV/0!</v>
      </c>
      <c r="Y78" s="25" t="s">
        <v>359</v>
      </c>
      <c r="Z78" s="26" t="s">
        <v>360</v>
      </c>
      <c r="AA78" s="27"/>
      <c r="AB78" s="27"/>
      <c r="AC78" s="34"/>
      <c r="AD78" s="30">
        <v>0</v>
      </c>
      <c r="AE78" s="31">
        <v>3915105</v>
      </c>
      <c r="AF78" s="27">
        <v>644050</v>
      </c>
      <c r="AG78" s="31">
        <v>3915105</v>
      </c>
      <c r="AH78" s="32">
        <v>-3915105</v>
      </c>
      <c r="AI78" s="33" t="e">
        <v>#DIV/0!</v>
      </c>
    </row>
    <row r="79" spans="1:35" x14ac:dyDescent="0.25">
      <c r="A79" s="25" t="s">
        <v>361</v>
      </c>
      <c r="B79" s="26" t="s">
        <v>362</v>
      </c>
      <c r="C79" s="27"/>
      <c r="D79" s="27"/>
      <c r="E79" s="34"/>
      <c r="F79" s="30">
        <f>+C79+D79</f>
        <v>0</v>
      </c>
      <c r="G79" s="31">
        <v>505153</v>
      </c>
      <c r="H79" s="27"/>
      <c r="I79" s="31">
        <v>505153</v>
      </c>
      <c r="J79" s="32">
        <f>SUM(F79-I79)</f>
        <v>-505153</v>
      </c>
      <c r="K79" s="33" t="e">
        <f t="shared" si="18"/>
        <v>#DIV/0!</v>
      </c>
      <c r="L79" s="113">
        <f t="shared" si="19"/>
        <v>0</v>
      </c>
      <c r="M79" s="25" t="s">
        <v>361</v>
      </c>
      <c r="N79" s="26" t="s">
        <v>362</v>
      </c>
      <c r="O79" s="27"/>
      <c r="P79" s="27"/>
      <c r="Q79" s="34"/>
      <c r="R79" s="30">
        <v>0</v>
      </c>
      <c r="S79" s="31">
        <v>505153</v>
      </c>
      <c r="T79" s="27"/>
      <c r="U79" s="31">
        <v>505153</v>
      </c>
      <c r="V79" s="32">
        <v>-505153</v>
      </c>
      <c r="W79" s="33" t="e">
        <v>#DIV/0!</v>
      </c>
      <c r="Y79" s="25" t="s">
        <v>361</v>
      </c>
      <c r="Z79" s="26" t="s">
        <v>362</v>
      </c>
      <c r="AA79" s="27"/>
      <c r="AB79" s="27"/>
      <c r="AC79" s="34"/>
      <c r="AD79" s="30">
        <v>0</v>
      </c>
      <c r="AE79" s="31">
        <v>505153</v>
      </c>
      <c r="AF79" s="27"/>
      <c r="AG79" s="31">
        <v>505153</v>
      </c>
      <c r="AH79" s="32">
        <v>-505153</v>
      </c>
      <c r="AI79" s="33" t="e">
        <v>#DIV/0!</v>
      </c>
    </row>
    <row r="80" spans="1:35" x14ac:dyDescent="0.25">
      <c r="A80" s="25" t="s">
        <v>363</v>
      </c>
      <c r="B80" s="26" t="s">
        <v>364</v>
      </c>
      <c r="C80" s="27">
        <v>128167513</v>
      </c>
      <c r="D80" s="27"/>
      <c r="E80" s="34"/>
      <c r="F80" s="30">
        <f t="shared" ref="F80:F148" si="20">+C80+D80</f>
        <v>128167513</v>
      </c>
      <c r="G80" s="31">
        <v>150319778</v>
      </c>
      <c r="H80" s="27">
        <v>32511900</v>
      </c>
      <c r="I80" s="31">
        <v>150319778</v>
      </c>
      <c r="J80" s="32">
        <f t="shared" ref="J80:J131" si="21">SUM(F80-I80)</f>
        <v>-22152265</v>
      </c>
      <c r="K80" s="33">
        <f t="shared" si="18"/>
        <v>1.172838377537996</v>
      </c>
      <c r="L80" s="113">
        <f t="shared" si="19"/>
        <v>0</v>
      </c>
      <c r="M80" s="25" t="s">
        <v>363</v>
      </c>
      <c r="N80" s="26" t="s">
        <v>364</v>
      </c>
      <c r="O80" s="27">
        <v>128167513</v>
      </c>
      <c r="P80" s="27"/>
      <c r="Q80" s="34"/>
      <c r="R80" s="30">
        <v>128167513</v>
      </c>
      <c r="S80" s="31">
        <v>37121400</v>
      </c>
      <c r="T80" s="27">
        <v>80686478</v>
      </c>
      <c r="U80" s="31">
        <v>117807878</v>
      </c>
      <c r="V80" s="32">
        <v>10359635</v>
      </c>
      <c r="W80" s="33">
        <v>0.91917113192326672</v>
      </c>
      <c r="Y80" s="25" t="s">
        <v>363</v>
      </c>
      <c r="Z80" s="26" t="s">
        <v>364</v>
      </c>
      <c r="AA80" s="27">
        <v>128167513</v>
      </c>
      <c r="AB80" s="27"/>
      <c r="AC80" s="34"/>
      <c r="AD80" s="30">
        <v>128167513</v>
      </c>
      <c r="AE80" s="31">
        <v>150319778</v>
      </c>
      <c r="AF80" s="27">
        <v>32511900</v>
      </c>
      <c r="AG80" s="31">
        <v>150319778</v>
      </c>
      <c r="AH80" s="32">
        <v>-22152265</v>
      </c>
      <c r="AI80" s="33">
        <v>1.172838377537996</v>
      </c>
    </row>
    <row r="81" spans="1:35" s="20" customFormat="1" x14ac:dyDescent="0.25">
      <c r="A81" s="16" t="s">
        <v>365</v>
      </c>
      <c r="B81" s="17" t="s">
        <v>366</v>
      </c>
      <c r="C81" s="18">
        <f>SUM(C82)</f>
        <v>230000000</v>
      </c>
      <c r="D81" s="18">
        <f t="shared" ref="D81:J82" si="22">SUM(D82)</f>
        <v>0</v>
      </c>
      <c r="E81" s="18">
        <f t="shared" si="22"/>
        <v>0</v>
      </c>
      <c r="F81" s="18">
        <f t="shared" si="22"/>
        <v>230000000</v>
      </c>
      <c r="G81" s="18">
        <f t="shared" si="22"/>
        <v>39934060</v>
      </c>
      <c r="H81" s="18">
        <f t="shared" si="22"/>
        <v>0</v>
      </c>
      <c r="I81" s="18">
        <f t="shared" si="22"/>
        <v>39934060</v>
      </c>
      <c r="J81" s="18">
        <f t="shared" si="22"/>
        <v>190065940</v>
      </c>
      <c r="K81" s="19">
        <f t="shared" si="18"/>
        <v>0.17362634782608696</v>
      </c>
      <c r="L81" s="113">
        <f t="shared" si="19"/>
        <v>0</v>
      </c>
      <c r="M81" s="16" t="s">
        <v>365</v>
      </c>
      <c r="N81" s="17" t="s">
        <v>366</v>
      </c>
      <c r="O81" s="18">
        <v>230000000</v>
      </c>
      <c r="P81" s="18">
        <v>0</v>
      </c>
      <c r="Q81" s="18">
        <v>0</v>
      </c>
      <c r="R81" s="18">
        <v>230000000</v>
      </c>
      <c r="S81" s="18">
        <v>39934060</v>
      </c>
      <c r="T81" s="18">
        <v>0</v>
      </c>
      <c r="U81" s="18">
        <v>39934060</v>
      </c>
      <c r="V81" s="18">
        <v>190065940</v>
      </c>
      <c r="W81" s="19">
        <v>0.17362634782608696</v>
      </c>
      <c r="Y81" s="16" t="s">
        <v>365</v>
      </c>
      <c r="Z81" s="17" t="s">
        <v>366</v>
      </c>
      <c r="AA81" s="18">
        <v>230000000</v>
      </c>
      <c r="AB81" s="18">
        <v>0</v>
      </c>
      <c r="AC81" s="18">
        <v>0</v>
      </c>
      <c r="AD81" s="18">
        <v>230000000</v>
      </c>
      <c r="AE81" s="18">
        <v>39934060</v>
      </c>
      <c r="AF81" s="18">
        <v>0</v>
      </c>
      <c r="AG81" s="18">
        <v>39934060</v>
      </c>
      <c r="AH81" s="18">
        <v>190065940</v>
      </c>
      <c r="AI81" s="19">
        <v>0.17362634782608696</v>
      </c>
    </row>
    <row r="82" spans="1:35" x14ac:dyDescent="0.25">
      <c r="A82" s="21" t="s">
        <v>367</v>
      </c>
      <c r="B82" s="22" t="s">
        <v>368</v>
      </c>
      <c r="C82" s="23">
        <f>SUM(C83)</f>
        <v>230000000</v>
      </c>
      <c r="D82" s="23">
        <f t="shared" si="22"/>
        <v>0</v>
      </c>
      <c r="E82" s="23">
        <f t="shared" si="22"/>
        <v>0</v>
      </c>
      <c r="F82" s="23">
        <f t="shared" si="22"/>
        <v>230000000</v>
      </c>
      <c r="G82" s="23">
        <f t="shared" si="22"/>
        <v>39934060</v>
      </c>
      <c r="H82" s="23">
        <f t="shared" si="22"/>
        <v>0</v>
      </c>
      <c r="I82" s="23">
        <f t="shared" si="22"/>
        <v>39934060</v>
      </c>
      <c r="J82" s="23">
        <f t="shared" si="22"/>
        <v>190065940</v>
      </c>
      <c r="K82" s="36">
        <f t="shared" si="18"/>
        <v>0.17362634782608696</v>
      </c>
      <c r="L82" s="113">
        <f t="shared" si="19"/>
        <v>0</v>
      </c>
      <c r="M82" s="21" t="s">
        <v>367</v>
      </c>
      <c r="N82" s="22" t="s">
        <v>368</v>
      </c>
      <c r="O82" s="23">
        <v>230000000</v>
      </c>
      <c r="P82" s="23">
        <v>0</v>
      </c>
      <c r="Q82" s="23">
        <v>0</v>
      </c>
      <c r="R82" s="23">
        <v>230000000</v>
      </c>
      <c r="S82" s="23">
        <v>39934060</v>
      </c>
      <c r="T82" s="23">
        <v>0</v>
      </c>
      <c r="U82" s="23">
        <v>39934060</v>
      </c>
      <c r="V82" s="23">
        <v>190065940</v>
      </c>
      <c r="W82" s="36">
        <v>0.17362634782608696</v>
      </c>
      <c r="Y82" s="21" t="s">
        <v>367</v>
      </c>
      <c r="Z82" s="22" t="s">
        <v>368</v>
      </c>
      <c r="AA82" s="23">
        <v>230000000</v>
      </c>
      <c r="AB82" s="23">
        <v>0</v>
      </c>
      <c r="AC82" s="23">
        <v>0</v>
      </c>
      <c r="AD82" s="23">
        <v>230000000</v>
      </c>
      <c r="AE82" s="23">
        <v>39934060</v>
      </c>
      <c r="AF82" s="23">
        <v>0</v>
      </c>
      <c r="AG82" s="23">
        <v>39934060</v>
      </c>
      <c r="AH82" s="23">
        <v>190065940</v>
      </c>
      <c r="AI82" s="36">
        <v>0.17362634782608696</v>
      </c>
    </row>
    <row r="83" spans="1:35" x14ac:dyDescent="0.25">
      <c r="A83" s="25" t="s">
        <v>369</v>
      </c>
      <c r="B83" s="26" t="s">
        <v>370</v>
      </c>
      <c r="C83" s="27">
        <v>230000000</v>
      </c>
      <c r="D83" s="27"/>
      <c r="E83" s="34"/>
      <c r="F83" s="30">
        <f t="shared" si="20"/>
        <v>230000000</v>
      </c>
      <c r="G83" s="31">
        <v>39934060</v>
      </c>
      <c r="H83" s="27"/>
      <c r="I83" s="31">
        <v>39934060</v>
      </c>
      <c r="J83" s="32">
        <f t="shared" si="21"/>
        <v>190065940</v>
      </c>
      <c r="K83" s="33">
        <f t="shared" si="18"/>
        <v>0.17362634782608696</v>
      </c>
      <c r="L83" s="113">
        <f t="shared" si="19"/>
        <v>0</v>
      </c>
      <c r="M83" s="25" t="s">
        <v>369</v>
      </c>
      <c r="N83" s="26" t="s">
        <v>370</v>
      </c>
      <c r="O83" s="27">
        <v>230000000</v>
      </c>
      <c r="P83" s="27"/>
      <c r="Q83" s="34"/>
      <c r="R83" s="30">
        <v>230000000</v>
      </c>
      <c r="S83" s="31">
        <v>39934060</v>
      </c>
      <c r="T83" s="27"/>
      <c r="U83" s="31">
        <v>39934060</v>
      </c>
      <c r="V83" s="32">
        <v>190065940</v>
      </c>
      <c r="W83" s="33">
        <v>0.17362634782608696</v>
      </c>
      <c r="Y83" s="25" t="s">
        <v>369</v>
      </c>
      <c r="Z83" s="26" t="s">
        <v>370</v>
      </c>
      <c r="AA83" s="27">
        <v>230000000</v>
      </c>
      <c r="AB83" s="27"/>
      <c r="AC83" s="34"/>
      <c r="AD83" s="30">
        <v>230000000</v>
      </c>
      <c r="AE83" s="31">
        <v>39934060</v>
      </c>
      <c r="AF83" s="27"/>
      <c r="AG83" s="31">
        <v>39934060</v>
      </c>
      <c r="AH83" s="32">
        <v>190065940</v>
      </c>
      <c r="AI83" s="33">
        <v>0.17362634782608696</v>
      </c>
    </row>
    <row r="84" spans="1:35" s="20" customFormat="1" x14ac:dyDescent="0.25">
      <c r="A84" s="16" t="s">
        <v>371</v>
      </c>
      <c r="B84" s="17" t="s">
        <v>372</v>
      </c>
      <c r="C84" s="18">
        <f>SUM(C87+C105+C110)</f>
        <v>1693296796</v>
      </c>
      <c r="D84" s="18">
        <f t="shared" ref="D84:J84" si="23">SUM(D87+D105+D110)</f>
        <v>0</v>
      </c>
      <c r="E84" s="18">
        <f t="shared" si="23"/>
        <v>0</v>
      </c>
      <c r="F84" s="18">
        <f t="shared" si="23"/>
        <v>1693296796</v>
      </c>
      <c r="G84" s="18">
        <f t="shared" si="23"/>
        <v>853317624</v>
      </c>
      <c r="H84" s="18">
        <f t="shared" si="23"/>
        <v>102718217</v>
      </c>
      <c r="I84" s="18">
        <f t="shared" si="23"/>
        <v>853317624</v>
      </c>
      <c r="J84" s="18">
        <f t="shared" si="23"/>
        <v>839979172</v>
      </c>
      <c r="K84" s="19">
        <f t="shared" si="18"/>
        <v>0.50393860427525428</v>
      </c>
      <c r="L84" s="113">
        <f t="shared" si="19"/>
        <v>0</v>
      </c>
      <c r="M84" s="16" t="s">
        <v>371</v>
      </c>
      <c r="N84" s="17" t="s">
        <v>372</v>
      </c>
      <c r="O84" s="18">
        <v>1693296796</v>
      </c>
      <c r="P84" s="18">
        <v>0</v>
      </c>
      <c r="Q84" s="18">
        <v>0</v>
      </c>
      <c r="R84" s="18">
        <v>1693296796</v>
      </c>
      <c r="S84" s="18">
        <v>535096053</v>
      </c>
      <c r="T84" s="18">
        <v>90987394</v>
      </c>
      <c r="U84" s="18">
        <v>626083447</v>
      </c>
      <c r="V84" s="18">
        <v>-88213847</v>
      </c>
      <c r="W84" s="19">
        <v>0.36974229708517087</v>
      </c>
      <c r="Y84" s="16" t="s">
        <v>371</v>
      </c>
      <c r="Z84" s="17" t="s">
        <v>372</v>
      </c>
      <c r="AA84" s="18">
        <v>1693296796</v>
      </c>
      <c r="AB84" s="18">
        <v>0</v>
      </c>
      <c r="AC84" s="18">
        <v>0</v>
      </c>
      <c r="AD84" s="18">
        <v>1693296796</v>
      </c>
      <c r="AE84" s="18">
        <v>947782638</v>
      </c>
      <c r="AF84" s="18">
        <v>125576117</v>
      </c>
      <c r="AG84" s="18">
        <v>947782638</v>
      </c>
      <c r="AH84" s="18">
        <v>839979172</v>
      </c>
      <c r="AI84" s="19">
        <v>0.55972623360470819</v>
      </c>
    </row>
    <row r="85" spans="1:35" x14ac:dyDescent="0.25">
      <c r="A85" s="16">
        <v>1125202</v>
      </c>
      <c r="B85" s="17" t="s">
        <v>883</v>
      </c>
      <c r="C85" s="18">
        <f>+C86</f>
        <v>0</v>
      </c>
      <c r="D85" s="18">
        <f t="shared" ref="D85:K85" si="24">+D86</f>
        <v>0</v>
      </c>
      <c r="E85" s="18">
        <f t="shared" si="24"/>
        <v>0</v>
      </c>
      <c r="F85" s="18">
        <f t="shared" si="24"/>
        <v>0</v>
      </c>
      <c r="G85" s="18">
        <f t="shared" si="24"/>
        <v>10869600</v>
      </c>
      <c r="H85" s="18">
        <f t="shared" si="24"/>
        <v>0</v>
      </c>
      <c r="I85" s="18">
        <f t="shared" si="24"/>
        <v>10869600</v>
      </c>
      <c r="J85" s="18">
        <f t="shared" si="24"/>
        <v>0</v>
      </c>
      <c r="K85" s="18">
        <f t="shared" si="24"/>
        <v>0</v>
      </c>
      <c r="L85" s="113">
        <f t="shared" si="19"/>
        <v>0</v>
      </c>
      <c r="M85" s="16">
        <v>1125202</v>
      </c>
      <c r="N85" s="17" t="s">
        <v>883</v>
      </c>
      <c r="O85" s="18">
        <v>0</v>
      </c>
      <c r="P85" s="18">
        <v>0</v>
      </c>
      <c r="Q85" s="18">
        <v>0</v>
      </c>
      <c r="R85" s="18">
        <v>0</v>
      </c>
      <c r="S85" s="18">
        <v>10869600</v>
      </c>
      <c r="T85" s="18">
        <v>0</v>
      </c>
      <c r="U85" s="18">
        <v>10869600</v>
      </c>
      <c r="V85" s="18">
        <v>0</v>
      </c>
      <c r="W85" s="18">
        <v>0</v>
      </c>
      <c r="Y85" s="16">
        <v>1125202</v>
      </c>
      <c r="Z85" s="17" t="s">
        <v>883</v>
      </c>
      <c r="AA85" s="18">
        <v>0</v>
      </c>
      <c r="AB85" s="18">
        <v>0</v>
      </c>
      <c r="AC85" s="18">
        <v>0</v>
      </c>
      <c r="AD85" s="18">
        <v>0</v>
      </c>
      <c r="AE85" s="18">
        <v>10869600</v>
      </c>
      <c r="AF85" s="18">
        <v>0</v>
      </c>
      <c r="AG85" s="18">
        <v>10869600</v>
      </c>
      <c r="AH85" s="18">
        <v>0</v>
      </c>
      <c r="AI85" s="18">
        <v>0</v>
      </c>
    </row>
    <row r="86" spans="1:35" x14ac:dyDescent="0.25">
      <c r="A86" s="146">
        <v>112520201</v>
      </c>
      <c r="B86" s="147" t="s">
        <v>884</v>
      </c>
      <c r="C86" s="18"/>
      <c r="D86" s="18"/>
      <c r="E86" s="18"/>
      <c r="F86" s="18">
        <f t="shared" si="20"/>
        <v>0</v>
      </c>
      <c r="G86" s="18">
        <v>10869600</v>
      </c>
      <c r="H86" s="18"/>
      <c r="I86" s="18">
        <v>10869600</v>
      </c>
      <c r="J86" s="18"/>
      <c r="K86" s="19"/>
      <c r="L86" s="113">
        <f t="shared" si="19"/>
        <v>0</v>
      </c>
      <c r="M86" s="146">
        <v>112520201</v>
      </c>
      <c r="N86" s="147" t="s">
        <v>884</v>
      </c>
      <c r="O86" s="18"/>
      <c r="P86" s="18"/>
      <c r="Q86" s="18"/>
      <c r="R86" s="18">
        <v>0</v>
      </c>
      <c r="S86" s="18">
        <v>10869600</v>
      </c>
      <c r="T86" s="18"/>
      <c r="U86" s="18">
        <v>10869600</v>
      </c>
      <c r="V86" s="18"/>
      <c r="W86" s="19"/>
      <c r="Y86" s="146">
        <v>112520201</v>
      </c>
      <c r="Z86" s="147" t="s">
        <v>884</v>
      </c>
      <c r="AA86" s="18"/>
      <c r="AB86" s="18"/>
      <c r="AC86" s="18"/>
      <c r="AD86" s="18">
        <v>0</v>
      </c>
      <c r="AE86" s="18">
        <v>10869600</v>
      </c>
      <c r="AF86" s="18"/>
      <c r="AG86" s="18">
        <v>10869600</v>
      </c>
      <c r="AH86" s="18"/>
      <c r="AI86" s="19"/>
    </row>
    <row r="87" spans="1:35" x14ac:dyDescent="0.25">
      <c r="A87" s="16" t="s">
        <v>373</v>
      </c>
      <c r="B87" s="17" t="s">
        <v>374</v>
      </c>
      <c r="C87" s="18">
        <f>SUM(C94+C88)</f>
        <v>346400000</v>
      </c>
      <c r="D87" s="18">
        <f t="shared" ref="D87:J87" si="25">SUM(D94+D88)</f>
        <v>0</v>
      </c>
      <c r="E87" s="18">
        <f t="shared" si="25"/>
        <v>0</v>
      </c>
      <c r="F87" s="18">
        <f t="shared" si="25"/>
        <v>346400000</v>
      </c>
      <c r="G87" s="18">
        <f t="shared" si="25"/>
        <v>382994153</v>
      </c>
      <c r="H87" s="18">
        <f t="shared" si="25"/>
        <v>31485800</v>
      </c>
      <c r="I87" s="18">
        <f t="shared" si="25"/>
        <v>382994153</v>
      </c>
      <c r="J87" s="18">
        <f t="shared" si="25"/>
        <v>-36594153</v>
      </c>
      <c r="K87" s="19">
        <f t="shared" si="18"/>
        <v>1.1056413192840646</v>
      </c>
      <c r="L87" s="113">
        <f t="shared" si="19"/>
        <v>0</v>
      </c>
      <c r="M87" s="16" t="s">
        <v>373</v>
      </c>
      <c r="N87" s="17" t="s">
        <v>374</v>
      </c>
      <c r="O87" s="18">
        <v>346400000</v>
      </c>
      <c r="P87" s="18">
        <v>0</v>
      </c>
      <c r="Q87" s="18">
        <v>0</v>
      </c>
      <c r="R87" s="18">
        <v>346400000</v>
      </c>
      <c r="S87" s="18">
        <v>297651451</v>
      </c>
      <c r="T87" s="18">
        <v>53856902</v>
      </c>
      <c r="U87" s="18">
        <v>351508353</v>
      </c>
      <c r="V87" s="18">
        <v>-5108353</v>
      </c>
      <c r="W87" s="19">
        <v>1.0147469774826789</v>
      </c>
      <c r="Y87" s="16" t="s">
        <v>373</v>
      </c>
      <c r="Z87" s="17" t="s">
        <v>374</v>
      </c>
      <c r="AA87" s="18">
        <v>346400000</v>
      </c>
      <c r="AB87" s="18">
        <v>0</v>
      </c>
      <c r="AC87" s="18">
        <v>0</v>
      </c>
      <c r="AD87" s="18">
        <v>346400000</v>
      </c>
      <c r="AE87" s="18">
        <v>382994153</v>
      </c>
      <c r="AF87" s="18">
        <v>31485800</v>
      </c>
      <c r="AG87" s="18">
        <v>382994153</v>
      </c>
      <c r="AH87" s="18">
        <v>-36594153</v>
      </c>
      <c r="AI87" s="19">
        <v>1.1056413192840646</v>
      </c>
    </row>
    <row r="88" spans="1:35" x14ac:dyDescent="0.25">
      <c r="A88" s="21" t="s">
        <v>375</v>
      </c>
      <c r="B88" s="22" t="s">
        <v>46</v>
      </c>
      <c r="C88" s="23">
        <f>SUM(C89:C93)</f>
        <v>180600000</v>
      </c>
      <c r="D88" s="23">
        <f t="shared" ref="D88:J88" si="26">SUM(D89:D93)</f>
        <v>0</v>
      </c>
      <c r="E88" s="23">
        <f t="shared" si="26"/>
        <v>0</v>
      </c>
      <c r="F88" s="23">
        <f t="shared" si="26"/>
        <v>180600000</v>
      </c>
      <c r="G88" s="23">
        <f t="shared" si="26"/>
        <v>265147994</v>
      </c>
      <c r="H88" s="23">
        <f t="shared" si="26"/>
        <v>1442500</v>
      </c>
      <c r="I88" s="23">
        <f t="shared" si="26"/>
        <v>265147994</v>
      </c>
      <c r="J88" s="23">
        <f t="shared" si="26"/>
        <v>-84547994</v>
      </c>
      <c r="K88" s="36">
        <f t="shared" si="18"/>
        <v>1.4681505758582503</v>
      </c>
      <c r="L88" s="113">
        <f t="shared" si="19"/>
        <v>0</v>
      </c>
      <c r="M88" s="21" t="s">
        <v>375</v>
      </c>
      <c r="N88" s="22" t="s">
        <v>46</v>
      </c>
      <c r="O88" s="23">
        <v>180600000</v>
      </c>
      <c r="P88" s="23">
        <v>0</v>
      </c>
      <c r="Q88" s="23">
        <v>0</v>
      </c>
      <c r="R88" s="23">
        <v>180600000</v>
      </c>
      <c r="S88" s="23">
        <v>226575002</v>
      </c>
      <c r="T88" s="23">
        <v>37130492</v>
      </c>
      <c r="U88" s="23">
        <v>263705494</v>
      </c>
      <c r="V88" s="23">
        <v>-83105494</v>
      </c>
      <c r="W88" s="36">
        <v>1.460163311184939</v>
      </c>
      <c r="Y88" s="21" t="s">
        <v>375</v>
      </c>
      <c r="Z88" s="22" t="s">
        <v>46</v>
      </c>
      <c r="AA88" s="23">
        <v>180600000</v>
      </c>
      <c r="AB88" s="23">
        <v>0</v>
      </c>
      <c r="AC88" s="23">
        <v>0</v>
      </c>
      <c r="AD88" s="23">
        <v>180600000</v>
      </c>
      <c r="AE88" s="23">
        <v>265147994</v>
      </c>
      <c r="AF88" s="23">
        <v>1442500</v>
      </c>
      <c r="AG88" s="23">
        <v>265147994</v>
      </c>
      <c r="AH88" s="23">
        <v>-84547994</v>
      </c>
      <c r="AI88" s="36">
        <v>1.4681505758582503</v>
      </c>
    </row>
    <row r="89" spans="1:35" x14ac:dyDescent="0.25">
      <c r="A89" s="25" t="s">
        <v>376</v>
      </c>
      <c r="B89" s="26" t="s">
        <v>47</v>
      </c>
      <c r="C89" s="27">
        <v>169000000</v>
      </c>
      <c r="D89" s="27"/>
      <c r="E89" s="34"/>
      <c r="F89" s="30">
        <f t="shared" si="20"/>
        <v>169000000</v>
      </c>
      <c r="G89" s="31">
        <v>226922594</v>
      </c>
      <c r="H89" s="27"/>
      <c r="I89" s="31">
        <v>226922594</v>
      </c>
      <c r="J89" s="32">
        <f t="shared" si="21"/>
        <v>-57922594</v>
      </c>
      <c r="K89" s="33">
        <f t="shared" si="18"/>
        <v>1.3427372426035502</v>
      </c>
      <c r="L89" s="113">
        <f t="shared" si="19"/>
        <v>0</v>
      </c>
      <c r="M89" s="25" t="s">
        <v>376</v>
      </c>
      <c r="N89" s="26" t="s">
        <v>47</v>
      </c>
      <c r="O89" s="27">
        <v>169000000</v>
      </c>
      <c r="P89" s="27"/>
      <c r="Q89" s="34"/>
      <c r="R89" s="30">
        <v>169000000</v>
      </c>
      <c r="S89" s="31">
        <v>201567102</v>
      </c>
      <c r="T89" s="27">
        <v>25355492</v>
      </c>
      <c r="U89" s="31">
        <v>226922594</v>
      </c>
      <c r="V89" s="32">
        <v>-57922594</v>
      </c>
      <c r="W89" s="33">
        <v>1.3427372426035502</v>
      </c>
      <c r="Y89" s="25" t="s">
        <v>376</v>
      </c>
      <c r="Z89" s="26" t="s">
        <v>47</v>
      </c>
      <c r="AA89" s="27">
        <v>169000000</v>
      </c>
      <c r="AB89" s="27"/>
      <c r="AC89" s="34"/>
      <c r="AD89" s="30">
        <v>169000000</v>
      </c>
      <c r="AE89" s="31">
        <v>226922594</v>
      </c>
      <c r="AF89" s="27"/>
      <c r="AG89" s="31">
        <v>226922594</v>
      </c>
      <c r="AH89" s="32">
        <v>-57922594</v>
      </c>
      <c r="AI89" s="33">
        <v>1.3427372426035502</v>
      </c>
    </row>
    <row r="90" spans="1:35" x14ac:dyDescent="0.25">
      <c r="A90" s="25" t="s">
        <v>377</v>
      </c>
      <c r="B90" s="26" t="s">
        <v>48</v>
      </c>
      <c r="C90" s="27">
        <v>200000</v>
      </c>
      <c r="D90" s="27"/>
      <c r="E90" s="34"/>
      <c r="F90" s="30">
        <f t="shared" si="20"/>
        <v>200000</v>
      </c>
      <c r="G90" s="31">
        <v>0</v>
      </c>
      <c r="H90" s="27"/>
      <c r="I90" s="31"/>
      <c r="J90" s="32">
        <f t="shared" si="21"/>
        <v>200000</v>
      </c>
      <c r="K90" s="33">
        <f t="shared" si="18"/>
        <v>0</v>
      </c>
      <c r="L90" s="113">
        <f t="shared" si="19"/>
        <v>0</v>
      </c>
      <c r="M90" s="25" t="s">
        <v>377</v>
      </c>
      <c r="N90" s="26" t="s">
        <v>48</v>
      </c>
      <c r="O90" s="27">
        <v>200000</v>
      </c>
      <c r="P90" s="27"/>
      <c r="Q90" s="34"/>
      <c r="R90" s="30">
        <v>200000</v>
      </c>
      <c r="S90" s="31"/>
      <c r="T90" s="27"/>
      <c r="U90" s="31"/>
      <c r="V90" s="32">
        <v>200000</v>
      </c>
      <c r="W90" s="33">
        <v>0</v>
      </c>
      <c r="Y90" s="25" t="s">
        <v>377</v>
      </c>
      <c r="Z90" s="26" t="s">
        <v>48</v>
      </c>
      <c r="AA90" s="27">
        <v>200000</v>
      </c>
      <c r="AB90" s="27"/>
      <c r="AC90" s="34"/>
      <c r="AD90" s="30">
        <v>200000</v>
      </c>
      <c r="AE90" s="31">
        <v>0</v>
      </c>
      <c r="AF90" s="27"/>
      <c r="AG90" s="31"/>
      <c r="AH90" s="32">
        <v>200000</v>
      </c>
      <c r="AI90" s="33">
        <v>0</v>
      </c>
    </row>
    <row r="91" spans="1:35" s="20" customFormat="1" x14ac:dyDescent="0.25">
      <c r="A91" s="25" t="s">
        <v>378</v>
      </c>
      <c r="B91" s="26" t="s">
        <v>49</v>
      </c>
      <c r="C91" s="27">
        <v>200000</v>
      </c>
      <c r="D91" s="27"/>
      <c r="E91" s="34"/>
      <c r="F91" s="30">
        <f t="shared" si="20"/>
        <v>200000</v>
      </c>
      <c r="G91" s="31">
        <v>1691000</v>
      </c>
      <c r="H91" s="27">
        <v>200000</v>
      </c>
      <c r="I91" s="31">
        <v>1691000</v>
      </c>
      <c r="J91" s="32">
        <f t="shared" si="21"/>
        <v>-1491000</v>
      </c>
      <c r="K91" s="33">
        <f t="shared" si="18"/>
        <v>8.4550000000000001</v>
      </c>
      <c r="L91" s="113">
        <f t="shared" si="19"/>
        <v>0</v>
      </c>
      <c r="M91" s="25" t="s">
        <v>378</v>
      </c>
      <c r="N91" s="26" t="s">
        <v>49</v>
      </c>
      <c r="O91" s="27">
        <v>200000</v>
      </c>
      <c r="P91" s="27"/>
      <c r="Q91" s="34"/>
      <c r="R91" s="30">
        <v>200000</v>
      </c>
      <c r="S91" s="31">
        <v>1491000</v>
      </c>
      <c r="T91" s="27"/>
      <c r="U91" s="31">
        <v>1491000</v>
      </c>
      <c r="V91" s="32">
        <v>-1291000</v>
      </c>
      <c r="W91" s="33">
        <v>7.4550000000000001</v>
      </c>
      <c r="Y91" s="25" t="s">
        <v>378</v>
      </c>
      <c r="Z91" s="26" t="s">
        <v>49</v>
      </c>
      <c r="AA91" s="27">
        <v>200000</v>
      </c>
      <c r="AB91" s="27"/>
      <c r="AC91" s="34"/>
      <c r="AD91" s="30">
        <v>200000</v>
      </c>
      <c r="AE91" s="31">
        <v>1691000</v>
      </c>
      <c r="AF91" s="27">
        <v>200000</v>
      </c>
      <c r="AG91" s="31">
        <v>1691000</v>
      </c>
      <c r="AH91" s="32">
        <v>-1491000</v>
      </c>
      <c r="AI91" s="33">
        <v>8.4550000000000001</v>
      </c>
    </row>
    <row r="92" spans="1:35" x14ac:dyDescent="0.25">
      <c r="A92" s="25" t="s">
        <v>379</v>
      </c>
      <c r="B92" s="26" t="s">
        <v>50</v>
      </c>
      <c r="C92" s="27">
        <v>10000000</v>
      </c>
      <c r="D92" s="27"/>
      <c r="E92" s="34"/>
      <c r="F92" s="30">
        <f t="shared" si="20"/>
        <v>10000000</v>
      </c>
      <c r="G92" s="31">
        <v>28080400</v>
      </c>
      <c r="H92" s="27">
        <v>42500</v>
      </c>
      <c r="I92" s="31">
        <v>28080400</v>
      </c>
      <c r="J92" s="32">
        <f t="shared" si="21"/>
        <v>-18080400</v>
      </c>
      <c r="K92" s="33">
        <f t="shared" si="18"/>
        <v>2.8080400000000001</v>
      </c>
      <c r="L92" s="113">
        <f t="shared" si="19"/>
        <v>0</v>
      </c>
      <c r="M92" s="25" t="s">
        <v>379</v>
      </c>
      <c r="N92" s="26" t="s">
        <v>50</v>
      </c>
      <c r="O92" s="27">
        <v>10000000</v>
      </c>
      <c r="P92" s="27"/>
      <c r="Q92" s="34"/>
      <c r="R92" s="30">
        <v>10000000</v>
      </c>
      <c r="S92" s="31">
        <v>22862900</v>
      </c>
      <c r="T92" s="27">
        <v>5175000</v>
      </c>
      <c r="U92" s="31">
        <v>28037900</v>
      </c>
      <c r="V92" s="32">
        <v>-18037900</v>
      </c>
      <c r="W92" s="33">
        <v>2.8037899999999998</v>
      </c>
      <c r="Y92" s="25" t="s">
        <v>379</v>
      </c>
      <c r="Z92" s="26" t="s">
        <v>50</v>
      </c>
      <c r="AA92" s="27">
        <v>10000000</v>
      </c>
      <c r="AB92" s="27"/>
      <c r="AC92" s="34"/>
      <c r="AD92" s="30">
        <v>10000000</v>
      </c>
      <c r="AE92" s="31">
        <v>28080400</v>
      </c>
      <c r="AF92" s="27">
        <v>42500</v>
      </c>
      <c r="AG92" s="31">
        <v>28080400</v>
      </c>
      <c r="AH92" s="32">
        <v>-18080400</v>
      </c>
      <c r="AI92" s="33">
        <v>2.8080400000000001</v>
      </c>
    </row>
    <row r="93" spans="1:35" x14ac:dyDescent="0.25">
      <c r="A93" s="25" t="s">
        <v>380</v>
      </c>
      <c r="B93" s="26" t="s">
        <v>51</v>
      </c>
      <c r="C93" s="27">
        <v>1200000</v>
      </c>
      <c r="D93" s="27"/>
      <c r="E93" s="34"/>
      <c r="F93" s="30">
        <f t="shared" si="20"/>
        <v>1200000</v>
      </c>
      <c r="G93" s="31">
        <v>8454000</v>
      </c>
      <c r="H93" s="27">
        <v>1200000</v>
      </c>
      <c r="I93" s="31">
        <v>8454000</v>
      </c>
      <c r="J93" s="32">
        <f t="shared" si="21"/>
        <v>-7254000</v>
      </c>
      <c r="K93" s="33">
        <f t="shared" si="18"/>
        <v>7.0449999999999999</v>
      </c>
      <c r="L93" s="113">
        <f t="shared" si="19"/>
        <v>0</v>
      </c>
      <c r="M93" s="25" t="s">
        <v>380</v>
      </c>
      <c r="N93" s="26" t="s">
        <v>51</v>
      </c>
      <c r="O93" s="27">
        <v>1200000</v>
      </c>
      <c r="P93" s="27"/>
      <c r="Q93" s="34"/>
      <c r="R93" s="30">
        <v>1200000</v>
      </c>
      <c r="S93" s="31">
        <v>654000</v>
      </c>
      <c r="T93" s="27">
        <v>6600000</v>
      </c>
      <c r="U93" s="31">
        <v>7254000</v>
      </c>
      <c r="V93" s="32">
        <v>-6054000</v>
      </c>
      <c r="W93" s="33">
        <v>6.0449999999999999</v>
      </c>
      <c r="Y93" s="25" t="s">
        <v>380</v>
      </c>
      <c r="Z93" s="26" t="s">
        <v>51</v>
      </c>
      <c r="AA93" s="27">
        <v>1200000</v>
      </c>
      <c r="AB93" s="27"/>
      <c r="AC93" s="34"/>
      <c r="AD93" s="30">
        <v>1200000</v>
      </c>
      <c r="AE93" s="31">
        <v>8454000</v>
      </c>
      <c r="AF93" s="27">
        <v>1200000</v>
      </c>
      <c r="AG93" s="31">
        <v>8454000</v>
      </c>
      <c r="AH93" s="32">
        <v>-7254000</v>
      </c>
      <c r="AI93" s="33">
        <v>7.0449999999999999</v>
      </c>
    </row>
    <row r="94" spans="1:35" x14ac:dyDescent="0.25">
      <c r="A94" s="16" t="s">
        <v>381</v>
      </c>
      <c r="B94" s="17" t="s">
        <v>52</v>
      </c>
      <c r="C94" s="18">
        <f>SUM(C95)</f>
        <v>165800000</v>
      </c>
      <c r="D94" s="18">
        <f t="shared" ref="D94:J94" si="27">SUM(D95)</f>
        <v>0</v>
      </c>
      <c r="E94" s="18">
        <f t="shared" si="27"/>
        <v>0</v>
      </c>
      <c r="F94" s="18">
        <f t="shared" si="27"/>
        <v>165800000</v>
      </c>
      <c r="G94" s="18">
        <f t="shared" si="27"/>
        <v>117846159</v>
      </c>
      <c r="H94" s="18">
        <f t="shared" si="27"/>
        <v>30043300</v>
      </c>
      <c r="I94" s="18">
        <f t="shared" si="27"/>
        <v>117846159</v>
      </c>
      <c r="J94" s="18">
        <f t="shared" si="27"/>
        <v>47953841</v>
      </c>
      <c r="K94" s="19">
        <f t="shared" si="18"/>
        <v>0.71077297346200241</v>
      </c>
      <c r="L94" s="113">
        <f t="shared" si="19"/>
        <v>0</v>
      </c>
      <c r="M94" s="16" t="s">
        <v>381</v>
      </c>
      <c r="N94" s="17" t="s">
        <v>52</v>
      </c>
      <c r="O94" s="18">
        <v>165800000</v>
      </c>
      <c r="P94" s="18">
        <v>0</v>
      </c>
      <c r="Q94" s="18">
        <v>0</v>
      </c>
      <c r="R94" s="18">
        <v>165800000</v>
      </c>
      <c r="S94" s="18">
        <v>71076449</v>
      </c>
      <c r="T94" s="18">
        <v>16726410</v>
      </c>
      <c r="U94" s="18">
        <v>87802859</v>
      </c>
      <c r="V94" s="18">
        <v>77997141</v>
      </c>
      <c r="W94" s="19">
        <v>0.52957092279855245</v>
      </c>
      <c r="Y94" s="16" t="s">
        <v>381</v>
      </c>
      <c r="Z94" s="17" t="s">
        <v>52</v>
      </c>
      <c r="AA94" s="18">
        <v>165800000</v>
      </c>
      <c r="AB94" s="18">
        <v>0</v>
      </c>
      <c r="AC94" s="18">
        <v>0</v>
      </c>
      <c r="AD94" s="18">
        <v>165800000</v>
      </c>
      <c r="AE94" s="18">
        <v>117846159</v>
      </c>
      <c r="AF94" s="18">
        <v>30043300</v>
      </c>
      <c r="AG94" s="18">
        <v>117846159</v>
      </c>
      <c r="AH94" s="18">
        <v>47953841</v>
      </c>
      <c r="AI94" s="19">
        <v>0.71077297346200241</v>
      </c>
    </row>
    <row r="95" spans="1:35" x14ac:dyDescent="0.25">
      <c r="A95" s="21" t="s">
        <v>382</v>
      </c>
      <c r="B95" s="22" t="s">
        <v>53</v>
      </c>
      <c r="C95" s="23">
        <f>SUM(C96:C102)</f>
        <v>165800000</v>
      </c>
      <c r="D95" s="23">
        <f t="shared" ref="D95:J95" si="28">SUM(D96:D102)</f>
        <v>0</v>
      </c>
      <c r="E95" s="23">
        <f t="shared" si="28"/>
        <v>0</v>
      </c>
      <c r="F95" s="23">
        <f t="shared" si="28"/>
        <v>165800000</v>
      </c>
      <c r="G95" s="23">
        <f t="shared" si="28"/>
        <v>117846159</v>
      </c>
      <c r="H95" s="23">
        <f t="shared" si="28"/>
        <v>30043300</v>
      </c>
      <c r="I95" s="23">
        <f t="shared" si="28"/>
        <v>117846159</v>
      </c>
      <c r="J95" s="23">
        <f t="shared" si="28"/>
        <v>47953841</v>
      </c>
      <c r="K95" s="36">
        <f t="shared" si="18"/>
        <v>0.71077297346200241</v>
      </c>
      <c r="L95" s="113">
        <f t="shared" si="19"/>
        <v>0</v>
      </c>
      <c r="M95" s="21" t="s">
        <v>382</v>
      </c>
      <c r="N95" s="22" t="s">
        <v>53</v>
      </c>
      <c r="O95" s="23">
        <v>165800000</v>
      </c>
      <c r="P95" s="23">
        <v>0</v>
      </c>
      <c r="Q95" s="23">
        <v>0</v>
      </c>
      <c r="R95" s="23">
        <v>165800000</v>
      </c>
      <c r="S95" s="23">
        <v>71076449</v>
      </c>
      <c r="T95" s="23">
        <v>16726410</v>
      </c>
      <c r="U95" s="23">
        <v>87802859</v>
      </c>
      <c r="V95" s="23">
        <v>77997141</v>
      </c>
      <c r="W95" s="36">
        <v>0.52957092279855245</v>
      </c>
      <c r="Y95" s="21" t="s">
        <v>382</v>
      </c>
      <c r="Z95" s="22" t="s">
        <v>53</v>
      </c>
      <c r="AA95" s="23">
        <v>165800000</v>
      </c>
      <c r="AB95" s="23">
        <v>0</v>
      </c>
      <c r="AC95" s="23">
        <v>0</v>
      </c>
      <c r="AD95" s="23">
        <v>165800000</v>
      </c>
      <c r="AE95" s="23">
        <v>117846159</v>
      </c>
      <c r="AF95" s="23">
        <v>30043300</v>
      </c>
      <c r="AG95" s="23">
        <v>117846159</v>
      </c>
      <c r="AH95" s="23">
        <v>47953841</v>
      </c>
      <c r="AI95" s="36">
        <v>0.71077297346200241</v>
      </c>
    </row>
    <row r="96" spans="1:35" x14ac:dyDescent="0.25">
      <c r="A96" s="25" t="s">
        <v>383</v>
      </c>
      <c r="B96" s="26" t="s">
        <v>54</v>
      </c>
      <c r="C96" s="27">
        <v>24000000</v>
      </c>
      <c r="D96" s="27"/>
      <c r="E96" s="34"/>
      <c r="F96" s="30">
        <f t="shared" si="20"/>
        <v>24000000</v>
      </c>
      <c r="G96" s="31">
        <v>14924000</v>
      </c>
      <c r="H96" s="27">
        <v>10136500</v>
      </c>
      <c r="I96" s="31">
        <v>14924000</v>
      </c>
      <c r="J96" s="32">
        <f t="shared" si="21"/>
        <v>9076000</v>
      </c>
      <c r="K96" s="33">
        <f t="shared" si="18"/>
        <v>0.62183333333333335</v>
      </c>
      <c r="L96" s="113">
        <f t="shared" si="19"/>
        <v>0</v>
      </c>
      <c r="M96" s="25" t="s">
        <v>383</v>
      </c>
      <c r="N96" s="26" t="s">
        <v>54</v>
      </c>
      <c r="O96" s="27">
        <v>24000000</v>
      </c>
      <c r="P96" s="27"/>
      <c r="Q96" s="34"/>
      <c r="R96" s="30">
        <v>24000000</v>
      </c>
      <c r="S96" s="31">
        <v>500000</v>
      </c>
      <c r="T96" s="27">
        <v>4287500</v>
      </c>
      <c r="U96" s="31">
        <v>4787500</v>
      </c>
      <c r="V96" s="32">
        <v>19212500</v>
      </c>
      <c r="W96" s="33">
        <v>0.19947916666666668</v>
      </c>
      <c r="Y96" s="25" t="s">
        <v>383</v>
      </c>
      <c r="Z96" s="26" t="s">
        <v>54</v>
      </c>
      <c r="AA96" s="27">
        <v>24000000</v>
      </c>
      <c r="AB96" s="27"/>
      <c r="AC96" s="34"/>
      <c r="AD96" s="30">
        <v>24000000</v>
      </c>
      <c r="AE96" s="31">
        <v>14924000</v>
      </c>
      <c r="AF96" s="27">
        <v>10136500</v>
      </c>
      <c r="AG96" s="31">
        <v>14924000</v>
      </c>
      <c r="AH96" s="32">
        <v>9076000</v>
      </c>
      <c r="AI96" s="33">
        <v>0.62183333333333335</v>
      </c>
    </row>
    <row r="97" spans="1:35" x14ac:dyDescent="0.25">
      <c r="A97" s="25" t="s">
        <v>384</v>
      </c>
      <c r="B97" s="26" t="s">
        <v>55</v>
      </c>
      <c r="C97" s="27">
        <v>1200000</v>
      </c>
      <c r="D97" s="27"/>
      <c r="E97" s="34"/>
      <c r="F97" s="30">
        <f t="shared" si="20"/>
        <v>1200000</v>
      </c>
      <c r="G97" s="31">
        <v>2116000</v>
      </c>
      <c r="H97" s="27">
        <v>956000</v>
      </c>
      <c r="I97" s="31">
        <v>2116000</v>
      </c>
      <c r="J97" s="32">
        <f t="shared" si="21"/>
        <v>-916000</v>
      </c>
      <c r="K97" s="33">
        <f t="shared" si="18"/>
        <v>1.7633333333333334</v>
      </c>
      <c r="L97" s="113">
        <f t="shared" si="19"/>
        <v>0</v>
      </c>
      <c r="M97" s="25" t="s">
        <v>384</v>
      </c>
      <c r="N97" s="26" t="s">
        <v>55</v>
      </c>
      <c r="O97" s="27">
        <v>1200000</v>
      </c>
      <c r="P97" s="27"/>
      <c r="Q97" s="34"/>
      <c r="R97" s="30">
        <v>1200000</v>
      </c>
      <c r="S97" s="31">
        <v>1120000</v>
      </c>
      <c r="T97" s="27">
        <v>40000</v>
      </c>
      <c r="U97" s="31">
        <v>1160000</v>
      </c>
      <c r="V97" s="32">
        <v>40000</v>
      </c>
      <c r="W97" s="33">
        <v>0.96666666666666667</v>
      </c>
      <c r="Y97" s="25" t="s">
        <v>384</v>
      </c>
      <c r="Z97" s="26" t="s">
        <v>55</v>
      </c>
      <c r="AA97" s="27">
        <v>1200000</v>
      </c>
      <c r="AB97" s="27"/>
      <c r="AC97" s="34"/>
      <c r="AD97" s="30">
        <v>1200000</v>
      </c>
      <c r="AE97" s="31">
        <v>2116000</v>
      </c>
      <c r="AF97" s="27">
        <v>956000</v>
      </c>
      <c r="AG97" s="31">
        <v>2116000</v>
      </c>
      <c r="AH97" s="32">
        <v>-916000</v>
      </c>
      <c r="AI97" s="33">
        <v>1.7633333333333334</v>
      </c>
    </row>
    <row r="98" spans="1:35" x14ac:dyDescent="0.25">
      <c r="A98" s="25" t="s">
        <v>385</v>
      </c>
      <c r="B98" s="26" t="s">
        <v>56</v>
      </c>
      <c r="C98" s="27">
        <v>600000</v>
      </c>
      <c r="D98" s="27"/>
      <c r="E98" s="34"/>
      <c r="F98" s="30">
        <f t="shared" si="20"/>
        <v>600000</v>
      </c>
      <c r="G98" s="31">
        <v>0</v>
      </c>
      <c r="H98" s="27"/>
      <c r="I98" s="31"/>
      <c r="J98" s="32">
        <f t="shared" si="21"/>
        <v>600000</v>
      </c>
      <c r="K98" s="33">
        <f t="shared" si="18"/>
        <v>0</v>
      </c>
      <c r="L98" s="113">
        <f t="shared" si="19"/>
        <v>0</v>
      </c>
      <c r="M98" s="25" t="s">
        <v>385</v>
      </c>
      <c r="N98" s="26" t="s">
        <v>56</v>
      </c>
      <c r="O98" s="27">
        <v>600000</v>
      </c>
      <c r="P98" s="27"/>
      <c r="Q98" s="34"/>
      <c r="R98" s="30">
        <v>600000</v>
      </c>
      <c r="S98" s="31"/>
      <c r="T98" s="27"/>
      <c r="U98" s="31"/>
      <c r="V98" s="32">
        <v>600000</v>
      </c>
      <c r="W98" s="33">
        <v>0</v>
      </c>
      <c r="Y98" s="25" t="s">
        <v>385</v>
      </c>
      <c r="Z98" s="26" t="s">
        <v>56</v>
      </c>
      <c r="AA98" s="27">
        <v>600000</v>
      </c>
      <c r="AB98" s="27"/>
      <c r="AC98" s="34"/>
      <c r="AD98" s="30">
        <v>600000</v>
      </c>
      <c r="AE98" s="31">
        <v>0</v>
      </c>
      <c r="AF98" s="27"/>
      <c r="AG98" s="31"/>
      <c r="AH98" s="32">
        <v>600000</v>
      </c>
      <c r="AI98" s="33">
        <v>0</v>
      </c>
    </row>
    <row r="99" spans="1:35" x14ac:dyDescent="0.25">
      <c r="A99" s="25" t="s">
        <v>386</v>
      </c>
      <c r="B99" s="26" t="s">
        <v>57</v>
      </c>
      <c r="C99" s="27">
        <v>28000000</v>
      </c>
      <c r="D99" s="27"/>
      <c r="E99" s="34"/>
      <c r="F99" s="30">
        <f t="shared" si="20"/>
        <v>28000000</v>
      </c>
      <c r="G99" s="31">
        <v>22259200</v>
      </c>
      <c r="H99" s="27">
        <v>7701000</v>
      </c>
      <c r="I99" s="31">
        <v>22259200</v>
      </c>
      <c r="J99" s="32">
        <f t="shared" si="21"/>
        <v>5740800</v>
      </c>
      <c r="K99" s="33">
        <f t="shared" si="18"/>
        <v>0.79497142857142855</v>
      </c>
      <c r="L99" s="113">
        <f t="shared" si="19"/>
        <v>0</v>
      </c>
      <c r="M99" s="25" t="s">
        <v>386</v>
      </c>
      <c r="N99" s="26" t="s">
        <v>57</v>
      </c>
      <c r="O99" s="27">
        <v>28000000</v>
      </c>
      <c r="P99" s="27"/>
      <c r="Q99" s="34"/>
      <c r="R99" s="30">
        <v>28000000</v>
      </c>
      <c r="S99" s="31">
        <v>10729600</v>
      </c>
      <c r="T99" s="27">
        <v>3828600</v>
      </c>
      <c r="U99" s="31">
        <v>14558200</v>
      </c>
      <c r="V99" s="32">
        <v>13441800</v>
      </c>
      <c r="W99" s="33">
        <v>0.51993571428571428</v>
      </c>
      <c r="Y99" s="25" t="s">
        <v>386</v>
      </c>
      <c r="Z99" s="26" t="s">
        <v>57</v>
      </c>
      <c r="AA99" s="27">
        <v>28000000</v>
      </c>
      <c r="AB99" s="27"/>
      <c r="AC99" s="34"/>
      <c r="AD99" s="30">
        <v>28000000</v>
      </c>
      <c r="AE99" s="31">
        <v>22259200</v>
      </c>
      <c r="AF99" s="27">
        <v>7701000</v>
      </c>
      <c r="AG99" s="31">
        <v>22259200</v>
      </c>
      <c r="AH99" s="32">
        <v>5740800</v>
      </c>
      <c r="AI99" s="33">
        <v>0.79497142857142855</v>
      </c>
    </row>
    <row r="100" spans="1:35" x14ac:dyDescent="0.25">
      <c r="A100" s="25" t="s">
        <v>387</v>
      </c>
      <c r="B100" s="26" t="s">
        <v>58</v>
      </c>
      <c r="C100" s="27">
        <v>40000000</v>
      </c>
      <c r="D100" s="27"/>
      <c r="E100" s="34"/>
      <c r="F100" s="30">
        <f t="shared" si="20"/>
        <v>40000000</v>
      </c>
      <c r="G100" s="31">
        <v>10873259</v>
      </c>
      <c r="H100" s="27">
        <v>2333400</v>
      </c>
      <c r="I100" s="31">
        <v>10873259</v>
      </c>
      <c r="J100" s="32">
        <f t="shared" si="21"/>
        <v>29126741</v>
      </c>
      <c r="K100" s="33">
        <f t="shared" si="18"/>
        <v>0.27183147499999999</v>
      </c>
      <c r="L100" s="113">
        <f t="shared" si="19"/>
        <v>0</v>
      </c>
      <c r="M100" s="25" t="s">
        <v>387</v>
      </c>
      <c r="N100" s="26" t="s">
        <v>58</v>
      </c>
      <c r="O100" s="27">
        <v>40000000</v>
      </c>
      <c r="P100" s="27"/>
      <c r="Q100" s="34"/>
      <c r="R100" s="30">
        <v>40000000</v>
      </c>
      <c r="S100" s="31">
        <v>7193049</v>
      </c>
      <c r="T100" s="27">
        <v>1346810</v>
      </c>
      <c r="U100" s="31">
        <v>8539859</v>
      </c>
      <c r="V100" s="32">
        <v>31460141</v>
      </c>
      <c r="W100" s="33">
        <v>0.21349647499999999</v>
      </c>
      <c r="Y100" s="25" t="s">
        <v>387</v>
      </c>
      <c r="Z100" s="26" t="s">
        <v>58</v>
      </c>
      <c r="AA100" s="27">
        <v>40000000</v>
      </c>
      <c r="AB100" s="27"/>
      <c r="AC100" s="34"/>
      <c r="AD100" s="30">
        <v>40000000</v>
      </c>
      <c r="AE100" s="31">
        <v>10873259</v>
      </c>
      <c r="AF100" s="27">
        <v>2333400</v>
      </c>
      <c r="AG100" s="31">
        <v>10873259</v>
      </c>
      <c r="AH100" s="32">
        <v>29126741</v>
      </c>
      <c r="AI100" s="33">
        <v>0.27183147499999999</v>
      </c>
    </row>
    <row r="101" spans="1:35" x14ac:dyDescent="0.25">
      <c r="A101" s="25" t="s">
        <v>388</v>
      </c>
      <c r="B101" s="26" t="s">
        <v>59</v>
      </c>
      <c r="C101" s="27">
        <v>12000000</v>
      </c>
      <c r="D101" s="27"/>
      <c r="E101" s="34"/>
      <c r="F101" s="30">
        <f t="shared" si="20"/>
        <v>12000000</v>
      </c>
      <c r="G101" s="31">
        <v>7722000</v>
      </c>
      <c r="H101" s="27">
        <v>558000</v>
      </c>
      <c r="I101" s="31">
        <v>7722000</v>
      </c>
      <c r="J101" s="32">
        <f t="shared" si="21"/>
        <v>4278000</v>
      </c>
      <c r="K101" s="33">
        <f t="shared" si="18"/>
        <v>0.64349999999999996</v>
      </c>
      <c r="L101" s="113">
        <f t="shared" si="19"/>
        <v>0</v>
      </c>
      <c r="M101" s="25" t="s">
        <v>388</v>
      </c>
      <c r="N101" s="26" t="s">
        <v>59</v>
      </c>
      <c r="O101" s="27">
        <v>12000000</v>
      </c>
      <c r="P101" s="27"/>
      <c r="Q101" s="34"/>
      <c r="R101" s="30">
        <v>12000000</v>
      </c>
      <c r="S101" s="31">
        <v>6362000</v>
      </c>
      <c r="T101" s="27">
        <v>802000</v>
      </c>
      <c r="U101" s="31">
        <v>7164000</v>
      </c>
      <c r="V101" s="32">
        <v>4836000</v>
      </c>
      <c r="W101" s="33">
        <v>0.59699999999999998</v>
      </c>
      <c r="Y101" s="25" t="s">
        <v>388</v>
      </c>
      <c r="Z101" s="26" t="s">
        <v>59</v>
      </c>
      <c r="AA101" s="27">
        <v>12000000</v>
      </c>
      <c r="AB101" s="27"/>
      <c r="AC101" s="34"/>
      <c r="AD101" s="30">
        <v>12000000</v>
      </c>
      <c r="AE101" s="31">
        <v>7722000</v>
      </c>
      <c r="AF101" s="27">
        <v>558000</v>
      </c>
      <c r="AG101" s="31">
        <v>7722000</v>
      </c>
      <c r="AH101" s="32">
        <v>4278000</v>
      </c>
      <c r="AI101" s="33">
        <v>0.64349999999999996</v>
      </c>
    </row>
    <row r="102" spans="1:35" x14ac:dyDescent="0.25">
      <c r="A102" s="25" t="s">
        <v>389</v>
      </c>
      <c r="B102" s="26" t="s">
        <v>60</v>
      </c>
      <c r="C102" s="27">
        <v>60000000</v>
      </c>
      <c r="D102" s="27"/>
      <c r="E102" s="34"/>
      <c r="F102" s="30">
        <f t="shared" si="20"/>
        <v>60000000</v>
      </c>
      <c r="G102" s="31">
        <v>59951700</v>
      </c>
      <c r="H102" s="27">
        <v>8358400</v>
      </c>
      <c r="I102" s="31">
        <v>59951700</v>
      </c>
      <c r="J102" s="32">
        <f t="shared" si="21"/>
        <v>48300</v>
      </c>
      <c r="K102" s="33">
        <f t="shared" si="18"/>
        <v>0.99919500000000006</v>
      </c>
      <c r="L102" s="113">
        <f t="shared" si="19"/>
        <v>0</v>
      </c>
      <c r="M102" s="25" t="s">
        <v>389</v>
      </c>
      <c r="N102" s="26" t="s">
        <v>60</v>
      </c>
      <c r="O102" s="27">
        <v>60000000</v>
      </c>
      <c r="P102" s="27"/>
      <c r="Q102" s="34"/>
      <c r="R102" s="30">
        <v>60000000</v>
      </c>
      <c r="S102" s="31">
        <v>45171800</v>
      </c>
      <c r="T102" s="27">
        <v>6421500</v>
      </c>
      <c r="U102" s="31">
        <v>51593300</v>
      </c>
      <c r="V102" s="32">
        <v>8406700</v>
      </c>
      <c r="W102" s="33">
        <v>0.85988833333333337</v>
      </c>
      <c r="Y102" s="25" t="s">
        <v>389</v>
      </c>
      <c r="Z102" s="26" t="s">
        <v>60</v>
      </c>
      <c r="AA102" s="27">
        <v>60000000</v>
      </c>
      <c r="AB102" s="27"/>
      <c r="AC102" s="34"/>
      <c r="AD102" s="30">
        <v>60000000</v>
      </c>
      <c r="AE102" s="31">
        <v>59951700</v>
      </c>
      <c r="AF102" s="27">
        <v>8358400</v>
      </c>
      <c r="AG102" s="31">
        <v>59951700</v>
      </c>
      <c r="AH102" s="32">
        <v>48300</v>
      </c>
      <c r="AI102" s="33">
        <v>0.99919500000000006</v>
      </c>
    </row>
    <row r="103" spans="1:35" x14ac:dyDescent="0.25">
      <c r="A103" s="21">
        <v>11255</v>
      </c>
      <c r="B103" s="22" t="s">
        <v>874</v>
      </c>
      <c r="C103" s="23">
        <f t="shared" ref="C103:J103" si="29">+C104</f>
        <v>0</v>
      </c>
      <c r="D103" s="23">
        <f t="shared" si="29"/>
        <v>0</v>
      </c>
      <c r="E103" s="23">
        <f t="shared" si="29"/>
        <v>0</v>
      </c>
      <c r="F103" s="23">
        <f t="shared" si="29"/>
        <v>0</v>
      </c>
      <c r="G103" s="23">
        <f t="shared" si="29"/>
        <v>10854800</v>
      </c>
      <c r="H103" s="23">
        <f t="shared" si="29"/>
        <v>0</v>
      </c>
      <c r="I103" s="23">
        <f t="shared" si="29"/>
        <v>10854800</v>
      </c>
      <c r="J103" s="23">
        <f t="shared" si="29"/>
        <v>0</v>
      </c>
      <c r="K103" s="36" t="e">
        <f t="shared" si="18"/>
        <v>#DIV/0!</v>
      </c>
      <c r="L103" s="113">
        <f t="shared" si="19"/>
        <v>0</v>
      </c>
      <c r="M103" s="21">
        <v>11255</v>
      </c>
      <c r="N103" s="22" t="s">
        <v>874</v>
      </c>
      <c r="O103" s="23">
        <v>0</v>
      </c>
      <c r="P103" s="23">
        <v>0</v>
      </c>
      <c r="Q103" s="23">
        <v>0</v>
      </c>
      <c r="R103" s="23">
        <v>0</v>
      </c>
      <c r="S103" s="23">
        <v>10854800</v>
      </c>
      <c r="T103" s="23">
        <v>0</v>
      </c>
      <c r="U103" s="23">
        <v>10854800</v>
      </c>
      <c r="V103" s="23">
        <v>0</v>
      </c>
      <c r="W103" s="36" t="e">
        <v>#DIV/0!</v>
      </c>
      <c r="Y103" s="21">
        <v>11255</v>
      </c>
      <c r="Z103" s="22" t="s">
        <v>874</v>
      </c>
      <c r="AA103" s="23">
        <v>0</v>
      </c>
      <c r="AB103" s="23">
        <v>0</v>
      </c>
      <c r="AC103" s="23">
        <v>0</v>
      </c>
      <c r="AD103" s="23">
        <v>0</v>
      </c>
      <c r="AE103" s="23">
        <v>10854800</v>
      </c>
      <c r="AF103" s="23">
        <v>0</v>
      </c>
      <c r="AG103" s="23">
        <v>10854800</v>
      </c>
      <c r="AH103" s="23">
        <v>0</v>
      </c>
      <c r="AI103" s="36" t="e">
        <v>#DIV/0!</v>
      </c>
    </row>
    <row r="104" spans="1:35" s="20" customFormat="1" x14ac:dyDescent="0.25">
      <c r="A104" s="25">
        <v>1125501</v>
      </c>
      <c r="B104" s="26" t="s">
        <v>873</v>
      </c>
      <c r="C104" s="27"/>
      <c r="D104" s="27"/>
      <c r="E104" s="34"/>
      <c r="F104" s="30">
        <f>+C104+D104</f>
        <v>0</v>
      </c>
      <c r="G104" s="31">
        <v>10854800</v>
      </c>
      <c r="H104" s="27"/>
      <c r="I104" s="31">
        <v>10854800</v>
      </c>
      <c r="J104" s="32"/>
      <c r="K104" s="33" t="e">
        <f t="shared" si="18"/>
        <v>#DIV/0!</v>
      </c>
      <c r="L104" s="113">
        <f t="shared" si="19"/>
        <v>0</v>
      </c>
      <c r="M104" s="25">
        <v>1125501</v>
      </c>
      <c r="N104" s="26" t="s">
        <v>873</v>
      </c>
      <c r="O104" s="27"/>
      <c r="P104" s="27"/>
      <c r="Q104" s="34"/>
      <c r="R104" s="30">
        <v>0</v>
      </c>
      <c r="S104" s="31">
        <v>10854800</v>
      </c>
      <c r="T104" s="27"/>
      <c r="U104" s="31">
        <v>10854800</v>
      </c>
      <c r="V104" s="32"/>
      <c r="W104" s="33" t="e">
        <v>#DIV/0!</v>
      </c>
      <c r="X104" s="2"/>
      <c r="Y104" s="25">
        <v>1125501</v>
      </c>
      <c r="Z104" s="26" t="s">
        <v>873</v>
      </c>
      <c r="AA104" s="27"/>
      <c r="AB104" s="27"/>
      <c r="AC104" s="34"/>
      <c r="AD104" s="30">
        <v>0</v>
      </c>
      <c r="AE104" s="31">
        <v>10854800</v>
      </c>
      <c r="AF104" s="27"/>
      <c r="AG104" s="31">
        <v>10854800</v>
      </c>
      <c r="AH104" s="32"/>
      <c r="AI104" s="33" t="e">
        <v>#DIV/0!</v>
      </c>
    </row>
    <row r="105" spans="1:35" s="20" customFormat="1" x14ac:dyDescent="0.25">
      <c r="A105" s="21" t="s">
        <v>390</v>
      </c>
      <c r="B105" s="22" t="s">
        <v>391</v>
      </c>
      <c r="C105" s="23">
        <f>SUM(C106)</f>
        <v>94000000</v>
      </c>
      <c r="D105" s="23">
        <f t="shared" ref="D105:J105" si="30">SUM(D106)</f>
        <v>0</v>
      </c>
      <c r="E105" s="23">
        <f t="shared" si="30"/>
        <v>0</v>
      </c>
      <c r="F105" s="23">
        <f t="shared" si="30"/>
        <v>94000000</v>
      </c>
      <c r="G105" s="23">
        <f t="shared" si="30"/>
        <v>54927140</v>
      </c>
      <c r="H105" s="23">
        <f t="shared" si="30"/>
        <v>0</v>
      </c>
      <c r="I105" s="23">
        <f t="shared" si="30"/>
        <v>54927140</v>
      </c>
      <c r="J105" s="23">
        <f t="shared" si="30"/>
        <v>39072860</v>
      </c>
      <c r="K105" s="36">
        <f t="shared" si="18"/>
        <v>0.58433127659574469</v>
      </c>
      <c r="L105" s="113">
        <f t="shared" si="19"/>
        <v>0</v>
      </c>
      <c r="M105" s="21" t="s">
        <v>390</v>
      </c>
      <c r="N105" s="22" t="s">
        <v>391</v>
      </c>
      <c r="O105" s="23">
        <v>94000000</v>
      </c>
      <c r="P105" s="23">
        <v>0</v>
      </c>
      <c r="Q105" s="23">
        <v>0</v>
      </c>
      <c r="R105" s="23">
        <v>94000000</v>
      </c>
      <c r="S105" s="23">
        <v>52948972</v>
      </c>
      <c r="T105" s="23">
        <v>1978168</v>
      </c>
      <c r="U105" s="23">
        <v>54927140</v>
      </c>
      <c r="V105" s="23">
        <v>39072860</v>
      </c>
      <c r="W105" s="36">
        <v>0.58433127659574469</v>
      </c>
      <c r="X105" s="2"/>
      <c r="Y105" s="21" t="s">
        <v>390</v>
      </c>
      <c r="Z105" s="22" t="s">
        <v>391</v>
      </c>
      <c r="AA105" s="23">
        <v>94000000</v>
      </c>
      <c r="AB105" s="23">
        <v>0</v>
      </c>
      <c r="AC105" s="23">
        <v>0</v>
      </c>
      <c r="AD105" s="23">
        <v>94000000</v>
      </c>
      <c r="AE105" s="23">
        <v>54927140</v>
      </c>
      <c r="AF105" s="23">
        <v>0</v>
      </c>
      <c r="AG105" s="23">
        <v>54927140</v>
      </c>
      <c r="AH105" s="23">
        <v>39072860</v>
      </c>
      <c r="AI105" s="36">
        <v>0.58433127659574469</v>
      </c>
    </row>
    <row r="106" spans="1:35" x14ac:dyDescent="0.25">
      <c r="A106" s="25" t="s">
        <v>392</v>
      </c>
      <c r="B106" s="26" t="s">
        <v>393</v>
      </c>
      <c r="C106" s="27">
        <v>94000000</v>
      </c>
      <c r="D106" s="27"/>
      <c r="E106" s="34"/>
      <c r="F106" s="30">
        <f t="shared" si="20"/>
        <v>94000000</v>
      </c>
      <c r="G106" s="31">
        <v>54927140</v>
      </c>
      <c r="H106" s="27"/>
      <c r="I106" s="31">
        <v>54927140</v>
      </c>
      <c r="J106" s="32">
        <f t="shared" si="21"/>
        <v>39072860</v>
      </c>
      <c r="K106" s="33">
        <f t="shared" si="18"/>
        <v>0.58433127659574469</v>
      </c>
      <c r="L106" s="113">
        <f t="shared" si="19"/>
        <v>0</v>
      </c>
      <c r="M106" s="25" t="s">
        <v>392</v>
      </c>
      <c r="N106" s="26" t="s">
        <v>393</v>
      </c>
      <c r="O106" s="27">
        <v>94000000</v>
      </c>
      <c r="P106" s="27"/>
      <c r="Q106" s="34"/>
      <c r="R106" s="30">
        <v>94000000</v>
      </c>
      <c r="S106" s="31">
        <v>52948972</v>
      </c>
      <c r="T106" s="27">
        <v>1978168</v>
      </c>
      <c r="U106" s="31">
        <v>54927140</v>
      </c>
      <c r="V106" s="32">
        <v>39072860</v>
      </c>
      <c r="W106" s="33">
        <v>0.58433127659574469</v>
      </c>
      <c r="X106" s="20"/>
      <c r="Y106" s="25" t="s">
        <v>392</v>
      </c>
      <c r="Z106" s="26" t="s">
        <v>393</v>
      </c>
      <c r="AA106" s="27">
        <v>94000000</v>
      </c>
      <c r="AB106" s="27"/>
      <c r="AC106" s="34"/>
      <c r="AD106" s="30">
        <v>94000000</v>
      </c>
      <c r="AE106" s="31">
        <v>54927140</v>
      </c>
      <c r="AF106" s="27"/>
      <c r="AG106" s="31">
        <v>54927140</v>
      </c>
      <c r="AH106" s="32">
        <v>39072860</v>
      </c>
      <c r="AI106" s="33">
        <v>0.58433127659574469</v>
      </c>
    </row>
    <row r="107" spans="1:35" x14ac:dyDescent="0.25">
      <c r="A107" s="16" t="s">
        <v>394</v>
      </c>
      <c r="B107" s="17" t="s">
        <v>395</v>
      </c>
      <c r="C107" s="18">
        <f>+C108+C109</f>
        <v>1252896796</v>
      </c>
      <c r="D107" s="18">
        <f t="shared" ref="D107:J107" si="31">+D108+D109</f>
        <v>0</v>
      </c>
      <c r="E107" s="18">
        <f t="shared" si="31"/>
        <v>0</v>
      </c>
      <c r="F107" s="18">
        <f t="shared" si="31"/>
        <v>1252896796</v>
      </c>
      <c r="G107" s="18">
        <f t="shared" si="31"/>
        <v>564788485</v>
      </c>
      <c r="H107" s="18">
        <f t="shared" si="31"/>
        <v>94090317</v>
      </c>
      <c r="I107" s="18">
        <f>+I108+I109</f>
        <v>564788485</v>
      </c>
      <c r="J107" s="18">
        <f t="shared" si="31"/>
        <v>964034719</v>
      </c>
      <c r="K107" s="19">
        <f t="shared" si="18"/>
        <v>0.4507861196573768</v>
      </c>
      <c r="L107" s="113">
        <f t="shared" si="19"/>
        <v>0</v>
      </c>
      <c r="M107" s="16" t="s">
        <v>394</v>
      </c>
      <c r="N107" s="17" t="s">
        <v>395</v>
      </c>
      <c r="O107" s="18">
        <v>1252896796</v>
      </c>
      <c r="P107" s="18">
        <v>0</v>
      </c>
      <c r="Q107" s="18">
        <v>0</v>
      </c>
      <c r="R107" s="18">
        <v>1252896796</v>
      </c>
      <c r="S107" s="18">
        <v>344603264</v>
      </c>
      <c r="T107" s="18">
        <v>126094904</v>
      </c>
      <c r="U107" s="18">
        <v>511891816</v>
      </c>
      <c r="V107" s="18">
        <v>908732882</v>
      </c>
      <c r="W107" s="19">
        <v>0.40856662546689121</v>
      </c>
      <c r="X107" s="20"/>
      <c r="Y107" s="16" t="s">
        <v>394</v>
      </c>
      <c r="Z107" s="17" t="s">
        <v>395</v>
      </c>
      <c r="AA107" s="18">
        <v>1252896796</v>
      </c>
      <c r="AB107" s="18">
        <v>0</v>
      </c>
      <c r="AC107" s="18">
        <v>0</v>
      </c>
      <c r="AD107" s="18">
        <v>1252896796</v>
      </c>
      <c r="AE107" s="18">
        <v>564788485</v>
      </c>
      <c r="AF107" s="18">
        <v>94090317</v>
      </c>
      <c r="AG107" s="18">
        <v>564788485</v>
      </c>
      <c r="AH107" s="18">
        <v>964034719</v>
      </c>
      <c r="AI107" s="19">
        <v>0.4507861196573768</v>
      </c>
    </row>
    <row r="108" spans="1:35" x14ac:dyDescent="0.25">
      <c r="A108" s="16" t="s">
        <v>396</v>
      </c>
      <c r="B108" s="17" t="s">
        <v>397</v>
      </c>
      <c r="C108" s="18"/>
      <c r="D108" s="18"/>
      <c r="E108" s="18"/>
      <c r="F108" s="18">
        <f>+C108+D108</f>
        <v>0</v>
      </c>
      <c r="G108" s="18">
        <v>149392154</v>
      </c>
      <c r="H108" s="18">
        <v>22857900</v>
      </c>
      <c r="I108" s="18">
        <v>149392154</v>
      </c>
      <c r="J108" s="18">
        <v>126534254</v>
      </c>
      <c r="K108" s="19" t="e">
        <f t="shared" si="18"/>
        <v>#DIV/0!</v>
      </c>
      <c r="L108" s="113">
        <f t="shared" si="19"/>
        <v>0</v>
      </c>
      <c r="M108" s="16" t="s">
        <v>396</v>
      </c>
      <c r="N108" s="17" t="s">
        <v>397</v>
      </c>
      <c r="O108" s="18"/>
      <c r="P108" s="18"/>
      <c r="Q108" s="18"/>
      <c r="R108" s="18">
        <v>0</v>
      </c>
      <c r="S108" s="18">
        <v>84844760</v>
      </c>
      <c r="T108" s="18">
        <v>41689494</v>
      </c>
      <c r="U108" s="18">
        <v>126534254</v>
      </c>
      <c r="V108" s="18"/>
      <c r="W108" s="19" t="e">
        <v>#DIV/0!</v>
      </c>
      <c r="Y108" s="16" t="s">
        <v>396</v>
      </c>
      <c r="Z108" s="17" t="s">
        <v>397</v>
      </c>
      <c r="AA108" s="18"/>
      <c r="AB108" s="18"/>
      <c r="AC108" s="18"/>
      <c r="AD108" s="18">
        <v>0</v>
      </c>
      <c r="AE108" s="18">
        <v>149392154</v>
      </c>
      <c r="AF108" s="18">
        <v>22857900</v>
      </c>
      <c r="AG108" s="18">
        <v>149392154</v>
      </c>
      <c r="AH108" s="18">
        <v>126534254</v>
      </c>
      <c r="AI108" s="19" t="e">
        <v>#DIV/0!</v>
      </c>
    </row>
    <row r="109" spans="1:35" x14ac:dyDescent="0.25">
      <c r="A109" s="16" t="s">
        <v>398</v>
      </c>
      <c r="B109" s="17" t="s">
        <v>399</v>
      </c>
      <c r="C109" s="18">
        <f>+C110</f>
        <v>1252896796</v>
      </c>
      <c r="D109" s="18">
        <f t="shared" ref="D109:J109" si="32">+D110</f>
        <v>0</v>
      </c>
      <c r="E109" s="18">
        <f t="shared" si="32"/>
        <v>0</v>
      </c>
      <c r="F109" s="18">
        <f t="shared" si="32"/>
        <v>1252896796</v>
      </c>
      <c r="G109" s="18">
        <f t="shared" si="32"/>
        <v>415396331</v>
      </c>
      <c r="H109" s="18">
        <f t="shared" si="32"/>
        <v>71232417</v>
      </c>
      <c r="I109" s="18">
        <f t="shared" si="32"/>
        <v>415396331</v>
      </c>
      <c r="J109" s="18">
        <f t="shared" si="32"/>
        <v>837500465</v>
      </c>
      <c r="K109" s="19">
        <f t="shared" si="18"/>
        <v>0.33154872159159071</v>
      </c>
      <c r="L109" s="113">
        <f t="shared" si="19"/>
        <v>0</v>
      </c>
      <c r="M109" s="16" t="s">
        <v>398</v>
      </c>
      <c r="N109" s="17" t="s">
        <v>399</v>
      </c>
      <c r="O109" s="18">
        <v>1252896796</v>
      </c>
      <c r="P109" s="18">
        <v>0</v>
      </c>
      <c r="Q109" s="18">
        <v>0</v>
      </c>
      <c r="R109" s="18">
        <v>1252896796</v>
      </c>
      <c r="S109" s="18">
        <v>259758504</v>
      </c>
      <c r="T109" s="18">
        <v>84405410</v>
      </c>
      <c r="U109" s="18">
        <v>385357562</v>
      </c>
      <c r="V109" s="18">
        <v>908732882</v>
      </c>
      <c r="W109" s="19">
        <v>0.30757326799006357</v>
      </c>
      <c r="Y109" s="16" t="s">
        <v>398</v>
      </c>
      <c r="Z109" s="17" t="s">
        <v>399</v>
      </c>
      <c r="AA109" s="18">
        <v>1252896796</v>
      </c>
      <c r="AB109" s="18">
        <v>0</v>
      </c>
      <c r="AC109" s="18">
        <v>0</v>
      </c>
      <c r="AD109" s="18">
        <v>1252896796</v>
      </c>
      <c r="AE109" s="18">
        <v>415396331</v>
      </c>
      <c r="AF109" s="18">
        <v>71232417</v>
      </c>
      <c r="AG109" s="18">
        <v>415396331</v>
      </c>
      <c r="AH109" s="18">
        <v>837500465</v>
      </c>
      <c r="AI109" s="19">
        <v>0.33154872159159071</v>
      </c>
    </row>
    <row r="110" spans="1:35" x14ac:dyDescent="0.25">
      <c r="A110" s="21" t="s">
        <v>400</v>
      </c>
      <c r="B110" s="22" t="s">
        <v>401</v>
      </c>
      <c r="C110" s="23">
        <f>+C111+C112+C125</f>
        <v>1252896796</v>
      </c>
      <c r="D110" s="23">
        <f t="shared" ref="D110:J110" si="33">+D111+D112+D125</f>
        <v>0</v>
      </c>
      <c r="E110" s="23">
        <f t="shared" si="33"/>
        <v>0</v>
      </c>
      <c r="F110" s="23">
        <f t="shared" si="33"/>
        <v>1252896796</v>
      </c>
      <c r="G110" s="23">
        <f t="shared" si="33"/>
        <v>415396331</v>
      </c>
      <c r="H110" s="23">
        <f t="shared" si="33"/>
        <v>71232417</v>
      </c>
      <c r="I110" s="23">
        <f t="shared" si="33"/>
        <v>415396331</v>
      </c>
      <c r="J110" s="23">
        <f t="shared" si="33"/>
        <v>837500465</v>
      </c>
      <c r="K110" s="36">
        <f t="shared" si="18"/>
        <v>0.33154872159159071</v>
      </c>
      <c r="L110" s="113">
        <f t="shared" si="19"/>
        <v>0</v>
      </c>
      <c r="M110" s="21" t="s">
        <v>400</v>
      </c>
      <c r="N110" s="22" t="s">
        <v>401</v>
      </c>
      <c r="O110" s="23">
        <v>1252896796</v>
      </c>
      <c r="P110" s="23">
        <v>0</v>
      </c>
      <c r="Q110" s="23">
        <v>0</v>
      </c>
      <c r="R110" s="23">
        <v>1252896796</v>
      </c>
      <c r="S110" s="23">
        <v>259758504</v>
      </c>
      <c r="T110" s="23">
        <v>84405410</v>
      </c>
      <c r="U110" s="23">
        <v>385357562</v>
      </c>
      <c r="V110" s="23">
        <v>908732882</v>
      </c>
      <c r="W110" s="36">
        <v>0.30757326799006357</v>
      </c>
      <c r="Y110" s="21" t="s">
        <v>400</v>
      </c>
      <c r="Z110" s="22" t="s">
        <v>401</v>
      </c>
      <c r="AA110" s="23">
        <v>1252896796</v>
      </c>
      <c r="AB110" s="23">
        <v>0</v>
      </c>
      <c r="AC110" s="23">
        <v>0</v>
      </c>
      <c r="AD110" s="23">
        <v>1252896796</v>
      </c>
      <c r="AE110" s="23">
        <v>415396331</v>
      </c>
      <c r="AF110" s="23">
        <v>71232417</v>
      </c>
      <c r="AG110" s="23">
        <v>415396331</v>
      </c>
      <c r="AH110" s="23">
        <v>837500465</v>
      </c>
      <c r="AI110" s="36">
        <v>0.33154872159159071</v>
      </c>
    </row>
    <row r="111" spans="1:35" x14ac:dyDescent="0.25">
      <c r="A111" s="25" t="s">
        <v>402</v>
      </c>
      <c r="B111" s="26" t="s">
        <v>403</v>
      </c>
      <c r="C111" s="27">
        <v>60000000</v>
      </c>
      <c r="D111" s="27"/>
      <c r="E111" s="34"/>
      <c r="F111" s="30">
        <f t="shared" si="20"/>
        <v>60000000</v>
      </c>
      <c r="G111" s="31">
        <v>771000</v>
      </c>
      <c r="H111" s="27"/>
      <c r="I111" s="31">
        <v>771000</v>
      </c>
      <c r="J111" s="32">
        <f t="shared" si="21"/>
        <v>59229000</v>
      </c>
      <c r="K111" s="33">
        <f t="shared" si="18"/>
        <v>1.285E-2</v>
      </c>
      <c r="L111" s="113">
        <f t="shared" si="19"/>
        <v>0</v>
      </c>
      <c r="M111" s="25" t="s">
        <v>402</v>
      </c>
      <c r="N111" s="26" t="s">
        <v>403</v>
      </c>
      <c r="O111" s="27">
        <v>60000000</v>
      </c>
      <c r="P111" s="27"/>
      <c r="Q111" s="34"/>
      <c r="R111" s="30">
        <v>60000000</v>
      </c>
      <c r="S111" s="31">
        <v>771000</v>
      </c>
      <c r="T111" s="27"/>
      <c r="U111" s="31">
        <v>771000</v>
      </c>
      <c r="V111" s="32">
        <v>59229000</v>
      </c>
      <c r="W111" s="33">
        <v>1.285E-2</v>
      </c>
      <c r="Y111" s="25" t="s">
        <v>402</v>
      </c>
      <c r="Z111" s="26" t="s">
        <v>403</v>
      </c>
      <c r="AA111" s="27">
        <v>60000000</v>
      </c>
      <c r="AB111" s="27"/>
      <c r="AC111" s="34"/>
      <c r="AD111" s="30">
        <v>60000000</v>
      </c>
      <c r="AE111" s="31">
        <v>771000</v>
      </c>
      <c r="AF111" s="27"/>
      <c r="AG111" s="31">
        <v>771000</v>
      </c>
      <c r="AH111" s="32">
        <v>59229000</v>
      </c>
      <c r="AI111" s="33">
        <v>1.285E-2</v>
      </c>
    </row>
    <row r="112" spans="1:35" x14ac:dyDescent="0.25">
      <c r="A112" s="21" t="s">
        <v>404</v>
      </c>
      <c r="B112" s="22" t="s">
        <v>405</v>
      </c>
      <c r="C112" s="23">
        <f>SUM(C113:C124)</f>
        <v>1192896796</v>
      </c>
      <c r="D112" s="23">
        <f t="shared" ref="D112:J112" si="34">SUM(D113:D124)</f>
        <v>0</v>
      </c>
      <c r="E112" s="23">
        <f t="shared" si="34"/>
        <v>0</v>
      </c>
      <c r="F112" s="23">
        <f t="shared" si="34"/>
        <v>1192896796</v>
      </c>
      <c r="G112" s="23">
        <f t="shared" si="34"/>
        <v>365259388</v>
      </c>
      <c r="H112" s="23">
        <f t="shared" si="34"/>
        <v>63060122</v>
      </c>
      <c r="I112" s="23">
        <f t="shared" si="34"/>
        <v>365259388</v>
      </c>
      <c r="J112" s="23">
        <f t="shared" si="34"/>
        <v>827637408</v>
      </c>
      <c r="K112" s="36">
        <f t="shared" si="18"/>
        <v>0.30619529637834653</v>
      </c>
      <c r="L112" s="113">
        <f t="shared" si="19"/>
        <v>0</v>
      </c>
      <c r="M112" s="21" t="s">
        <v>404</v>
      </c>
      <c r="N112" s="22" t="s">
        <v>405</v>
      </c>
      <c r="O112" s="23">
        <v>1192896796</v>
      </c>
      <c r="P112" s="23">
        <v>0</v>
      </c>
      <c r="Q112" s="23">
        <v>0</v>
      </c>
      <c r="R112" s="23">
        <v>1192896796</v>
      </c>
      <c r="S112" s="23">
        <v>244334732</v>
      </c>
      <c r="T112" s="23">
        <v>84405410</v>
      </c>
      <c r="U112" s="23">
        <v>343392914</v>
      </c>
      <c r="V112" s="23">
        <v>890697530</v>
      </c>
      <c r="W112" s="36">
        <v>0.28786472991750744</v>
      </c>
      <c r="Y112" s="21" t="s">
        <v>404</v>
      </c>
      <c r="Z112" s="22" t="s">
        <v>405</v>
      </c>
      <c r="AA112" s="23">
        <v>1192896796</v>
      </c>
      <c r="AB112" s="23">
        <v>0</v>
      </c>
      <c r="AC112" s="23">
        <v>0</v>
      </c>
      <c r="AD112" s="23">
        <v>1192896796</v>
      </c>
      <c r="AE112" s="23">
        <v>414625331</v>
      </c>
      <c r="AF112" s="23">
        <v>71232417</v>
      </c>
      <c r="AG112" s="23">
        <v>414625331</v>
      </c>
      <c r="AH112" s="23">
        <v>827637408</v>
      </c>
      <c r="AI112" s="36">
        <v>0.3475785435842515</v>
      </c>
    </row>
    <row r="113" spans="1:35" x14ac:dyDescent="0.25">
      <c r="A113" s="25" t="s">
        <v>406</v>
      </c>
      <c r="B113" s="26" t="s">
        <v>407</v>
      </c>
      <c r="C113" s="27">
        <v>63999996</v>
      </c>
      <c r="D113" s="27"/>
      <c r="E113" s="34"/>
      <c r="F113" s="30">
        <f t="shared" si="20"/>
        <v>63999996</v>
      </c>
      <c r="G113" s="31">
        <v>106667147</v>
      </c>
      <c r="H113" s="27">
        <v>21469783</v>
      </c>
      <c r="I113" s="31">
        <v>106667147</v>
      </c>
      <c r="J113" s="32">
        <f t="shared" si="21"/>
        <v>-42667151</v>
      </c>
      <c r="K113" s="33">
        <f t="shared" si="18"/>
        <v>1.6666742760421422</v>
      </c>
      <c r="L113" s="113">
        <f t="shared" si="19"/>
        <v>0</v>
      </c>
      <c r="M113" s="25" t="s">
        <v>406</v>
      </c>
      <c r="N113" s="26" t="s">
        <v>407</v>
      </c>
      <c r="O113" s="27">
        <v>63999996</v>
      </c>
      <c r="P113" s="27"/>
      <c r="Q113" s="34"/>
      <c r="R113" s="30">
        <v>63999996</v>
      </c>
      <c r="S113" s="31">
        <v>64247726</v>
      </c>
      <c r="T113" s="27">
        <v>20949638</v>
      </c>
      <c r="U113" s="31">
        <v>85197364</v>
      </c>
      <c r="V113" s="32">
        <v>-21197368</v>
      </c>
      <c r="W113" s="33">
        <v>1.3312088957005559</v>
      </c>
      <c r="Y113" s="25" t="s">
        <v>406</v>
      </c>
      <c r="Z113" s="26" t="s">
        <v>407</v>
      </c>
      <c r="AA113" s="27">
        <v>63999996</v>
      </c>
      <c r="AB113" s="27"/>
      <c r="AC113" s="34"/>
      <c r="AD113" s="30">
        <v>63999996</v>
      </c>
      <c r="AE113" s="31">
        <v>106667147</v>
      </c>
      <c r="AF113" s="27">
        <v>21469783</v>
      </c>
      <c r="AG113" s="31">
        <v>106667147</v>
      </c>
      <c r="AH113" s="32">
        <v>-42667151</v>
      </c>
      <c r="AI113" s="33">
        <v>1.6666742760421422</v>
      </c>
    </row>
    <row r="114" spans="1:35" x14ac:dyDescent="0.25">
      <c r="A114" s="25" t="s">
        <v>408</v>
      </c>
      <c r="B114" s="26" t="s">
        <v>409</v>
      </c>
      <c r="C114" s="27">
        <v>164736000</v>
      </c>
      <c r="D114" s="27"/>
      <c r="E114" s="34"/>
      <c r="F114" s="30">
        <f t="shared" si="20"/>
        <v>164736000</v>
      </c>
      <c r="G114" s="31">
        <v>75916438</v>
      </c>
      <c r="H114" s="27">
        <v>9528975</v>
      </c>
      <c r="I114" s="31">
        <v>75916438</v>
      </c>
      <c r="J114" s="32">
        <f t="shared" si="21"/>
        <v>88819562</v>
      </c>
      <c r="K114" s="33">
        <f t="shared" si="18"/>
        <v>0.46083696338383839</v>
      </c>
      <c r="L114" s="113">
        <f t="shared" si="19"/>
        <v>0</v>
      </c>
      <c r="M114" s="25" t="s">
        <v>408</v>
      </c>
      <c r="N114" s="26" t="s">
        <v>409</v>
      </c>
      <c r="O114" s="27">
        <v>164736000</v>
      </c>
      <c r="P114" s="27"/>
      <c r="Q114" s="34"/>
      <c r="R114" s="30">
        <v>164736000</v>
      </c>
      <c r="S114" s="31">
        <v>56730590</v>
      </c>
      <c r="T114" s="27">
        <v>9656873</v>
      </c>
      <c r="U114" s="31">
        <v>66387463</v>
      </c>
      <c r="V114" s="32">
        <v>98348537</v>
      </c>
      <c r="W114" s="33">
        <v>0.40299304948523701</v>
      </c>
      <c r="Y114" s="25" t="s">
        <v>408</v>
      </c>
      <c r="Z114" s="26" t="s">
        <v>409</v>
      </c>
      <c r="AA114" s="27">
        <v>164736000</v>
      </c>
      <c r="AB114" s="27"/>
      <c r="AC114" s="34"/>
      <c r="AD114" s="30">
        <v>164736000</v>
      </c>
      <c r="AE114" s="31">
        <v>75916438</v>
      </c>
      <c r="AF114" s="27">
        <v>9528975</v>
      </c>
      <c r="AG114" s="31">
        <v>75916438</v>
      </c>
      <c r="AH114" s="32">
        <v>88819562</v>
      </c>
      <c r="AI114" s="33">
        <v>0.46083696338383839</v>
      </c>
    </row>
    <row r="115" spans="1:35" x14ac:dyDescent="0.25">
      <c r="A115" s="25" t="s">
        <v>410</v>
      </c>
      <c r="B115" s="26" t="s">
        <v>411</v>
      </c>
      <c r="C115" s="27">
        <v>47712000</v>
      </c>
      <c r="D115" s="27"/>
      <c r="E115" s="34"/>
      <c r="F115" s="30">
        <f t="shared" si="20"/>
        <v>47712000</v>
      </c>
      <c r="G115" s="31">
        <v>55505501</v>
      </c>
      <c r="H115" s="27">
        <v>12447958</v>
      </c>
      <c r="I115" s="31">
        <v>55505501</v>
      </c>
      <c r="J115" s="32">
        <f t="shared" si="21"/>
        <v>-7793501</v>
      </c>
      <c r="K115" s="33">
        <f t="shared" si="18"/>
        <v>1.1633446721998659</v>
      </c>
      <c r="L115" s="113">
        <f t="shared" si="19"/>
        <v>0</v>
      </c>
      <c r="M115" s="25" t="s">
        <v>410</v>
      </c>
      <c r="N115" s="26" t="s">
        <v>411</v>
      </c>
      <c r="O115" s="27">
        <v>47712000</v>
      </c>
      <c r="P115" s="27"/>
      <c r="Q115" s="34"/>
      <c r="R115" s="30">
        <v>47712000</v>
      </c>
      <c r="S115" s="31">
        <v>32547264</v>
      </c>
      <c r="T115" s="27">
        <v>10510279</v>
      </c>
      <c r="U115" s="31">
        <v>43057543</v>
      </c>
      <c r="V115" s="32">
        <v>4654457</v>
      </c>
      <c r="W115" s="33">
        <v>0.90244682679409793</v>
      </c>
      <c r="Y115" s="25" t="s">
        <v>410</v>
      </c>
      <c r="Z115" s="26" t="s">
        <v>411</v>
      </c>
      <c r="AA115" s="27">
        <v>47712000</v>
      </c>
      <c r="AB115" s="27"/>
      <c r="AC115" s="34"/>
      <c r="AD115" s="30">
        <v>47712000</v>
      </c>
      <c r="AE115" s="31">
        <v>55505501</v>
      </c>
      <c r="AF115" s="27">
        <v>12447958</v>
      </c>
      <c r="AG115" s="31">
        <v>55505501</v>
      </c>
      <c r="AH115" s="32">
        <v>-7793501</v>
      </c>
      <c r="AI115" s="33">
        <v>1.1633446721998659</v>
      </c>
    </row>
    <row r="116" spans="1:35" x14ac:dyDescent="0.25">
      <c r="A116" s="25" t="s">
        <v>412</v>
      </c>
      <c r="B116" s="26" t="s">
        <v>413</v>
      </c>
      <c r="C116" s="27">
        <v>48000000</v>
      </c>
      <c r="D116" s="27"/>
      <c r="E116" s="34"/>
      <c r="F116" s="30">
        <f t="shared" si="20"/>
        <v>48000000</v>
      </c>
      <c r="G116" s="31">
        <v>11778924</v>
      </c>
      <c r="H116" s="27">
        <v>2496313</v>
      </c>
      <c r="I116" s="31">
        <v>11778924</v>
      </c>
      <c r="J116" s="32">
        <f t="shared" si="21"/>
        <v>36221076</v>
      </c>
      <c r="K116" s="33">
        <f t="shared" si="18"/>
        <v>0.24539425000000001</v>
      </c>
      <c r="L116" s="113">
        <f t="shared" si="19"/>
        <v>0</v>
      </c>
      <c r="M116" s="25" t="s">
        <v>412</v>
      </c>
      <c r="N116" s="26" t="s">
        <v>413</v>
      </c>
      <c r="O116" s="27">
        <v>48000000</v>
      </c>
      <c r="P116" s="27"/>
      <c r="Q116" s="34"/>
      <c r="R116" s="30">
        <v>48000000</v>
      </c>
      <c r="S116" s="31">
        <v>6721624</v>
      </c>
      <c r="T116" s="27">
        <v>2560987</v>
      </c>
      <c r="U116" s="31">
        <v>9282611</v>
      </c>
      <c r="V116" s="32">
        <v>38717389</v>
      </c>
      <c r="W116" s="33">
        <v>0.19338772916666666</v>
      </c>
      <c r="Y116" s="25" t="s">
        <v>412</v>
      </c>
      <c r="Z116" s="26" t="s">
        <v>413</v>
      </c>
      <c r="AA116" s="27">
        <v>48000000</v>
      </c>
      <c r="AB116" s="27"/>
      <c r="AC116" s="34"/>
      <c r="AD116" s="30">
        <v>48000000</v>
      </c>
      <c r="AE116" s="31">
        <v>11778924</v>
      </c>
      <c r="AF116" s="27">
        <v>2496313</v>
      </c>
      <c r="AG116" s="31">
        <v>11778924</v>
      </c>
      <c r="AH116" s="32">
        <v>36221076</v>
      </c>
      <c r="AI116" s="33">
        <v>0.24539425000000001</v>
      </c>
    </row>
    <row r="117" spans="1:35" x14ac:dyDescent="0.25">
      <c r="A117" s="25" t="s">
        <v>414</v>
      </c>
      <c r="B117" s="26" t="s">
        <v>415</v>
      </c>
      <c r="C117" s="27">
        <v>132099996</v>
      </c>
      <c r="D117" s="27"/>
      <c r="E117" s="34"/>
      <c r="F117" s="30">
        <f t="shared" si="20"/>
        <v>132099996</v>
      </c>
      <c r="G117" s="31">
        <v>56032418</v>
      </c>
      <c r="H117" s="27">
        <v>9299763</v>
      </c>
      <c r="I117" s="31">
        <v>56032418</v>
      </c>
      <c r="J117" s="32">
        <f t="shared" si="21"/>
        <v>76067578</v>
      </c>
      <c r="K117" s="33">
        <f t="shared" si="18"/>
        <v>0.42416668960383619</v>
      </c>
      <c r="L117" s="113">
        <f t="shared" si="19"/>
        <v>0</v>
      </c>
      <c r="M117" s="25" t="s">
        <v>414</v>
      </c>
      <c r="N117" s="26" t="s">
        <v>415</v>
      </c>
      <c r="O117" s="27">
        <v>132099996</v>
      </c>
      <c r="P117" s="27"/>
      <c r="Q117" s="34"/>
      <c r="R117" s="30">
        <v>132099996</v>
      </c>
      <c r="S117" s="31">
        <v>39887132</v>
      </c>
      <c r="T117" s="27">
        <v>6845523</v>
      </c>
      <c r="U117" s="31">
        <v>46732655</v>
      </c>
      <c r="V117" s="32">
        <v>85367341</v>
      </c>
      <c r="W117" s="33">
        <v>0.35376727036388406</v>
      </c>
      <c r="Y117" s="25" t="s">
        <v>414</v>
      </c>
      <c r="Z117" s="26" t="s">
        <v>415</v>
      </c>
      <c r="AA117" s="27">
        <v>132099996</v>
      </c>
      <c r="AB117" s="27"/>
      <c r="AC117" s="34"/>
      <c r="AD117" s="30">
        <v>132099996</v>
      </c>
      <c r="AE117" s="31">
        <v>56032418</v>
      </c>
      <c r="AF117" s="27">
        <v>9299763</v>
      </c>
      <c r="AG117" s="31">
        <v>56032418</v>
      </c>
      <c r="AH117" s="32">
        <v>76067578</v>
      </c>
      <c r="AI117" s="33">
        <v>0.42416668960383619</v>
      </c>
    </row>
    <row r="118" spans="1:35" x14ac:dyDescent="0.25">
      <c r="A118" s="25" t="s">
        <v>416</v>
      </c>
      <c r="B118" s="26" t="s">
        <v>417</v>
      </c>
      <c r="C118" s="27">
        <v>168000000</v>
      </c>
      <c r="D118" s="27"/>
      <c r="E118" s="34"/>
      <c r="F118" s="30">
        <f t="shared" si="20"/>
        <v>168000000</v>
      </c>
      <c r="G118" s="31">
        <v>38353317</v>
      </c>
      <c r="H118" s="27">
        <v>7817330</v>
      </c>
      <c r="I118" s="31">
        <v>38353317</v>
      </c>
      <c r="J118" s="32">
        <f t="shared" si="21"/>
        <v>129646683</v>
      </c>
      <c r="K118" s="33">
        <f t="shared" si="18"/>
        <v>0.22829355357142858</v>
      </c>
      <c r="L118" s="113">
        <f t="shared" si="19"/>
        <v>0</v>
      </c>
      <c r="M118" s="25" t="s">
        <v>416</v>
      </c>
      <c r="N118" s="26" t="s">
        <v>417</v>
      </c>
      <c r="O118" s="27">
        <v>168000000</v>
      </c>
      <c r="P118" s="27"/>
      <c r="Q118" s="34"/>
      <c r="R118" s="30">
        <v>168000000</v>
      </c>
      <c r="S118" s="31">
        <v>23242347</v>
      </c>
      <c r="T118" s="27">
        <v>7293640</v>
      </c>
      <c r="U118" s="31">
        <v>30535987</v>
      </c>
      <c r="V118" s="32">
        <v>137464013</v>
      </c>
      <c r="W118" s="33">
        <v>0.18176182738095237</v>
      </c>
      <c r="Y118" s="25" t="s">
        <v>416</v>
      </c>
      <c r="Z118" s="26" t="s">
        <v>417</v>
      </c>
      <c r="AA118" s="27">
        <v>168000000</v>
      </c>
      <c r="AB118" s="27"/>
      <c r="AC118" s="34"/>
      <c r="AD118" s="30">
        <v>168000000</v>
      </c>
      <c r="AE118" s="31">
        <v>38353317</v>
      </c>
      <c r="AF118" s="27">
        <v>7817330</v>
      </c>
      <c r="AG118" s="31">
        <v>38353317</v>
      </c>
      <c r="AH118" s="32">
        <v>129646683</v>
      </c>
      <c r="AI118" s="33">
        <v>0.22829355357142858</v>
      </c>
    </row>
    <row r="119" spans="1:35" x14ac:dyDescent="0.25">
      <c r="A119" s="25" t="s">
        <v>418</v>
      </c>
      <c r="B119" s="26" t="s">
        <v>419</v>
      </c>
      <c r="C119" s="27">
        <v>99840000</v>
      </c>
      <c r="D119" s="27"/>
      <c r="E119" s="34"/>
      <c r="F119" s="30">
        <f t="shared" si="20"/>
        <v>99840000</v>
      </c>
      <c r="G119" s="31">
        <v>0</v>
      </c>
      <c r="H119" s="27"/>
      <c r="I119" s="31"/>
      <c r="J119" s="32">
        <f t="shared" si="21"/>
        <v>99840000</v>
      </c>
      <c r="K119" s="33">
        <f t="shared" si="18"/>
        <v>0</v>
      </c>
      <c r="L119" s="113">
        <f t="shared" si="19"/>
        <v>0</v>
      </c>
      <c r="M119" s="25" t="s">
        <v>418</v>
      </c>
      <c r="N119" s="26" t="s">
        <v>419</v>
      </c>
      <c r="O119" s="27">
        <v>99840000</v>
      </c>
      <c r="P119" s="27"/>
      <c r="Q119" s="34"/>
      <c r="R119" s="30">
        <v>99840000</v>
      </c>
      <c r="S119" s="31"/>
      <c r="T119" s="27"/>
      <c r="U119" s="31"/>
      <c r="V119" s="32">
        <v>99840000</v>
      </c>
      <c r="W119" s="33">
        <v>0</v>
      </c>
      <c r="Y119" s="25" t="s">
        <v>418</v>
      </c>
      <c r="Z119" s="26" t="s">
        <v>419</v>
      </c>
      <c r="AA119" s="27">
        <v>99840000</v>
      </c>
      <c r="AB119" s="27"/>
      <c r="AC119" s="34"/>
      <c r="AD119" s="30">
        <v>99840000</v>
      </c>
      <c r="AE119" s="31">
        <v>0</v>
      </c>
      <c r="AF119" s="27"/>
      <c r="AG119" s="31"/>
      <c r="AH119" s="32">
        <v>99840000</v>
      </c>
      <c r="AI119" s="33">
        <v>0</v>
      </c>
    </row>
    <row r="120" spans="1:35" x14ac:dyDescent="0.25">
      <c r="A120" s="25" t="s">
        <v>420</v>
      </c>
      <c r="B120" s="26" t="s">
        <v>421</v>
      </c>
      <c r="C120" s="27">
        <v>50400000</v>
      </c>
      <c r="D120" s="27"/>
      <c r="E120" s="34"/>
      <c r="F120" s="30">
        <f t="shared" si="20"/>
        <v>50400000</v>
      </c>
      <c r="G120" s="31">
        <v>0</v>
      </c>
      <c r="H120" s="27"/>
      <c r="I120" s="31"/>
      <c r="J120" s="32">
        <f t="shared" si="21"/>
        <v>50400000</v>
      </c>
      <c r="K120" s="33">
        <f t="shared" si="18"/>
        <v>0</v>
      </c>
      <c r="L120" s="113">
        <f t="shared" si="19"/>
        <v>0</v>
      </c>
      <c r="M120" s="25" t="s">
        <v>420</v>
      </c>
      <c r="N120" s="26" t="s">
        <v>421</v>
      </c>
      <c r="O120" s="27">
        <v>50400000</v>
      </c>
      <c r="P120" s="27"/>
      <c r="Q120" s="34"/>
      <c r="R120" s="30">
        <v>50400000</v>
      </c>
      <c r="S120" s="31"/>
      <c r="T120" s="27"/>
      <c r="U120" s="31"/>
      <c r="V120" s="32">
        <v>50400000</v>
      </c>
      <c r="W120" s="33">
        <v>0</v>
      </c>
      <c r="Y120" s="25" t="s">
        <v>420</v>
      </c>
      <c r="Z120" s="26" t="s">
        <v>421</v>
      </c>
      <c r="AA120" s="27">
        <v>50400000</v>
      </c>
      <c r="AB120" s="27"/>
      <c r="AC120" s="34"/>
      <c r="AD120" s="30">
        <v>50400000</v>
      </c>
      <c r="AE120" s="31">
        <v>0</v>
      </c>
      <c r="AF120" s="27"/>
      <c r="AG120" s="31"/>
      <c r="AH120" s="32">
        <v>50400000</v>
      </c>
      <c r="AI120" s="33">
        <v>0</v>
      </c>
    </row>
    <row r="121" spans="1:35" x14ac:dyDescent="0.25">
      <c r="A121" s="25" t="s">
        <v>422</v>
      </c>
      <c r="B121" s="26" t="s">
        <v>423</v>
      </c>
      <c r="C121" s="27">
        <v>36108804</v>
      </c>
      <c r="D121" s="27"/>
      <c r="E121" s="34"/>
      <c r="F121" s="30">
        <f t="shared" si="20"/>
        <v>36108804</v>
      </c>
      <c r="G121" s="31">
        <v>239433</v>
      </c>
      <c r="H121" s="27"/>
      <c r="I121" s="31">
        <v>239433</v>
      </c>
      <c r="J121" s="32">
        <f t="shared" si="21"/>
        <v>35869371</v>
      </c>
      <c r="K121" s="33">
        <f t="shared" si="18"/>
        <v>6.6308759492560319E-3</v>
      </c>
      <c r="L121" s="113">
        <f t="shared" si="19"/>
        <v>0</v>
      </c>
      <c r="M121" s="25" t="s">
        <v>422</v>
      </c>
      <c r="N121" s="26" t="s">
        <v>423</v>
      </c>
      <c r="O121" s="27">
        <v>36108804</v>
      </c>
      <c r="P121" s="27"/>
      <c r="Q121" s="34"/>
      <c r="R121" s="30">
        <v>36108804</v>
      </c>
      <c r="S121" s="31">
        <v>191839</v>
      </c>
      <c r="T121" s="27">
        <v>47594</v>
      </c>
      <c r="U121" s="31">
        <v>239433</v>
      </c>
      <c r="V121" s="32">
        <v>35869371</v>
      </c>
      <c r="W121" s="33">
        <v>6.6308759492560319E-3</v>
      </c>
      <c r="Y121" s="25" t="s">
        <v>422</v>
      </c>
      <c r="Z121" s="26" t="s">
        <v>423</v>
      </c>
      <c r="AA121" s="27">
        <v>36108804</v>
      </c>
      <c r="AB121" s="27"/>
      <c r="AC121" s="34"/>
      <c r="AD121" s="30">
        <v>36108804</v>
      </c>
      <c r="AE121" s="31">
        <v>239433</v>
      </c>
      <c r="AF121" s="27"/>
      <c r="AG121" s="31">
        <v>239433</v>
      </c>
      <c r="AH121" s="32">
        <v>35869371</v>
      </c>
      <c r="AI121" s="33">
        <v>6.6308759492560319E-3</v>
      </c>
    </row>
    <row r="122" spans="1:35" x14ac:dyDescent="0.25">
      <c r="A122" s="25" t="s">
        <v>424</v>
      </c>
      <c r="B122" s="26" t="s">
        <v>425</v>
      </c>
      <c r="C122" s="27">
        <v>220000000</v>
      </c>
      <c r="D122" s="27"/>
      <c r="E122" s="34"/>
      <c r="F122" s="30">
        <f>+C122+D122</f>
        <v>220000000</v>
      </c>
      <c r="G122" s="31">
        <v>20766210</v>
      </c>
      <c r="H122" s="27"/>
      <c r="I122" s="31">
        <v>20766210</v>
      </c>
      <c r="J122" s="32">
        <f>SUM(F122-I122)</f>
        <v>199233790</v>
      </c>
      <c r="K122" s="33">
        <f t="shared" si="18"/>
        <v>9.4391863636363635E-2</v>
      </c>
      <c r="L122" s="113">
        <f t="shared" si="19"/>
        <v>0</v>
      </c>
      <c r="M122" s="25" t="s">
        <v>424</v>
      </c>
      <c r="N122" s="26" t="s">
        <v>425</v>
      </c>
      <c r="O122" s="27">
        <v>220000000</v>
      </c>
      <c r="P122" s="27"/>
      <c r="Q122" s="34"/>
      <c r="R122" s="30">
        <v>220000000</v>
      </c>
      <c r="S122" s="31">
        <v>20766210</v>
      </c>
      <c r="T122" s="27"/>
      <c r="U122" s="31">
        <v>20766210</v>
      </c>
      <c r="V122" s="32">
        <v>199233790</v>
      </c>
      <c r="W122" s="33">
        <v>9.4391863636363635E-2</v>
      </c>
      <c r="Y122" s="25" t="s">
        <v>424</v>
      </c>
      <c r="Z122" s="26" t="s">
        <v>425</v>
      </c>
      <c r="AA122" s="27">
        <v>220000000</v>
      </c>
      <c r="AB122" s="27"/>
      <c r="AC122" s="34"/>
      <c r="AD122" s="30">
        <v>220000000</v>
      </c>
      <c r="AE122" s="31">
        <v>20766210</v>
      </c>
      <c r="AF122" s="27"/>
      <c r="AG122" s="31">
        <v>20766210</v>
      </c>
      <c r="AH122" s="32">
        <v>199233790</v>
      </c>
      <c r="AI122" s="33">
        <v>9.4391863636363635E-2</v>
      </c>
    </row>
    <row r="123" spans="1:35" x14ac:dyDescent="0.25">
      <c r="A123" s="25" t="s">
        <v>426</v>
      </c>
      <c r="B123" s="26" t="s">
        <v>427</v>
      </c>
      <c r="C123" s="27">
        <v>12000000</v>
      </c>
      <c r="D123" s="27"/>
      <c r="E123" s="34"/>
      <c r="F123" s="30">
        <f>+C123+D123</f>
        <v>12000000</v>
      </c>
      <c r="G123" s="31">
        <v>0</v>
      </c>
      <c r="H123" s="27"/>
      <c r="I123" s="31"/>
      <c r="J123" s="32">
        <f>SUM(F123-I123)</f>
        <v>12000000</v>
      </c>
      <c r="K123" s="33">
        <f t="shared" si="18"/>
        <v>0</v>
      </c>
      <c r="L123" s="113">
        <f t="shared" si="19"/>
        <v>0</v>
      </c>
      <c r="M123" s="25" t="s">
        <v>426</v>
      </c>
      <c r="N123" s="26" t="s">
        <v>427</v>
      </c>
      <c r="O123" s="27">
        <v>12000000</v>
      </c>
      <c r="P123" s="27"/>
      <c r="Q123" s="34"/>
      <c r="R123" s="30">
        <v>12000000</v>
      </c>
      <c r="S123" s="31"/>
      <c r="T123" s="27"/>
      <c r="U123" s="31"/>
      <c r="V123" s="32">
        <v>12000000</v>
      </c>
      <c r="W123" s="33">
        <v>0</v>
      </c>
      <c r="Y123" s="25" t="s">
        <v>426</v>
      </c>
      <c r="Z123" s="26" t="s">
        <v>427</v>
      </c>
      <c r="AA123" s="27">
        <v>12000000</v>
      </c>
      <c r="AB123" s="27"/>
      <c r="AC123" s="34"/>
      <c r="AD123" s="30">
        <v>12000000</v>
      </c>
      <c r="AE123" s="31">
        <v>0</v>
      </c>
      <c r="AF123" s="27"/>
      <c r="AG123" s="31"/>
      <c r="AH123" s="32">
        <v>12000000</v>
      </c>
      <c r="AI123" s="33">
        <v>0</v>
      </c>
    </row>
    <row r="124" spans="1:35" x14ac:dyDescent="0.25">
      <c r="A124" s="25" t="s">
        <v>428</v>
      </c>
      <c r="B124" s="26" t="s">
        <v>429</v>
      </c>
      <c r="C124" s="27">
        <v>150000000</v>
      </c>
      <c r="D124" s="27"/>
      <c r="E124" s="34"/>
      <c r="F124" s="30">
        <f>+C124+D124</f>
        <v>150000000</v>
      </c>
      <c r="G124" s="31">
        <v>0</v>
      </c>
      <c r="H124" s="27"/>
      <c r="I124" s="31"/>
      <c r="J124" s="32">
        <f>SUM(F124-I124)</f>
        <v>150000000</v>
      </c>
      <c r="K124" s="33">
        <f t="shared" si="18"/>
        <v>0</v>
      </c>
      <c r="L124" s="113">
        <f t="shared" si="19"/>
        <v>0</v>
      </c>
      <c r="M124" s="25" t="s">
        <v>428</v>
      </c>
      <c r="N124" s="26" t="s">
        <v>429</v>
      </c>
      <c r="O124" s="27">
        <v>150000000</v>
      </c>
      <c r="P124" s="27"/>
      <c r="Q124" s="34"/>
      <c r="R124" s="30">
        <v>150000000</v>
      </c>
      <c r="S124" s="31"/>
      <c r="T124" s="27"/>
      <c r="U124" s="31"/>
      <c r="V124" s="32">
        <v>150000000</v>
      </c>
      <c r="W124" s="33">
        <v>0</v>
      </c>
      <c r="Y124" s="25" t="s">
        <v>428</v>
      </c>
      <c r="Z124" s="26" t="s">
        <v>429</v>
      </c>
      <c r="AA124" s="27">
        <v>150000000</v>
      </c>
      <c r="AB124" s="27"/>
      <c r="AC124" s="34"/>
      <c r="AD124" s="30">
        <v>150000000</v>
      </c>
      <c r="AE124" s="31">
        <v>0</v>
      </c>
      <c r="AF124" s="27"/>
      <c r="AG124" s="31"/>
      <c r="AH124" s="32">
        <v>150000000</v>
      </c>
      <c r="AI124" s="33">
        <v>0</v>
      </c>
    </row>
    <row r="125" spans="1:35" x14ac:dyDescent="0.25">
      <c r="A125" s="25" t="s">
        <v>430</v>
      </c>
      <c r="B125" s="26" t="s">
        <v>431</v>
      </c>
      <c r="C125" s="27"/>
      <c r="D125" s="27"/>
      <c r="E125" s="34"/>
      <c r="F125" s="30">
        <f t="shared" si="20"/>
        <v>0</v>
      </c>
      <c r="G125" s="31">
        <v>49365943</v>
      </c>
      <c r="H125" s="27">
        <v>8172295</v>
      </c>
      <c r="I125" s="31">
        <v>49365943</v>
      </c>
      <c r="J125" s="32">
        <f t="shared" si="21"/>
        <v>-49365943</v>
      </c>
      <c r="K125" s="33" t="e">
        <f t="shared" si="18"/>
        <v>#DIV/0!</v>
      </c>
      <c r="L125" s="113">
        <f t="shared" si="19"/>
        <v>0</v>
      </c>
      <c r="M125" s="25" t="s">
        <v>430</v>
      </c>
      <c r="N125" s="26" t="s">
        <v>431</v>
      </c>
      <c r="O125" s="27"/>
      <c r="P125" s="27"/>
      <c r="Q125" s="34"/>
      <c r="R125" s="30">
        <v>0</v>
      </c>
      <c r="S125" s="31">
        <v>14652772</v>
      </c>
      <c r="T125" s="27">
        <v>26540876</v>
      </c>
      <c r="U125" s="31">
        <v>41193648</v>
      </c>
      <c r="V125" s="32">
        <v>-41193648</v>
      </c>
      <c r="W125" s="33" t="e">
        <v>#DIV/0!</v>
      </c>
      <c r="Y125" s="25" t="s">
        <v>430</v>
      </c>
      <c r="Z125" s="26" t="s">
        <v>431</v>
      </c>
      <c r="AA125" s="27"/>
      <c r="AB125" s="27"/>
      <c r="AC125" s="34"/>
      <c r="AD125" s="30">
        <v>0</v>
      </c>
      <c r="AE125" s="31">
        <v>49365943</v>
      </c>
      <c r="AF125" s="27">
        <v>8172295</v>
      </c>
      <c r="AG125" s="31">
        <v>49365943</v>
      </c>
      <c r="AH125" s="32">
        <v>-49365943</v>
      </c>
      <c r="AI125" s="33" t="e">
        <v>#DIV/0!</v>
      </c>
    </row>
    <row r="126" spans="1:35" x14ac:dyDescent="0.25">
      <c r="A126" s="12" t="s">
        <v>432</v>
      </c>
      <c r="B126" s="13" t="s">
        <v>433</v>
      </c>
      <c r="C126" s="14">
        <f>+C127+C142+C144</f>
        <v>81745252610</v>
      </c>
      <c r="D126" s="14">
        <f t="shared" ref="D126:J126" si="35">+D127+D142+D144</f>
        <v>1289139986</v>
      </c>
      <c r="E126" s="14">
        <f t="shared" si="35"/>
        <v>0</v>
      </c>
      <c r="F126" s="14">
        <f t="shared" si="35"/>
        <v>83034392596</v>
      </c>
      <c r="G126" s="14">
        <f t="shared" si="35"/>
        <v>44929290036.32</v>
      </c>
      <c r="H126" s="14">
        <f t="shared" si="35"/>
        <v>5669037887.8400002</v>
      </c>
      <c r="I126" s="14">
        <f t="shared" si="35"/>
        <v>44929290036.32</v>
      </c>
      <c r="J126" s="14">
        <f t="shared" si="35"/>
        <v>38072641043</v>
      </c>
      <c r="K126" s="15">
        <f t="shared" si="18"/>
        <v>0.54109253565473026</v>
      </c>
      <c r="L126" s="113">
        <f t="shared" si="19"/>
        <v>0</v>
      </c>
      <c r="M126" s="12" t="s">
        <v>432</v>
      </c>
      <c r="N126" s="13" t="s">
        <v>433</v>
      </c>
      <c r="O126" s="14">
        <v>81745252610</v>
      </c>
      <c r="P126" s="14">
        <v>1289139986</v>
      </c>
      <c r="Q126" s="14">
        <v>0</v>
      </c>
      <c r="R126" s="14">
        <v>83034392596</v>
      </c>
      <c r="S126" s="14">
        <v>34162645554.48</v>
      </c>
      <c r="T126" s="14">
        <v>8021972438</v>
      </c>
      <c r="U126" s="14">
        <v>42184617992.480003</v>
      </c>
      <c r="V126" s="14">
        <v>40798935609</v>
      </c>
      <c r="W126" s="15">
        <v>0.50803789458336035</v>
      </c>
      <c r="Y126" s="12" t="s">
        <v>432</v>
      </c>
      <c r="Z126" s="13" t="s">
        <v>433</v>
      </c>
      <c r="AA126" s="14">
        <v>81745252610</v>
      </c>
      <c r="AB126" s="14">
        <v>1289139986</v>
      </c>
      <c r="AC126" s="14">
        <v>0</v>
      </c>
      <c r="AD126" s="14">
        <v>83034392596</v>
      </c>
      <c r="AE126" s="14">
        <v>43845786661.32</v>
      </c>
      <c r="AF126" s="14">
        <v>5669037887.8400002</v>
      </c>
      <c r="AG126" s="14">
        <v>43845786661.32</v>
      </c>
      <c r="AH126" s="14">
        <v>39156144418</v>
      </c>
      <c r="AI126" s="15">
        <v>0.52804368515886724</v>
      </c>
    </row>
    <row r="127" spans="1:35" x14ac:dyDescent="0.25">
      <c r="A127" s="16" t="s">
        <v>434</v>
      </c>
      <c r="B127" s="17" t="s">
        <v>435</v>
      </c>
      <c r="C127" s="18">
        <f>+C128</f>
        <v>80649929936</v>
      </c>
      <c r="D127" s="18">
        <f t="shared" ref="D127:J127" si="36">+D128</f>
        <v>399932472</v>
      </c>
      <c r="E127" s="18">
        <f t="shared" si="36"/>
        <v>0</v>
      </c>
      <c r="F127" s="18">
        <f t="shared" si="36"/>
        <v>81049862408</v>
      </c>
      <c r="G127" s="18">
        <f t="shared" si="36"/>
        <v>42835673261.32</v>
      </c>
      <c r="H127" s="18">
        <f t="shared" si="36"/>
        <v>5262200158.8400002</v>
      </c>
      <c r="I127" s="18">
        <f t="shared" si="36"/>
        <v>42835673261.32</v>
      </c>
      <c r="J127" s="18">
        <f t="shared" si="36"/>
        <v>38142961448</v>
      </c>
      <c r="K127" s="19">
        <f t="shared" si="18"/>
        <v>0.52851012930395691</v>
      </c>
      <c r="L127" s="113">
        <f t="shared" si="19"/>
        <v>0</v>
      </c>
      <c r="M127" s="16" t="s">
        <v>434</v>
      </c>
      <c r="N127" s="17" t="s">
        <v>435</v>
      </c>
      <c r="O127" s="18">
        <v>80649929936</v>
      </c>
      <c r="P127" s="18">
        <v>399932472</v>
      </c>
      <c r="Q127" s="18">
        <v>0</v>
      </c>
      <c r="R127" s="18">
        <v>81049862408</v>
      </c>
      <c r="S127" s="18">
        <v>32475866508.48</v>
      </c>
      <c r="T127" s="18">
        <v>8021972438</v>
      </c>
      <c r="U127" s="18">
        <v>40497838946.480003</v>
      </c>
      <c r="V127" s="18">
        <v>40462418285</v>
      </c>
      <c r="W127" s="19">
        <v>0.49966573345450466</v>
      </c>
      <c r="Y127" s="16" t="s">
        <v>434</v>
      </c>
      <c r="Z127" s="17" t="s">
        <v>435</v>
      </c>
      <c r="AA127" s="18">
        <v>80649929936</v>
      </c>
      <c r="AB127" s="18">
        <v>399932472</v>
      </c>
      <c r="AC127" s="18">
        <v>0</v>
      </c>
      <c r="AD127" s="18">
        <v>81049862408</v>
      </c>
      <c r="AE127" s="18">
        <v>41752169886.32</v>
      </c>
      <c r="AF127" s="18">
        <v>5262200158.8400002</v>
      </c>
      <c r="AG127" s="18">
        <v>41752169886.32</v>
      </c>
      <c r="AH127" s="18">
        <v>39226464823</v>
      </c>
      <c r="AI127" s="19">
        <v>0.51514177379033854</v>
      </c>
    </row>
    <row r="128" spans="1:35" x14ac:dyDescent="0.25">
      <c r="A128" s="21" t="s">
        <v>436</v>
      </c>
      <c r="B128" s="22" t="s">
        <v>437</v>
      </c>
      <c r="C128" s="23">
        <f>SUM(C129:C135)+C141</f>
        <v>80649929936</v>
      </c>
      <c r="D128" s="23">
        <f t="shared" ref="D128:J128" si="37">SUM(D129:D135)+D141</f>
        <v>399932472</v>
      </c>
      <c r="E128" s="23">
        <f t="shared" si="37"/>
        <v>0</v>
      </c>
      <c r="F128" s="23">
        <f t="shared" si="37"/>
        <v>81049862408</v>
      </c>
      <c r="G128" s="23">
        <f t="shared" si="37"/>
        <v>42835673261.32</v>
      </c>
      <c r="H128" s="23">
        <f t="shared" si="37"/>
        <v>5262200158.8400002</v>
      </c>
      <c r="I128" s="23">
        <f t="shared" si="37"/>
        <v>42835673261.32</v>
      </c>
      <c r="J128" s="23">
        <f t="shared" si="37"/>
        <v>38142961448</v>
      </c>
      <c r="K128" s="36">
        <f t="shared" si="18"/>
        <v>0.52851012930395691</v>
      </c>
      <c r="L128" s="113">
        <f t="shared" si="19"/>
        <v>0</v>
      </c>
      <c r="M128" s="21" t="s">
        <v>436</v>
      </c>
      <c r="N128" s="22" t="s">
        <v>437</v>
      </c>
      <c r="O128" s="23">
        <v>80649929936</v>
      </c>
      <c r="P128" s="23">
        <v>399932472</v>
      </c>
      <c r="Q128" s="23">
        <v>0</v>
      </c>
      <c r="R128" s="23">
        <v>81049862408</v>
      </c>
      <c r="S128" s="23">
        <v>32475866508.48</v>
      </c>
      <c r="T128" s="23">
        <v>8021972438</v>
      </c>
      <c r="U128" s="23">
        <v>40497838946.480003</v>
      </c>
      <c r="V128" s="23">
        <v>40462418285</v>
      </c>
      <c r="W128" s="36">
        <v>0.49966573345450466</v>
      </c>
      <c r="Y128" s="21" t="s">
        <v>436</v>
      </c>
      <c r="Z128" s="22" t="s">
        <v>437</v>
      </c>
      <c r="AA128" s="23">
        <v>80649929936</v>
      </c>
      <c r="AB128" s="23">
        <v>399932472</v>
      </c>
      <c r="AC128" s="23">
        <v>0</v>
      </c>
      <c r="AD128" s="23">
        <v>81049862408</v>
      </c>
      <c r="AE128" s="23">
        <v>41752169886.32</v>
      </c>
      <c r="AF128" s="23">
        <v>5262200158.8400002</v>
      </c>
      <c r="AG128" s="23">
        <v>41752169886.32</v>
      </c>
      <c r="AH128" s="23">
        <v>39226464823</v>
      </c>
      <c r="AI128" s="36">
        <v>0.51514177379033854</v>
      </c>
    </row>
    <row r="129" spans="1:36" x14ac:dyDescent="0.25">
      <c r="A129" s="25" t="s">
        <v>438</v>
      </c>
      <c r="B129" s="26" t="s">
        <v>439</v>
      </c>
      <c r="C129" s="27">
        <v>62787807977</v>
      </c>
      <c r="D129" s="27"/>
      <c r="E129" s="34"/>
      <c r="F129" s="30">
        <f t="shared" si="20"/>
        <v>62787807977</v>
      </c>
      <c r="G129" s="31">
        <v>36070822971</v>
      </c>
      <c r="H129" s="27">
        <v>4007869219</v>
      </c>
      <c r="I129" s="31">
        <v>36070822971</v>
      </c>
      <c r="J129" s="32">
        <f t="shared" si="21"/>
        <v>26716985006</v>
      </c>
      <c r="K129" s="33">
        <f t="shared" si="18"/>
        <v>0.57448769328295735</v>
      </c>
      <c r="L129" s="113">
        <f t="shared" si="19"/>
        <v>0</v>
      </c>
      <c r="M129" s="25" t="s">
        <v>438</v>
      </c>
      <c r="N129" s="26" t="s">
        <v>439</v>
      </c>
      <c r="O129" s="27">
        <v>62787807977</v>
      </c>
      <c r="P129" s="27"/>
      <c r="Q129" s="34"/>
      <c r="R129" s="30">
        <v>62787807977</v>
      </c>
      <c r="S129" s="31">
        <v>26971581158</v>
      </c>
      <c r="T129" s="27">
        <v>8015738438</v>
      </c>
      <c r="U129" s="31">
        <v>34987319596</v>
      </c>
      <c r="V129" s="32">
        <v>27800488381</v>
      </c>
      <c r="W129" s="33">
        <v>0.55723110462490288</v>
      </c>
      <c r="Y129" s="25" t="s">
        <v>438</v>
      </c>
      <c r="Z129" s="26" t="s">
        <v>439</v>
      </c>
      <c r="AA129" s="27">
        <v>62787807977</v>
      </c>
      <c r="AB129" s="27"/>
      <c r="AC129" s="34"/>
      <c r="AD129" s="30">
        <v>62787807977</v>
      </c>
      <c r="AE129" s="31">
        <v>34987319596</v>
      </c>
      <c r="AF129" s="27">
        <v>4007869219</v>
      </c>
      <c r="AG129" s="31">
        <v>34987319596</v>
      </c>
      <c r="AH129" s="32">
        <v>27800488381</v>
      </c>
      <c r="AI129" s="33">
        <v>0.55723110462490288</v>
      </c>
      <c r="AJ129" s="127">
        <f>+H129*9</f>
        <v>36070822971</v>
      </c>
    </row>
    <row r="130" spans="1:36" x14ac:dyDescent="0.25">
      <c r="A130" s="25" t="s">
        <v>440</v>
      </c>
      <c r="B130" s="26" t="s">
        <v>441</v>
      </c>
      <c r="C130" s="27">
        <v>1334382815</v>
      </c>
      <c r="D130" s="27">
        <f>+[1]INGRESOS_UNIVERSIDADES_V2!E13</f>
        <v>81443507</v>
      </c>
      <c r="E130" s="34"/>
      <c r="F130" s="30">
        <f t="shared" si="20"/>
        <v>1415826322</v>
      </c>
      <c r="G130" s="31">
        <v>1415826322</v>
      </c>
      <c r="H130" s="27"/>
      <c r="I130" s="31">
        <v>1415826322</v>
      </c>
      <c r="J130" s="32">
        <f t="shared" si="21"/>
        <v>0</v>
      </c>
      <c r="K130" s="33">
        <f t="shared" si="18"/>
        <v>1</v>
      </c>
      <c r="L130" s="113">
        <f t="shared" si="19"/>
        <v>0</v>
      </c>
      <c r="M130" s="25" t="s">
        <v>440</v>
      </c>
      <c r="N130" s="26" t="s">
        <v>441</v>
      </c>
      <c r="O130" s="27">
        <v>1334382815</v>
      </c>
      <c r="P130" s="27">
        <v>81443507</v>
      </c>
      <c r="Q130" s="34"/>
      <c r="R130" s="30">
        <v>1415826322</v>
      </c>
      <c r="S130" s="31">
        <v>1415826322</v>
      </c>
      <c r="T130" s="27"/>
      <c r="U130" s="31">
        <v>1415826322</v>
      </c>
      <c r="V130" s="32">
        <v>0</v>
      </c>
      <c r="W130" s="33">
        <v>1</v>
      </c>
      <c r="Y130" s="25" t="s">
        <v>440</v>
      </c>
      <c r="Z130" s="26" t="s">
        <v>441</v>
      </c>
      <c r="AA130" s="27">
        <v>1334382815</v>
      </c>
      <c r="AB130" s="27">
        <v>81443507</v>
      </c>
      <c r="AC130" s="34"/>
      <c r="AD130" s="30">
        <v>1415826322</v>
      </c>
      <c r="AE130" s="31">
        <v>1415826322</v>
      </c>
      <c r="AF130" s="27"/>
      <c r="AG130" s="31">
        <v>1415826322</v>
      </c>
      <c r="AH130" s="32">
        <v>0</v>
      </c>
      <c r="AI130" s="33">
        <v>1</v>
      </c>
      <c r="AJ130" s="174">
        <f>+AJ129-I129</f>
        <v>0</v>
      </c>
    </row>
    <row r="131" spans="1:36" x14ac:dyDescent="0.25">
      <c r="A131" s="25" t="s">
        <v>442</v>
      </c>
      <c r="B131" s="26" t="s">
        <v>443</v>
      </c>
      <c r="C131" s="27">
        <v>956870000</v>
      </c>
      <c r="D131" s="27"/>
      <c r="E131" s="34"/>
      <c r="F131" s="30">
        <f t="shared" si="20"/>
        <v>956870000</v>
      </c>
      <c r="G131" s="31">
        <v>1235953462</v>
      </c>
      <c r="H131" s="27">
        <v>1235953462</v>
      </c>
      <c r="I131" s="31">
        <v>1235953462</v>
      </c>
      <c r="J131" s="32">
        <f t="shared" si="21"/>
        <v>-279083462</v>
      </c>
      <c r="K131" s="33">
        <f t="shared" si="18"/>
        <v>1.2916628821051972</v>
      </c>
      <c r="L131" s="113">
        <f t="shared" si="19"/>
        <v>0</v>
      </c>
      <c r="M131" s="25" t="s">
        <v>442</v>
      </c>
      <c r="N131" s="26" t="s">
        <v>443</v>
      </c>
      <c r="O131" s="27">
        <v>956870000</v>
      </c>
      <c r="P131" s="27"/>
      <c r="Q131" s="34"/>
      <c r="R131" s="30">
        <v>956870000</v>
      </c>
      <c r="S131" s="31"/>
      <c r="T131" s="27"/>
      <c r="U131" s="31"/>
      <c r="V131" s="32">
        <v>956870000</v>
      </c>
      <c r="W131" s="33">
        <v>0</v>
      </c>
      <c r="Y131" s="25" t="s">
        <v>442</v>
      </c>
      <c r="Z131" s="26" t="s">
        <v>443</v>
      </c>
      <c r="AA131" s="27">
        <v>956870000</v>
      </c>
      <c r="AB131" s="27"/>
      <c r="AC131" s="34"/>
      <c r="AD131" s="30">
        <v>956870000</v>
      </c>
      <c r="AE131" s="31">
        <v>1235953462</v>
      </c>
      <c r="AF131" s="27">
        <v>1235953462</v>
      </c>
      <c r="AG131" s="27">
        <v>1235953462</v>
      </c>
      <c r="AH131" s="32">
        <v>-279083462</v>
      </c>
      <c r="AI131" s="33">
        <v>1.2916628821051972</v>
      </c>
      <c r="AJ131" s="2">
        <f>+H129*2</f>
        <v>8015738438</v>
      </c>
    </row>
    <row r="132" spans="1:36" x14ac:dyDescent="0.25">
      <c r="A132" s="25" t="s">
        <v>444</v>
      </c>
      <c r="B132" s="26" t="s">
        <v>445</v>
      </c>
      <c r="C132" s="27">
        <v>2500000000</v>
      </c>
      <c r="D132" s="27">
        <v>318488965</v>
      </c>
      <c r="E132" s="34"/>
      <c r="F132" s="30">
        <f t="shared" si="20"/>
        <v>2818488965</v>
      </c>
      <c r="G132" s="31">
        <v>2818488965</v>
      </c>
      <c r="H132" s="27"/>
      <c r="I132" s="31">
        <v>2818488965</v>
      </c>
      <c r="J132" s="32">
        <f>SUM(F132-I132)</f>
        <v>0</v>
      </c>
      <c r="K132" s="33">
        <f t="shared" si="18"/>
        <v>1</v>
      </c>
      <c r="L132" s="113">
        <f t="shared" si="19"/>
        <v>0</v>
      </c>
      <c r="M132" s="25" t="s">
        <v>444</v>
      </c>
      <c r="N132" s="26" t="s">
        <v>445</v>
      </c>
      <c r="O132" s="27">
        <v>2500000000</v>
      </c>
      <c r="P132" s="27">
        <v>318488965</v>
      </c>
      <c r="Q132" s="34"/>
      <c r="R132" s="30">
        <v>2818488965</v>
      </c>
      <c r="S132" s="31">
        <v>2818488965</v>
      </c>
      <c r="T132" s="27"/>
      <c r="U132" s="31">
        <v>2818488965</v>
      </c>
      <c r="V132" s="32">
        <v>0</v>
      </c>
      <c r="W132" s="33">
        <v>1</v>
      </c>
      <c r="Y132" s="25" t="s">
        <v>444</v>
      </c>
      <c r="Z132" s="26" t="s">
        <v>445</v>
      </c>
      <c r="AA132" s="27">
        <v>2500000000</v>
      </c>
      <c r="AB132" s="27">
        <v>318488965</v>
      </c>
      <c r="AC132" s="34"/>
      <c r="AD132" s="30">
        <v>2818488965</v>
      </c>
      <c r="AE132" s="31">
        <v>2818488965</v>
      </c>
      <c r="AF132" s="27"/>
      <c r="AG132" s="31">
        <v>2818488965</v>
      </c>
      <c r="AH132" s="32">
        <v>0</v>
      </c>
      <c r="AI132" s="33">
        <v>1</v>
      </c>
    </row>
    <row r="133" spans="1:36" x14ac:dyDescent="0.25">
      <c r="A133" s="25" t="s">
        <v>446</v>
      </c>
      <c r="B133" s="26" t="s">
        <v>447</v>
      </c>
      <c r="C133" s="27">
        <v>3200000000</v>
      </c>
      <c r="D133" s="27"/>
      <c r="E133" s="34"/>
      <c r="F133" s="30">
        <f t="shared" si="20"/>
        <v>3200000000</v>
      </c>
      <c r="G133" s="31">
        <v>0</v>
      </c>
      <c r="H133" s="27"/>
      <c r="I133" s="31"/>
      <c r="J133" s="32">
        <f>SUM(F133-I133)</f>
        <v>3200000000</v>
      </c>
      <c r="K133" s="33">
        <f t="shared" si="18"/>
        <v>0</v>
      </c>
      <c r="L133" s="113">
        <f t="shared" si="19"/>
        <v>0</v>
      </c>
      <c r="M133" s="25" t="s">
        <v>446</v>
      </c>
      <c r="N133" s="26" t="s">
        <v>447</v>
      </c>
      <c r="O133" s="27">
        <v>3200000000</v>
      </c>
      <c r="P133" s="27"/>
      <c r="Q133" s="34"/>
      <c r="R133" s="30">
        <v>3200000000</v>
      </c>
      <c r="S133" s="31"/>
      <c r="T133" s="27"/>
      <c r="U133" s="31"/>
      <c r="V133" s="32">
        <v>3200000000</v>
      </c>
      <c r="W133" s="33">
        <v>0</v>
      </c>
      <c r="Y133" s="25" t="s">
        <v>446</v>
      </c>
      <c r="Z133" s="26" t="s">
        <v>447</v>
      </c>
      <c r="AA133" s="27">
        <v>3200000000</v>
      </c>
      <c r="AB133" s="27"/>
      <c r="AC133" s="34"/>
      <c r="AD133" s="30">
        <v>3200000000</v>
      </c>
      <c r="AE133" s="31">
        <v>0</v>
      </c>
      <c r="AF133" s="27"/>
      <c r="AG133" s="31"/>
      <c r="AH133" s="32">
        <v>3200000000</v>
      </c>
      <c r="AI133" s="33">
        <v>0</v>
      </c>
    </row>
    <row r="134" spans="1:36" x14ac:dyDescent="0.25">
      <c r="A134" s="25" t="s">
        <v>448</v>
      </c>
      <c r="B134" s="26" t="s">
        <v>449</v>
      </c>
      <c r="C134" s="27">
        <v>8505059904</v>
      </c>
      <c r="D134" s="27"/>
      <c r="E134" s="34"/>
      <c r="F134" s="30">
        <f t="shared" si="20"/>
        <v>8505059904</v>
      </c>
      <c r="G134" s="31">
        <v>0</v>
      </c>
      <c r="H134" s="27"/>
      <c r="I134" s="31"/>
      <c r="J134" s="32">
        <f>SUM(F134-I134)</f>
        <v>8505059904</v>
      </c>
      <c r="K134" s="33">
        <f t="shared" si="18"/>
        <v>0</v>
      </c>
      <c r="L134" s="113">
        <f t="shared" ref="L134:L180" si="38">+I134-G134</f>
        <v>0</v>
      </c>
      <c r="M134" s="25" t="s">
        <v>448</v>
      </c>
      <c r="N134" s="26" t="s">
        <v>449</v>
      </c>
      <c r="O134" s="27">
        <v>8505059904</v>
      </c>
      <c r="P134" s="27"/>
      <c r="Q134" s="34"/>
      <c r="R134" s="30">
        <v>8505059904</v>
      </c>
      <c r="S134" s="31"/>
      <c r="T134" s="27"/>
      <c r="U134" s="31"/>
      <c r="V134" s="32">
        <v>8505059904</v>
      </c>
      <c r="W134" s="33">
        <v>0</v>
      </c>
      <c r="Y134" s="25" t="s">
        <v>448</v>
      </c>
      <c r="Z134" s="26" t="s">
        <v>449</v>
      </c>
      <c r="AA134" s="27">
        <v>8505059904</v>
      </c>
      <c r="AB134" s="27"/>
      <c r="AC134" s="34"/>
      <c r="AD134" s="30">
        <v>8505059904</v>
      </c>
      <c r="AE134" s="31">
        <v>0</v>
      </c>
      <c r="AF134" s="27"/>
      <c r="AG134" s="31"/>
      <c r="AH134" s="32">
        <v>8505059904</v>
      </c>
      <c r="AI134" s="33">
        <v>0</v>
      </c>
    </row>
    <row r="135" spans="1:36" x14ac:dyDescent="0.25">
      <c r="A135" s="16" t="s">
        <v>450</v>
      </c>
      <c r="B135" s="17" t="s">
        <v>451</v>
      </c>
      <c r="C135" s="18">
        <f>+C136</f>
        <v>1365809240</v>
      </c>
      <c r="D135" s="18">
        <f t="shared" ref="D135:J136" si="39">+D136</f>
        <v>0</v>
      </c>
      <c r="E135" s="18">
        <f t="shared" si="39"/>
        <v>0</v>
      </c>
      <c r="F135" s="18">
        <f t="shared" si="39"/>
        <v>1365809240</v>
      </c>
      <c r="G135" s="18">
        <f t="shared" si="39"/>
        <v>264104883.31999999</v>
      </c>
      <c r="H135" s="18">
        <f t="shared" si="39"/>
        <v>18377477.84</v>
      </c>
      <c r="I135" s="18">
        <f t="shared" si="39"/>
        <v>264104883.31999999</v>
      </c>
      <c r="J135" s="18">
        <f t="shared" si="39"/>
        <v>0</v>
      </c>
      <c r="K135" s="19">
        <f t="shared" si="18"/>
        <v>0.1933687923505335</v>
      </c>
      <c r="L135" s="113">
        <f t="shared" si="38"/>
        <v>0</v>
      </c>
      <c r="M135" s="16" t="s">
        <v>450</v>
      </c>
      <c r="N135" s="17" t="s">
        <v>451</v>
      </c>
      <c r="O135" s="18">
        <v>1365809240</v>
      </c>
      <c r="P135" s="18">
        <v>0</v>
      </c>
      <c r="Q135" s="18">
        <v>0</v>
      </c>
      <c r="R135" s="18">
        <v>1365809240</v>
      </c>
      <c r="S135" s="18">
        <v>239493405.47999999</v>
      </c>
      <c r="T135" s="18">
        <v>6234000</v>
      </c>
      <c r="U135" s="18">
        <v>245727405.47999999</v>
      </c>
      <c r="V135" s="18">
        <v>0</v>
      </c>
      <c r="W135" s="19">
        <v>0.17991341563921473</v>
      </c>
      <c r="Y135" s="16" t="s">
        <v>450</v>
      </c>
      <c r="Z135" s="17" t="s">
        <v>451</v>
      </c>
      <c r="AA135" s="18">
        <v>1365809240</v>
      </c>
      <c r="AB135" s="18">
        <v>0</v>
      </c>
      <c r="AC135" s="18">
        <v>0</v>
      </c>
      <c r="AD135" s="18">
        <v>1365809240</v>
      </c>
      <c r="AE135" s="18">
        <v>264104883.31999999</v>
      </c>
      <c r="AF135" s="18">
        <v>18377477.84</v>
      </c>
      <c r="AG135" s="18">
        <v>264104883.31999999</v>
      </c>
      <c r="AH135" s="18">
        <v>0</v>
      </c>
      <c r="AI135" s="19">
        <v>0.1933687923505335</v>
      </c>
    </row>
    <row r="136" spans="1:36" x14ac:dyDescent="0.25">
      <c r="A136" s="16" t="s">
        <v>452</v>
      </c>
      <c r="B136" s="17" t="s">
        <v>453</v>
      </c>
      <c r="C136" s="18">
        <f>+C137</f>
        <v>1365809240</v>
      </c>
      <c r="D136" s="18">
        <f t="shared" si="39"/>
        <v>0</v>
      </c>
      <c r="E136" s="18">
        <f t="shared" si="39"/>
        <v>0</v>
      </c>
      <c r="F136" s="18">
        <f t="shared" si="39"/>
        <v>1365809240</v>
      </c>
      <c r="G136" s="18">
        <f t="shared" si="39"/>
        <v>264104883.31999999</v>
      </c>
      <c r="H136" s="18">
        <f t="shared" si="39"/>
        <v>18377477.84</v>
      </c>
      <c r="I136" s="18">
        <f t="shared" si="39"/>
        <v>264104883.31999999</v>
      </c>
      <c r="J136" s="18">
        <f t="shared" si="39"/>
        <v>0</v>
      </c>
      <c r="K136" s="19">
        <f t="shared" ref="K136:K180" si="40">+I136/F136</f>
        <v>0.1933687923505335</v>
      </c>
      <c r="L136" s="113">
        <f t="shared" si="38"/>
        <v>0</v>
      </c>
      <c r="M136" s="16" t="s">
        <v>452</v>
      </c>
      <c r="N136" s="17" t="s">
        <v>453</v>
      </c>
      <c r="O136" s="18">
        <v>1365809240</v>
      </c>
      <c r="P136" s="18">
        <v>0</v>
      </c>
      <c r="Q136" s="18">
        <v>0</v>
      </c>
      <c r="R136" s="18">
        <v>1365809240</v>
      </c>
      <c r="S136" s="18">
        <v>239493405.47999999</v>
      </c>
      <c r="T136" s="18">
        <v>6234000</v>
      </c>
      <c r="U136" s="18">
        <v>245727405.47999999</v>
      </c>
      <c r="V136" s="18">
        <v>0</v>
      </c>
      <c r="W136" s="19">
        <v>0.17991341563921473</v>
      </c>
      <c r="Y136" s="16" t="s">
        <v>452</v>
      </c>
      <c r="Z136" s="17" t="s">
        <v>453</v>
      </c>
      <c r="AA136" s="18">
        <v>1365809240</v>
      </c>
      <c r="AB136" s="18">
        <v>0</v>
      </c>
      <c r="AC136" s="18">
        <v>0</v>
      </c>
      <c r="AD136" s="18">
        <v>1365809240</v>
      </c>
      <c r="AE136" s="18">
        <v>264104883.31999999</v>
      </c>
      <c r="AF136" s="18">
        <v>18377477.84</v>
      </c>
      <c r="AG136" s="18">
        <v>264104883.31999999</v>
      </c>
      <c r="AH136" s="18">
        <v>0</v>
      </c>
      <c r="AI136" s="19">
        <v>0.1933687923505335</v>
      </c>
    </row>
    <row r="137" spans="1:36" x14ac:dyDescent="0.25">
      <c r="A137" s="21" t="s">
        <v>454</v>
      </c>
      <c r="B137" s="22" t="s">
        <v>455</v>
      </c>
      <c r="C137" s="23">
        <f>+C138+C139+C140</f>
        <v>1365809240</v>
      </c>
      <c r="D137" s="23">
        <f t="shared" ref="D137:J137" si="41">+D138+D139+D140</f>
        <v>0</v>
      </c>
      <c r="E137" s="23">
        <f t="shared" si="41"/>
        <v>0</v>
      </c>
      <c r="F137" s="23">
        <f t="shared" si="41"/>
        <v>1365809240</v>
      </c>
      <c r="G137" s="23">
        <f t="shared" si="41"/>
        <v>264104883.31999999</v>
      </c>
      <c r="H137" s="23">
        <f t="shared" si="41"/>
        <v>18377477.84</v>
      </c>
      <c r="I137" s="23">
        <f t="shared" si="41"/>
        <v>264104883.31999999</v>
      </c>
      <c r="J137" s="23">
        <f t="shared" si="41"/>
        <v>0</v>
      </c>
      <c r="K137" s="36">
        <f t="shared" si="40"/>
        <v>0.1933687923505335</v>
      </c>
      <c r="L137" s="113">
        <f t="shared" si="38"/>
        <v>0</v>
      </c>
      <c r="M137" s="21" t="s">
        <v>454</v>
      </c>
      <c r="N137" s="22" t="s">
        <v>455</v>
      </c>
      <c r="O137" s="23">
        <v>1365809240</v>
      </c>
      <c r="P137" s="23">
        <v>0</v>
      </c>
      <c r="Q137" s="23">
        <v>0</v>
      </c>
      <c r="R137" s="23">
        <v>1365809240</v>
      </c>
      <c r="S137" s="23">
        <v>239493405.47999999</v>
      </c>
      <c r="T137" s="23">
        <v>6234000</v>
      </c>
      <c r="U137" s="23">
        <v>245727405.47999999</v>
      </c>
      <c r="V137" s="23">
        <v>0</v>
      </c>
      <c r="W137" s="36">
        <v>0.17991341563921473</v>
      </c>
      <c r="Y137" s="21" t="s">
        <v>454</v>
      </c>
      <c r="Z137" s="22" t="s">
        <v>455</v>
      </c>
      <c r="AA137" s="23">
        <v>1365809240</v>
      </c>
      <c r="AB137" s="23">
        <v>0</v>
      </c>
      <c r="AC137" s="23">
        <v>0</v>
      </c>
      <c r="AD137" s="23">
        <v>1365809240</v>
      </c>
      <c r="AE137" s="23">
        <v>264104883.31999999</v>
      </c>
      <c r="AF137" s="23">
        <v>18377477.84</v>
      </c>
      <c r="AG137" s="23">
        <v>264104883.31999999</v>
      </c>
      <c r="AH137" s="23">
        <v>0</v>
      </c>
      <c r="AI137" s="36">
        <v>0.1933687923505335</v>
      </c>
    </row>
    <row r="138" spans="1:36" x14ac:dyDescent="0.25">
      <c r="A138" s="25" t="s">
        <v>456</v>
      </c>
      <c r="B138" s="26" t="s">
        <v>457</v>
      </c>
      <c r="C138" s="27">
        <v>515924814</v>
      </c>
      <c r="D138" s="27"/>
      <c r="E138" s="34"/>
      <c r="F138" s="30">
        <f t="shared" si="20"/>
        <v>515924814</v>
      </c>
      <c r="G138" s="31">
        <v>264104883.31999999</v>
      </c>
      <c r="H138" s="27">
        <v>18377477.84</v>
      </c>
      <c r="I138" s="31">
        <v>264104883.31999999</v>
      </c>
      <c r="J138" s="32"/>
      <c r="K138" s="33">
        <f t="shared" si="40"/>
        <v>0.51190575865575638</v>
      </c>
      <c r="L138" s="113">
        <f t="shared" si="38"/>
        <v>0</v>
      </c>
      <c r="M138" s="25" t="s">
        <v>456</v>
      </c>
      <c r="N138" s="26" t="s">
        <v>457</v>
      </c>
      <c r="O138" s="27">
        <v>515924814</v>
      </c>
      <c r="P138" s="27"/>
      <c r="Q138" s="34"/>
      <c r="R138" s="30">
        <v>515924814</v>
      </c>
      <c r="S138" s="31">
        <v>239493405.47999999</v>
      </c>
      <c r="T138" s="27">
        <v>6234000</v>
      </c>
      <c r="U138" s="31">
        <v>245727405.47999999</v>
      </c>
      <c r="V138" s="32"/>
      <c r="W138" s="33">
        <v>0.47628530129198243</v>
      </c>
      <c r="Y138" s="25" t="s">
        <v>456</v>
      </c>
      <c r="Z138" s="26" t="s">
        <v>457</v>
      </c>
      <c r="AA138" s="27">
        <v>515924814</v>
      </c>
      <c r="AB138" s="27"/>
      <c r="AC138" s="34"/>
      <c r="AD138" s="30">
        <v>515924814</v>
      </c>
      <c r="AE138" s="31">
        <v>264104883.31999999</v>
      </c>
      <c r="AF138" s="27">
        <v>18377477.84</v>
      </c>
      <c r="AG138" s="31">
        <v>264104883.31999999</v>
      </c>
      <c r="AH138" s="32"/>
      <c r="AI138" s="33">
        <v>0.51190575865575638</v>
      </c>
    </row>
    <row r="139" spans="1:36" x14ac:dyDescent="0.25">
      <c r="A139" s="25" t="s">
        <v>458</v>
      </c>
      <c r="B139" s="26" t="s">
        <v>459</v>
      </c>
      <c r="C139" s="27">
        <v>474667785</v>
      </c>
      <c r="D139" s="27"/>
      <c r="E139" s="34"/>
      <c r="F139" s="30">
        <f t="shared" si="20"/>
        <v>474667785</v>
      </c>
      <c r="G139" s="31">
        <v>0</v>
      </c>
      <c r="H139" s="27"/>
      <c r="I139" s="31"/>
      <c r="J139" s="32"/>
      <c r="K139" s="33">
        <f t="shared" si="40"/>
        <v>0</v>
      </c>
      <c r="L139" s="113">
        <f t="shared" si="38"/>
        <v>0</v>
      </c>
      <c r="M139" s="25" t="s">
        <v>458</v>
      </c>
      <c r="N139" s="26" t="s">
        <v>459</v>
      </c>
      <c r="O139" s="27">
        <v>474667785</v>
      </c>
      <c r="P139" s="27"/>
      <c r="Q139" s="34"/>
      <c r="R139" s="30">
        <v>474667785</v>
      </c>
      <c r="S139" s="31"/>
      <c r="T139" s="27"/>
      <c r="U139" s="31"/>
      <c r="V139" s="32"/>
      <c r="W139" s="33">
        <v>0</v>
      </c>
      <c r="Y139" s="25" t="s">
        <v>458</v>
      </c>
      <c r="Z139" s="26" t="s">
        <v>459</v>
      </c>
      <c r="AA139" s="27">
        <v>474667785</v>
      </c>
      <c r="AB139" s="27"/>
      <c r="AC139" s="34"/>
      <c r="AD139" s="30">
        <v>474667785</v>
      </c>
      <c r="AE139" s="31">
        <v>0</v>
      </c>
      <c r="AF139" s="27"/>
      <c r="AG139" s="31"/>
      <c r="AH139" s="32"/>
      <c r="AI139" s="33">
        <v>0</v>
      </c>
    </row>
    <row r="140" spans="1:36" x14ac:dyDescent="0.25">
      <c r="A140" s="25" t="s">
        <v>460</v>
      </c>
      <c r="B140" s="26" t="s">
        <v>461</v>
      </c>
      <c r="C140" s="27">
        <v>375216641</v>
      </c>
      <c r="D140" s="27"/>
      <c r="E140" s="34"/>
      <c r="F140" s="30">
        <f t="shared" si="20"/>
        <v>375216641</v>
      </c>
      <c r="G140" s="31">
        <v>0</v>
      </c>
      <c r="H140" s="27"/>
      <c r="I140" s="31"/>
      <c r="J140" s="32"/>
      <c r="K140" s="33">
        <f t="shared" si="40"/>
        <v>0</v>
      </c>
      <c r="L140" s="113">
        <f t="shared" si="38"/>
        <v>0</v>
      </c>
      <c r="M140" s="25" t="s">
        <v>460</v>
      </c>
      <c r="N140" s="26" t="s">
        <v>461</v>
      </c>
      <c r="O140" s="27">
        <v>375216641</v>
      </c>
      <c r="P140" s="27"/>
      <c r="Q140" s="34"/>
      <c r="R140" s="30">
        <v>375216641</v>
      </c>
      <c r="S140" s="31"/>
      <c r="T140" s="27"/>
      <c r="U140" s="31"/>
      <c r="V140" s="32"/>
      <c r="W140" s="33">
        <v>0</v>
      </c>
      <c r="Y140" s="25" t="s">
        <v>460</v>
      </c>
      <c r="Z140" s="26" t="s">
        <v>461</v>
      </c>
      <c r="AA140" s="27">
        <v>375216641</v>
      </c>
      <c r="AB140" s="27"/>
      <c r="AC140" s="34"/>
      <c r="AD140" s="30">
        <v>375216641</v>
      </c>
      <c r="AE140" s="31">
        <v>0</v>
      </c>
      <c r="AF140" s="27"/>
      <c r="AG140" s="31"/>
      <c r="AH140" s="32"/>
      <c r="AI140" s="33">
        <v>0</v>
      </c>
    </row>
    <row r="141" spans="1:36" x14ac:dyDescent="0.25">
      <c r="A141" s="16" t="s">
        <v>887</v>
      </c>
      <c r="B141" s="17" t="s">
        <v>888</v>
      </c>
      <c r="C141" s="18"/>
      <c r="D141" s="18"/>
      <c r="E141" s="18"/>
      <c r="F141" s="18"/>
      <c r="G141" s="18">
        <v>1030476658</v>
      </c>
      <c r="H141" s="18"/>
      <c r="I141" s="18">
        <v>1030476658</v>
      </c>
      <c r="J141" s="18"/>
      <c r="K141" s="19"/>
      <c r="L141" s="113">
        <f t="shared" si="38"/>
        <v>0</v>
      </c>
      <c r="M141" s="16" t="s">
        <v>887</v>
      </c>
      <c r="N141" s="17" t="s">
        <v>888</v>
      </c>
      <c r="O141" s="18"/>
      <c r="P141" s="18"/>
      <c r="Q141" s="18"/>
      <c r="R141" s="18"/>
      <c r="S141" s="18">
        <v>1030476658</v>
      </c>
      <c r="T141" s="18"/>
      <c r="U141" s="18">
        <v>1030476658</v>
      </c>
      <c r="V141" s="18"/>
      <c r="W141" s="19"/>
      <c r="Y141" s="16" t="s">
        <v>887</v>
      </c>
      <c r="Z141" s="17" t="s">
        <v>888</v>
      </c>
      <c r="AA141" s="18"/>
      <c r="AB141" s="18"/>
      <c r="AC141" s="18"/>
      <c r="AD141" s="18"/>
      <c r="AE141" s="18">
        <v>1030476658</v>
      </c>
      <c r="AF141" s="18"/>
      <c r="AG141" s="18">
        <v>1030476658</v>
      </c>
      <c r="AH141" s="18"/>
      <c r="AI141" s="19"/>
    </row>
    <row r="142" spans="1:36" x14ac:dyDescent="0.25">
      <c r="A142" s="16" t="s">
        <v>462</v>
      </c>
      <c r="B142" s="17" t="s">
        <v>463</v>
      </c>
      <c r="C142" s="18">
        <f>+C143</f>
        <v>1095322674</v>
      </c>
      <c r="D142" s="18">
        <f t="shared" ref="D142:J142" si="42">+D143</f>
        <v>0</v>
      </c>
      <c r="E142" s="18">
        <f t="shared" si="42"/>
        <v>0</v>
      </c>
      <c r="F142" s="18">
        <f t="shared" si="42"/>
        <v>1095322674</v>
      </c>
      <c r="G142" s="18">
        <f t="shared" si="42"/>
        <v>1165643079</v>
      </c>
      <c r="H142" s="18">
        <f t="shared" si="42"/>
        <v>406837729</v>
      </c>
      <c r="I142" s="18">
        <f t="shared" si="42"/>
        <v>1165643079</v>
      </c>
      <c r="J142" s="18">
        <f t="shared" si="42"/>
        <v>-70320405</v>
      </c>
      <c r="K142" s="19">
        <f t="shared" si="40"/>
        <v>1.0642006293389303</v>
      </c>
      <c r="L142" s="113">
        <f t="shared" si="38"/>
        <v>0</v>
      </c>
      <c r="M142" s="16" t="s">
        <v>462</v>
      </c>
      <c r="N142" s="17" t="s">
        <v>463</v>
      </c>
      <c r="O142" s="18">
        <v>1095322674</v>
      </c>
      <c r="P142" s="18">
        <v>0</v>
      </c>
      <c r="Q142" s="18">
        <v>0</v>
      </c>
      <c r="R142" s="18">
        <v>1095322674</v>
      </c>
      <c r="S142" s="18">
        <v>758805350</v>
      </c>
      <c r="T142" s="18">
        <v>0</v>
      </c>
      <c r="U142" s="18">
        <v>758805350</v>
      </c>
      <c r="V142" s="18">
        <v>336517324</v>
      </c>
      <c r="W142" s="19">
        <v>0.6927687776506305</v>
      </c>
      <c r="Y142" s="16" t="s">
        <v>462</v>
      </c>
      <c r="Z142" s="17" t="s">
        <v>463</v>
      </c>
      <c r="AA142" s="18">
        <v>1095322674</v>
      </c>
      <c r="AB142" s="18">
        <v>889207514</v>
      </c>
      <c r="AC142" s="18">
        <v>0</v>
      </c>
      <c r="AD142" s="18">
        <v>1095322674</v>
      </c>
      <c r="AE142" s="18">
        <v>1165643079</v>
      </c>
      <c r="AF142" s="18">
        <v>406837729</v>
      </c>
      <c r="AG142" s="18">
        <v>1165643079</v>
      </c>
      <c r="AH142" s="18">
        <v>-70320405</v>
      </c>
      <c r="AI142" s="19">
        <v>1.0642006293389303</v>
      </c>
    </row>
    <row r="143" spans="1:36" x14ac:dyDescent="0.25">
      <c r="A143" s="25" t="s">
        <v>464</v>
      </c>
      <c r="B143" s="26" t="s">
        <v>465</v>
      </c>
      <c r="C143" s="27">
        <v>1095322674</v>
      </c>
      <c r="D143" s="27"/>
      <c r="E143" s="34"/>
      <c r="F143" s="30">
        <f t="shared" si="20"/>
        <v>1095322674</v>
      </c>
      <c r="G143" s="31">
        <v>1165643079</v>
      </c>
      <c r="H143" s="27">
        <v>406837729</v>
      </c>
      <c r="I143" s="31">
        <v>1165643079</v>
      </c>
      <c r="J143" s="32">
        <f>SUM(F143-I143)</f>
        <v>-70320405</v>
      </c>
      <c r="K143" s="33">
        <f t="shared" si="40"/>
        <v>1.0642006293389303</v>
      </c>
      <c r="L143" s="113">
        <f t="shared" si="38"/>
        <v>0</v>
      </c>
      <c r="M143" s="25" t="s">
        <v>464</v>
      </c>
      <c r="N143" s="26" t="s">
        <v>465</v>
      </c>
      <c r="O143" s="27">
        <v>1095322674</v>
      </c>
      <c r="P143" s="27"/>
      <c r="Q143" s="34"/>
      <c r="R143" s="30">
        <v>1095322674</v>
      </c>
      <c r="S143" s="31">
        <v>758805350</v>
      </c>
      <c r="T143" s="27"/>
      <c r="U143" s="31">
        <v>758805350</v>
      </c>
      <c r="V143" s="32">
        <v>336517324</v>
      </c>
      <c r="W143" s="33">
        <v>0.6927687776506305</v>
      </c>
      <c r="Y143" s="25" t="s">
        <v>464</v>
      </c>
      <c r="Z143" s="26" t="s">
        <v>465</v>
      </c>
      <c r="AA143" s="27">
        <v>1095322674</v>
      </c>
      <c r="AB143" s="27"/>
      <c r="AC143" s="34"/>
      <c r="AD143" s="30">
        <v>1095322674</v>
      </c>
      <c r="AE143" s="31">
        <v>1165643079</v>
      </c>
      <c r="AF143" s="27">
        <v>406837729</v>
      </c>
      <c r="AG143" s="31">
        <v>1165643079</v>
      </c>
      <c r="AH143" s="32">
        <v>-70320405</v>
      </c>
      <c r="AI143" s="33">
        <v>1.0642006293389303</v>
      </c>
    </row>
    <row r="144" spans="1:36" x14ac:dyDescent="0.25">
      <c r="A144" s="16" t="s">
        <v>466</v>
      </c>
      <c r="B144" s="17" t="s">
        <v>467</v>
      </c>
      <c r="C144" s="18">
        <f>+C145</f>
        <v>0</v>
      </c>
      <c r="D144" s="18">
        <f t="shared" ref="D144:J145" si="43">+D145</f>
        <v>889207514</v>
      </c>
      <c r="E144" s="18">
        <f t="shared" si="43"/>
        <v>0</v>
      </c>
      <c r="F144" s="18">
        <f t="shared" si="43"/>
        <v>889207514</v>
      </c>
      <c r="G144" s="18">
        <f t="shared" si="43"/>
        <v>927973696</v>
      </c>
      <c r="H144" s="18">
        <f t="shared" si="43"/>
        <v>0</v>
      </c>
      <c r="I144" s="18">
        <f t="shared" si="43"/>
        <v>927973696</v>
      </c>
      <c r="J144" s="18">
        <f t="shared" si="43"/>
        <v>0</v>
      </c>
      <c r="K144" s="19">
        <f t="shared" si="40"/>
        <v>1.043596327504718</v>
      </c>
      <c r="L144" s="113">
        <f t="shared" si="38"/>
        <v>0</v>
      </c>
      <c r="M144" s="16" t="s">
        <v>466</v>
      </c>
      <c r="N144" s="17" t="s">
        <v>467</v>
      </c>
      <c r="O144" s="18">
        <v>0</v>
      </c>
      <c r="P144" s="18">
        <v>889207514</v>
      </c>
      <c r="Q144" s="18">
        <v>0</v>
      </c>
      <c r="R144" s="18">
        <v>889207514</v>
      </c>
      <c r="S144" s="18">
        <v>927973696</v>
      </c>
      <c r="T144" s="18">
        <v>0</v>
      </c>
      <c r="U144" s="18">
        <v>927973696</v>
      </c>
      <c r="V144" s="18">
        <v>0</v>
      </c>
      <c r="W144" s="19">
        <v>1.043596327504718</v>
      </c>
      <c r="Y144" s="16" t="s">
        <v>466</v>
      </c>
      <c r="Z144" s="17" t="s">
        <v>467</v>
      </c>
      <c r="AA144" s="18">
        <v>0</v>
      </c>
      <c r="AB144" s="18">
        <v>0</v>
      </c>
      <c r="AC144" s="18">
        <v>0</v>
      </c>
      <c r="AD144" s="18">
        <v>889207514</v>
      </c>
      <c r="AE144" s="18">
        <v>927973696</v>
      </c>
      <c r="AF144" s="18">
        <v>0</v>
      </c>
      <c r="AG144" s="18">
        <v>927973696</v>
      </c>
      <c r="AH144" s="18">
        <v>0</v>
      </c>
      <c r="AI144" s="19">
        <v>1.043596327504718</v>
      </c>
    </row>
    <row r="145" spans="1:35" x14ac:dyDescent="0.25">
      <c r="A145" s="16" t="s">
        <v>468</v>
      </c>
      <c r="B145" s="17" t="s">
        <v>469</v>
      </c>
      <c r="C145" s="18">
        <f>+C146</f>
        <v>0</v>
      </c>
      <c r="D145" s="18">
        <f t="shared" si="43"/>
        <v>889207514</v>
      </c>
      <c r="E145" s="18">
        <f t="shared" si="43"/>
        <v>0</v>
      </c>
      <c r="F145" s="18">
        <f t="shared" si="43"/>
        <v>889207514</v>
      </c>
      <c r="G145" s="18">
        <f t="shared" si="43"/>
        <v>927973696</v>
      </c>
      <c r="H145" s="18">
        <f t="shared" si="43"/>
        <v>0</v>
      </c>
      <c r="I145" s="18">
        <f t="shared" si="43"/>
        <v>927973696</v>
      </c>
      <c r="J145" s="18">
        <f t="shared" si="43"/>
        <v>0</v>
      </c>
      <c r="K145" s="19">
        <f t="shared" si="40"/>
        <v>1.043596327504718</v>
      </c>
      <c r="L145" s="113">
        <f t="shared" si="38"/>
        <v>0</v>
      </c>
      <c r="M145" s="16" t="s">
        <v>468</v>
      </c>
      <c r="N145" s="17" t="s">
        <v>469</v>
      </c>
      <c r="O145" s="18">
        <v>0</v>
      </c>
      <c r="P145" s="18">
        <v>889207514</v>
      </c>
      <c r="Q145" s="18">
        <v>0</v>
      </c>
      <c r="R145" s="18">
        <v>889207514</v>
      </c>
      <c r="S145" s="18">
        <v>927973696</v>
      </c>
      <c r="T145" s="18">
        <v>0</v>
      </c>
      <c r="U145" s="18">
        <v>927973696</v>
      </c>
      <c r="V145" s="18">
        <v>0</v>
      </c>
      <c r="W145" s="19">
        <v>1.043596327504718</v>
      </c>
      <c r="Y145" s="16" t="s">
        <v>468</v>
      </c>
      <c r="Z145" s="17" t="s">
        <v>469</v>
      </c>
      <c r="AA145" s="18">
        <v>0</v>
      </c>
      <c r="AB145" s="18"/>
      <c r="AC145" s="18">
        <v>0</v>
      </c>
      <c r="AD145" s="18">
        <v>889207514</v>
      </c>
      <c r="AE145" s="18">
        <v>927973696</v>
      </c>
      <c r="AF145" s="18">
        <v>0</v>
      </c>
      <c r="AG145" s="18">
        <v>927973696</v>
      </c>
      <c r="AH145" s="18">
        <v>0</v>
      </c>
      <c r="AI145" s="19">
        <v>1.043596327504718</v>
      </c>
    </row>
    <row r="146" spans="1:35" x14ac:dyDescent="0.25">
      <c r="A146" s="21" t="s">
        <v>470</v>
      </c>
      <c r="B146" s="22" t="s">
        <v>471</v>
      </c>
      <c r="C146" s="23">
        <f>SUM(C147:C159)</f>
        <v>0</v>
      </c>
      <c r="D146" s="23">
        <f t="shared" ref="D146:J146" si="44">SUM(D147:D159)</f>
        <v>889207514</v>
      </c>
      <c r="E146" s="23">
        <f t="shared" si="44"/>
        <v>0</v>
      </c>
      <c r="F146" s="23">
        <f t="shared" si="44"/>
        <v>889207514</v>
      </c>
      <c r="G146" s="23">
        <f t="shared" si="44"/>
        <v>927973696</v>
      </c>
      <c r="H146" s="23">
        <f t="shared" si="44"/>
        <v>0</v>
      </c>
      <c r="I146" s="23">
        <f t="shared" si="44"/>
        <v>927973696</v>
      </c>
      <c r="J146" s="23">
        <f t="shared" si="44"/>
        <v>0</v>
      </c>
      <c r="K146" s="24">
        <f t="shared" si="40"/>
        <v>1.043596327504718</v>
      </c>
      <c r="L146" s="113">
        <f t="shared" si="38"/>
        <v>0</v>
      </c>
      <c r="M146" s="21" t="s">
        <v>470</v>
      </c>
      <c r="N146" s="22" t="s">
        <v>471</v>
      </c>
      <c r="O146" s="23">
        <v>0</v>
      </c>
      <c r="P146" s="23">
        <v>889207514</v>
      </c>
      <c r="Q146" s="23">
        <v>0</v>
      </c>
      <c r="R146" s="23">
        <v>889207514</v>
      </c>
      <c r="S146" s="23">
        <v>927973696</v>
      </c>
      <c r="T146" s="23">
        <v>0</v>
      </c>
      <c r="U146" s="23">
        <v>927973696</v>
      </c>
      <c r="V146" s="23">
        <v>0</v>
      </c>
      <c r="W146" s="24">
        <v>1.043596327504718</v>
      </c>
      <c r="Y146" s="21" t="s">
        <v>470</v>
      </c>
      <c r="Z146" s="22" t="s">
        <v>471</v>
      </c>
      <c r="AA146" s="23">
        <v>0</v>
      </c>
      <c r="AB146" s="23">
        <v>889207514</v>
      </c>
      <c r="AC146" s="23">
        <v>0</v>
      </c>
      <c r="AD146" s="23">
        <v>889207514</v>
      </c>
      <c r="AE146" s="23">
        <v>927973696</v>
      </c>
      <c r="AF146" s="23">
        <v>0</v>
      </c>
      <c r="AG146" s="23">
        <v>927973696</v>
      </c>
      <c r="AH146" s="23">
        <v>0</v>
      </c>
      <c r="AI146" s="24">
        <v>1.043596327504718</v>
      </c>
    </row>
    <row r="147" spans="1:35" x14ac:dyDescent="0.25">
      <c r="A147" s="25">
        <v>112670102</v>
      </c>
      <c r="B147" s="26" t="s">
        <v>472</v>
      </c>
      <c r="C147" s="27"/>
      <c r="D147" s="27">
        <v>267934973</v>
      </c>
      <c r="E147" s="34"/>
      <c r="F147" s="30">
        <f t="shared" si="20"/>
        <v>267934973</v>
      </c>
      <c r="G147" s="31">
        <v>267934973</v>
      </c>
      <c r="H147" s="27"/>
      <c r="I147" s="31">
        <v>267934973</v>
      </c>
      <c r="J147" s="32">
        <f>SUM(F147-I147)</f>
        <v>0</v>
      </c>
      <c r="K147" s="33">
        <f t="shared" si="40"/>
        <v>1</v>
      </c>
      <c r="L147" s="113">
        <f t="shared" si="38"/>
        <v>0</v>
      </c>
      <c r="M147" s="25">
        <v>112670102</v>
      </c>
      <c r="N147" s="26" t="s">
        <v>472</v>
      </c>
      <c r="O147" s="27"/>
      <c r="P147" s="27">
        <v>267934973</v>
      </c>
      <c r="Q147" s="34"/>
      <c r="R147" s="30">
        <v>267934973</v>
      </c>
      <c r="S147" s="31">
        <v>267934973</v>
      </c>
      <c r="T147" s="27"/>
      <c r="U147" s="31">
        <v>267934973</v>
      </c>
      <c r="V147" s="32">
        <v>0</v>
      </c>
      <c r="W147" s="33">
        <v>1</v>
      </c>
      <c r="Y147" s="25">
        <v>112670102</v>
      </c>
      <c r="Z147" s="26" t="s">
        <v>472</v>
      </c>
      <c r="AA147" s="27"/>
      <c r="AB147" s="27">
        <v>267934973</v>
      </c>
      <c r="AC147" s="34"/>
      <c r="AD147" s="30">
        <v>267934973</v>
      </c>
      <c r="AE147" s="31">
        <v>267934973</v>
      </c>
      <c r="AF147" s="27"/>
      <c r="AG147" s="31">
        <v>267934973</v>
      </c>
      <c r="AH147" s="32">
        <v>0</v>
      </c>
      <c r="AI147" s="33">
        <v>1</v>
      </c>
    </row>
    <row r="148" spans="1:35" x14ac:dyDescent="0.25">
      <c r="A148" s="25">
        <v>112670103</v>
      </c>
      <c r="B148" s="26" t="s">
        <v>858</v>
      </c>
      <c r="C148" s="27"/>
      <c r="D148" s="27"/>
      <c r="E148" s="34"/>
      <c r="F148" s="30">
        <f t="shared" si="20"/>
        <v>0</v>
      </c>
      <c r="G148" s="31">
        <v>0</v>
      </c>
      <c r="H148" s="27"/>
      <c r="I148" s="31"/>
      <c r="J148" s="32"/>
      <c r="K148" s="33" t="e">
        <f t="shared" si="40"/>
        <v>#DIV/0!</v>
      </c>
      <c r="L148" s="113">
        <f t="shared" si="38"/>
        <v>0</v>
      </c>
      <c r="M148" s="25">
        <v>112670103</v>
      </c>
      <c r="N148" s="26" t="s">
        <v>858</v>
      </c>
      <c r="O148" s="27"/>
      <c r="P148" s="27"/>
      <c r="Q148" s="34"/>
      <c r="R148" s="30">
        <v>0</v>
      </c>
      <c r="S148" s="31"/>
      <c r="T148" s="27"/>
      <c r="U148" s="31"/>
      <c r="V148" s="32"/>
      <c r="W148" s="33" t="e">
        <v>#DIV/0!</v>
      </c>
      <c r="Y148" s="25">
        <v>112670103</v>
      </c>
      <c r="Z148" s="26" t="s">
        <v>858</v>
      </c>
      <c r="AA148" s="27"/>
      <c r="AB148" s="27"/>
      <c r="AC148" s="34"/>
      <c r="AD148" s="30">
        <v>0</v>
      </c>
      <c r="AE148" s="31">
        <v>0</v>
      </c>
      <c r="AF148" s="27"/>
      <c r="AG148" s="31"/>
      <c r="AH148" s="32"/>
      <c r="AI148" s="33" t="e">
        <v>#DIV/0!</v>
      </c>
    </row>
    <row r="149" spans="1:35" x14ac:dyDescent="0.25">
      <c r="A149" s="25">
        <v>112670104</v>
      </c>
      <c r="B149" s="26" t="s">
        <v>859</v>
      </c>
      <c r="C149" s="27"/>
      <c r="D149" s="27"/>
      <c r="E149" s="34"/>
      <c r="F149" s="30">
        <f t="shared" ref="F149:F159" si="45">+C149+D149</f>
        <v>0</v>
      </c>
      <c r="G149" s="31">
        <v>1397800</v>
      </c>
      <c r="H149" s="27"/>
      <c r="I149" s="31">
        <v>1397800</v>
      </c>
      <c r="J149" s="32"/>
      <c r="K149" s="33" t="e">
        <f t="shared" si="40"/>
        <v>#DIV/0!</v>
      </c>
      <c r="L149" s="113">
        <f t="shared" si="38"/>
        <v>0</v>
      </c>
      <c r="M149" s="25">
        <v>112670104</v>
      </c>
      <c r="N149" s="26" t="s">
        <v>859</v>
      </c>
      <c r="O149" s="27"/>
      <c r="P149" s="27"/>
      <c r="Q149" s="34"/>
      <c r="R149" s="30">
        <v>0</v>
      </c>
      <c r="S149" s="31">
        <v>1397800</v>
      </c>
      <c r="T149" s="27"/>
      <c r="U149" s="31">
        <v>1397800</v>
      </c>
      <c r="V149" s="32"/>
      <c r="W149" s="33" t="e">
        <v>#DIV/0!</v>
      </c>
      <c r="Y149" s="25">
        <v>112670104</v>
      </c>
      <c r="Z149" s="26" t="s">
        <v>859</v>
      </c>
      <c r="AA149" s="27"/>
      <c r="AB149" s="27"/>
      <c r="AC149" s="34"/>
      <c r="AD149" s="30">
        <v>0</v>
      </c>
      <c r="AE149" s="31">
        <v>1397800</v>
      </c>
      <c r="AF149" s="27"/>
      <c r="AG149" s="31">
        <v>1397800</v>
      </c>
      <c r="AH149" s="32"/>
      <c r="AI149" s="33" t="e">
        <v>#DIV/0!</v>
      </c>
    </row>
    <row r="150" spans="1:35" x14ac:dyDescent="0.25">
      <c r="A150" s="25">
        <v>112670105</v>
      </c>
      <c r="B150" s="26" t="s">
        <v>860</v>
      </c>
      <c r="C150" s="27"/>
      <c r="D150" s="27">
        <v>450000000</v>
      </c>
      <c r="E150" s="34"/>
      <c r="F150" s="30">
        <f t="shared" si="45"/>
        <v>450000000</v>
      </c>
      <c r="G150" s="31">
        <v>450000000</v>
      </c>
      <c r="H150" s="27"/>
      <c r="I150" s="31">
        <v>450000000</v>
      </c>
      <c r="J150" s="32"/>
      <c r="K150" s="33">
        <f t="shared" si="40"/>
        <v>1</v>
      </c>
      <c r="L150" s="113">
        <f t="shared" si="38"/>
        <v>0</v>
      </c>
      <c r="M150" s="25">
        <v>112670105</v>
      </c>
      <c r="N150" s="26" t="s">
        <v>860</v>
      </c>
      <c r="O150" s="27"/>
      <c r="P150" s="27">
        <v>450000000</v>
      </c>
      <c r="Q150" s="34"/>
      <c r="R150" s="30">
        <v>450000000</v>
      </c>
      <c r="S150" s="31">
        <v>450000000</v>
      </c>
      <c r="T150" s="27"/>
      <c r="U150" s="31">
        <v>450000000</v>
      </c>
      <c r="V150" s="32"/>
      <c r="W150" s="33">
        <v>1</v>
      </c>
      <c r="Y150" s="25">
        <v>112670105</v>
      </c>
      <c r="Z150" s="26" t="s">
        <v>860</v>
      </c>
      <c r="AA150" s="27"/>
      <c r="AB150" s="27">
        <v>450000000</v>
      </c>
      <c r="AC150" s="34"/>
      <c r="AD150" s="30">
        <v>450000000</v>
      </c>
      <c r="AE150" s="31">
        <v>450000000</v>
      </c>
      <c r="AF150" s="27"/>
      <c r="AG150" s="31">
        <v>450000000</v>
      </c>
      <c r="AH150" s="32"/>
      <c r="AI150" s="33">
        <v>1</v>
      </c>
    </row>
    <row r="151" spans="1:35" x14ac:dyDescent="0.25">
      <c r="A151" s="25">
        <v>112670106</v>
      </c>
      <c r="B151" s="26" t="s">
        <v>861</v>
      </c>
      <c r="C151" s="27"/>
      <c r="D151" s="27"/>
      <c r="E151" s="34"/>
      <c r="F151" s="30">
        <f t="shared" si="45"/>
        <v>0</v>
      </c>
      <c r="G151" s="31">
        <v>0</v>
      </c>
      <c r="H151" s="27"/>
      <c r="I151" s="31"/>
      <c r="J151" s="32"/>
      <c r="K151" s="33" t="e">
        <f t="shared" si="40"/>
        <v>#DIV/0!</v>
      </c>
      <c r="L151" s="113">
        <f t="shared" si="38"/>
        <v>0</v>
      </c>
      <c r="M151" s="25">
        <v>112670106</v>
      </c>
      <c r="N151" s="26" t="s">
        <v>861</v>
      </c>
      <c r="O151" s="27"/>
      <c r="P151" s="27"/>
      <c r="Q151" s="34"/>
      <c r="R151" s="30">
        <v>0</v>
      </c>
      <c r="S151" s="31"/>
      <c r="T151" s="27"/>
      <c r="U151" s="31"/>
      <c r="V151" s="32"/>
      <c r="W151" s="33" t="e">
        <v>#DIV/0!</v>
      </c>
      <c r="Y151" s="25">
        <v>112670106</v>
      </c>
      <c r="Z151" s="26" t="s">
        <v>861</v>
      </c>
      <c r="AA151" s="27"/>
      <c r="AB151" s="27"/>
      <c r="AC151" s="34"/>
      <c r="AD151" s="30">
        <v>0</v>
      </c>
      <c r="AE151" s="31">
        <v>0</v>
      </c>
      <c r="AF151" s="27"/>
      <c r="AG151" s="31"/>
      <c r="AH151" s="32"/>
      <c r="AI151" s="33" t="e">
        <v>#DIV/0!</v>
      </c>
    </row>
    <row r="152" spans="1:35" x14ac:dyDescent="0.25">
      <c r="A152" s="25">
        <v>112670107</v>
      </c>
      <c r="B152" s="26" t="s">
        <v>862</v>
      </c>
      <c r="C152" s="27"/>
      <c r="D152" s="27"/>
      <c r="E152" s="34"/>
      <c r="F152" s="30">
        <f t="shared" si="45"/>
        <v>0</v>
      </c>
      <c r="G152" s="31">
        <v>6800000</v>
      </c>
      <c r="H152" s="27"/>
      <c r="I152" s="31">
        <v>6800000</v>
      </c>
      <c r="J152" s="32"/>
      <c r="K152" s="33" t="e">
        <f t="shared" si="40"/>
        <v>#DIV/0!</v>
      </c>
      <c r="L152" s="113">
        <f t="shared" si="38"/>
        <v>0</v>
      </c>
      <c r="M152" s="25">
        <v>112670107</v>
      </c>
      <c r="N152" s="26" t="s">
        <v>862</v>
      </c>
      <c r="O152" s="27"/>
      <c r="P152" s="27"/>
      <c r="Q152" s="34"/>
      <c r="R152" s="30">
        <v>0</v>
      </c>
      <c r="S152" s="31">
        <v>6800000</v>
      </c>
      <c r="T152" s="27"/>
      <c r="U152" s="31">
        <v>6800000</v>
      </c>
      <c r="V152" s="32"/>
      <c r="W152" s="33" t="e">
        <v>#DIV/0!</v>
      </c>
      <c r="Y152" s="25">
        <v>112670107</v>
      </c>
      <c r="Z152" s="26" t="s">
        <v>862</v>
      </c>
      <c r="AA152" s="27"/>
      <c r="AB152" s="27"/>
      <c r="AC152" s="34"/>
      <c r="AD152" s="30">
        <v>0</v>
      </c>
      <c r="AE152" s="31">
        <v>6800000</v>
      </c>
      <c r="AF152" s="27"/>
      <c r="AG152" s="31">
        <v>6800000</v>
      </c>
      <c r="AH152" s="32"/>
      <c r="AI152" s="33" t="e">
        <v>#DIV/0!</v>
      </c>
    </row>
    <row r="153" spans="1:35" x14ac:dyDescent="0.25">
      <c r="A153" s="25">
        <v>112670108</v>
      </c>
      <c r="B153" s="26" t="s">
        <v>863</v>
      </c>
      <c r="C153" s="27"/>
      <c r="D153" s="27"/>
      <c r="E153" s="34"/>
      <c r="F153" s="30">
        <f t="shared" si="45"/>
        <v>0</v>
      </c>
      <c r="G153" s="31">
        <v>0</v>
      </c>
      <c r="H153" s="27"/>
      <c r="I153" s="31"/>
      <c r="J153" s="32"/>
      <c r="K153" s="33" t="e">
        <f t="shared" si="40"/>
        <v>#DIV/0!</v>
      </c>
      <c r="L153" s="113">
        <f t="shared" si="38"/>
        <v>0</v>
      </c>
      <c r="M153" s="25">
        <v>112670108</v>
      </c>
      <c r="N153" s="26" t="s">
        <v>863</v>
      </c>
      <c r="O153" s="27"/>
      <c r="P153" s="27"/>
      <c r="Q153" s="34"/>
      <c r="R153" s="30">
        <v>0</v>
      </c>
      <c r="S153" s="31"/>
      <c r="T153" s="27"/>
      <c r="U153" s="31"/>
      <c r="V153" s="32"/>
      <c r="W153" s="33" t="e">
        <v>#DIV/0!</v>
      </c>
      <c r="Y153" s="25">
        <v>112670108</v>
      </c>
      <c r="Z153" s="26" t="s">
        <v>863</v>
      </c>
      <c r="AA153" s="27"/>
      <c r="AB153" s="27"/>
      <c r="AC153" s="34"/>
      <c r="AD153" s="30">
        <v>0</v>
      </c>
      <c r="AE153" s="31">
        <v>0</v>
      </c>
      <c r="AF153" s="27"/>
      <c r="AG153" s="31"/>
      <c r="AH153" s="32"/>
      <c r="AI153" s="33" t="e">
        <v>#DIV/0!</v>
      </c>
    </row>
    <row r="154" spans="1:35" x14ac:dyDescent="0.25">
      <c r="A154" s="25">
        <v>112670109</v>
      </c>
      <c r="B154" s="26" t="s">
        <v>864</v>
      </c>
      <c r="C154" s="27"/>
      <c r="D154" s="27"/>
      <c r="E154" s="34"/>
      <c r="F154" s="30">
        <f t="shared" si="45"/>
        <v>0</v>
      </c>
      <c r="G154" s="31">
        <v>0</v>
      </c>
      <c r="H154" s="27"/>
      <c r="I154" s="31"/>
      <c r="J154" s="32"/>
      <c r="K154" s="33" t="e">
        <f t="shared" si="40"/>
        <v>#DIV/0!</v>
      </c>
      <c r="L154" s="113">
        <f t="shared" si="38"/>
        <v>0</v>
      </c>
      <c r="M154" s="25">
        <v>112670109</v>
      </c>
      <c r="N154" s="26" t="s">
        <v>864</v>
      </c>
      <c r="O154" s="27"/>
      <c r="P154" s="27"/>
      <c r="Q154" s="34"/>
      <c r="R154" s="30">
        <v>0</v>
      </c>
      <c r="S154" s="31"/>
      <c r="T154" s="27"/>
      <c r="U154" s="31"/>
      <c r="V154" s="32"/>
      <c r="W154" s="33" t="e">
        <v>#DIV/0!</v>
      </c>
      <c r="Y154" s="25">
        <v>112670109</v>
      </c>
      <c r="Z154" s="26" t="s">
        <v>864</v>
      </c>
      <c r="AA154" s="27"/>
      <c r="AB154" s="27"/>
      <c r="AC154" s="34"/>
      <c r="AD154" s="30">
        <v>0</v>
      </c>
      <c r="AE154" s="31">
        <v>0</v>
      </c>
      <c r="AF154" s="27"/>
      <c r="AG154" s="31"/>
      <c r="AH154" s="32"/>
      <c r="AI154" s="33" t="e">
        <v>#DIV/0!</v>
      </c>
    </row>
    <row r="155" spans="1:35" x14ac:dyDescent="0.25">
      <c r="A155" s="25">
        <v>112670110</v>
      </c>
      <c r="B155" s="26" t="s">
        <v>865</v>
      </c>
      <c r="C155" s="27"/>
      <c r="D155" s="27"/>
      <c r="E155" s="34"/>
      <c r="F155" s="30">
        <f t="shared" si="45"/>
        <v>0</v>
      </c>
      <c r="G155" s="31">
        <v>50483923</v>
      </c>
      <c r="H155" s="27"/>
      <c r="I155" s="31">
        <v>50483923</v>
      </c>
      <c r="J155" s="32"/>
      <c r="K155" s="33" t="e">
        <f t="shared" si="40"/>
        <v>#DIV/0!</v>
      </c>
      <c r="L155" s="113">
        <f t="shared" si="38"/>
        <v>0</v>
      </c>
      <c r="M155" s="25">
        <v>112670110</v>
      </c>
      <c r="N155" s="26" t="s">
        <v>865</v>
      </c>
      <c r="O155" s="27"/>
      <c r="P155" s="27"/>
      <c r="Q155" s="34"/>
      <c r="R155" s="30">
        <v>0</v>
      </c>
      <c r="S155" s="31">
        <v>50483923</v>
      </c>
      <c r="T155" s="27"/>
      <c r="U155" s="31">
        <v>50483923</v>
      </c>
      <c r="V155" s="32"/>
      <c r="W155" s="33" t="e">
        <v>#DIV/0!</v>
      </c>
      <c r="Y155" s="25">
        <v>112670110</v>
      </c>
      <c r="Z155" s="26" t="s">
        <v>865</v>
      </c>
      <c r="AA155" s="27"/>
      <c r="AB155" s="27"/>
      <c r="AC155" s="34"/>
      <c r="AD155" s="30">
        <v>0</v>
      </c>
      <c r="AE155" s="31">
        <v>50483923</v>
      </c>
      <c r="AF155" s="27"/>
      <c r="AG155" s="31">
        <v>50483923</v>
      </c>
      <c r="AH155" s="32"/>
      <c r="AI155" s="33" t="e">
        <v>#DIV/0!</v>
      </c>
    </row>
    <row r="156" spans="1:35" x14ac:dyDescent="0.25">
      <c r="A156" s="25">
        <v>112670111</v>
      </c>
      <c r="B156" s="26" t="s">
        <v>866</v>
      </c>
      <c r="C156" s="27"/>
      <c r="D156" s="27">
        <v>75272541</v>
      </c>
      <c r="E156" s="34"/>
      <c r="F156" s="30">
        <f t="shared" si="45"/>
        <v>75272541</v>
      </c>
      <c r="G156" s="31">
        <v>102975000</v>
      </c>
      <c r="H156" s="27"/>
      <c r="I156" s="31">
        <v>102975000</v>
      </c>
      <c r="J156" s="32"/>
      <c r="K156" s="33">
        <f t="shared" si="40"/>
        <v>1.3680287476943285</v>
      </c>
      <c r="L156" s="113">
        <f t="shared" si="38"/>
        <v>0</v>
      </c>
      <c r="M156" s="25">
        <v>112670111</v>
      </c>
      <c r="N156" s="26" t="s">
        <v>866</v>
      </c>
      <c r="O156" s="27"/>
      <c r="P156" s="27">
        <v>75272541</v>
      </c>
      <c r="Q156" s="34"/>
      <c r="R156" s="30">
        <v>75272541</v>
      </c>
      <c r="S156" s="31">
        <v>102975000</v>
      </c>
      <c r="T156" s="27"/>
      <c r="U156" s="31">
        <v>102975000</v>
      </c>
      <c r="V156" s="32"/>
      <c r="W156" s="33">
        <v>1.3680287476943285</v>
      </c>
      <c r="Y156" s="25">
        <v>112670111</v>
      </c>
      <c r="Z156" s="26" t="s">
        <v>866</v>
      </c>
      <c r="AA156" s="27"/>
      <c r="AB156" s="27">
        <v>75272541</v>
      </c>
      <c r="AC156" s="34"/>
      <c r="AD156" s="30">
        <v>75272541</v>
      </c>
      <c r="AE156" s="31">
        <v>102975000</v>
      </c>
      <c r="AF156" s="27"/>
      <c r="AG156" s="31">
        <v>102975000</v>
      </c>
      <c r="AH156" s="32"/>
      <c r="AI156" s="33">
        <v>1.3680287476943285</v>
      </c>
    </row>
    <row r="157" spans="1:35" x14ac:dyDescent="0.25">
      <c r="A157" s="25">
        <v>112670112</v>
      </c>
      <c r="B157" s="26" t="s">
        <v>867</v>
      </c>
      <c r="C157" s="27"/>
      <c r="D157" s="27"/>
      <c r="E157" s="34"/>
      <c r="F157" s="30">
        <f t="shared" si="45"/>
        <v>0</v>
      </c>
      <c r="G157" s="31">
        <v>30882000</v>
      </c>
      <c r="H157" s="27"/>
      <c r="I157" s="31">
        <v>30882000</v>
      </c>
      <c r="J157" s="32"/>
      <c r="K157" s="33" t="e">
        <f t="shared" si="40"/>
        <v>#DIV/0!</v>
      </c>
      <c r="L157" s="113">
        <f t="shared" si="38"/>
        <v>0</v>
      </c>
      <c r="M157" s="25">
        <v>112670112</v>
      </c>
      <c r="N157" s="26" t="s">
        <v>867</v>
      </c>
      <c r="O157" s="27"/>
      <c r="P157" s="27"/>
      <c r="Q157" s="34"/>
      <c r="R157" s="30">
        <v>0</v>
      </c>
      <c r="S157" s="31">
        <v>30882000</v>
      </c>
      <c r="T157" s="27"/>
      <c r="U157" s="31">
        <v>30882000</v>
      </c>
      <c r="V157" s="32"/>
      <c r="W157" s="33" t="e">
        <v>#DIV/0!</v>
      </c>
      <c r="Y157" s="25">
        <v>112670112</v>
      </c>
      <c r="Z157" s="26" t="s">
        <v>867</v>
      </c>
      <c r="AA157" s="27"/>
      <c r="AB157" s="27"/>
      <c r="AC157" s="34"/>
      <c r="AD157" s="30">
        <v>0</v>
      </c>
      <c r="AE157" s="31">
        <v>30882000</v>
      </c>
      <c r="AF157" s="27"/>
      <c r="AG157" s="31">
        <v>30882000</v>
      </c>
      <c r="AH157" s="32"/>
      <c r="AI157" s="33" t="e">
        <v>#DIV/0!</v>
      </c>
    </row>
    <row r="158" spans="1:35" x14ac:dyDescent="0.25">
      <c r="A158" s="25">
        <v>112670113</v>
      </c>
      <c r="B158" s="26" t="s">
        <v>868</v>
      </c>
      <c r="C158" s="27"/>
      <c r="D158" s="27"/>
      <c r="E158" s="34"/>
      <c r="F158" s="30">
        <f t="shared" si="45"/>
        <v>0</v>
      </c>
      <c r="G158" s="31">
        <v>17500000</v>
      </c>
      <c r="H158" s="27"/>
      <c r="I158" s="31">
        <v>17500000</v>
      </c>
      <c r="J158" s="32"/>
      <c r="K158" s="33" t="e">
        <f t="shared" si="40"/>
        <v>#DIV/0!</v>
      </c>
      <c r="L158" s="113">
        <f t="shared" si="38"/>
        <v>0</v>
      </c>
      <c r="M158" s="25">
        <v>112670113</v>
      </c>
      <c r="N158" s="26" t="s">
        <v>868</v>
      </c>
      <c r="O158" s="27"/>
      <c r="P158" s="27"/>
      <c r="Q158" s="34"/>
      <c r="R158" s="30">
        <v>0</v>
      </c>
      <c r="S158" s="31">
        <v>17500000</v>
      </c>
      <c r="T158" s="27"/>
      <c r="U158" s="31">
        <v>17500000</v>
      </c>
      <c r="V158" s="32"/>
      <c r="W158" s="33" t="e">
        <v>#DIV/0!</v>
      </c>
      <c r="Y158" s="25">
        <v>112670113</v>
      </c>
      <c r="Z158" s="26" t="s">
        <v>868</v>
      </c>
      <c r="AA158" s="27"/>
      <c r="AB158" s="27"/>
      <c r="AC158" s="34"/>
      <c r="AD158" s="30">
        <v>0</v>
      </c>
      <c r="AE158" s="31">
        <v>17500000</v>
      </c>
      <c r="AF158" s="27"/>
      <c r="AG158" s="31">
        <v>17500000</v>
      </c>
      <c r="AH158" s="32"/>
      <c r="AI158" s="33" t="e">
        <v>#DIV/0!</v>
      </c>
    </row>
    <row r="159" spans="1:35" x14ac:dyDescent="0.25">
      <c r="A159" s="25">
        <v>112670114</v>
      </c>
      <c r="B159" s="26" t="s">
        <v>885</v>
      </c>
      <c r="C159" s="27"/>
      <c r="D159" s="27">
        <v>96000000</v>
      </c>
      <c r="E159" s="34"/>
      <c r="F159" s="30">
        <f t="shared" si="45"/>
        <v>96000000</v>
      </c>
      <c r="G159" s="31">
        <v>0</v>
      </c>
      <c r="H159" s="27"/>
      <c r="I159" s="31"/>
      <c r="J159" s="32"/>
      <c r="K159" s="33"/>
      <c r="L159" s="113">
        <f t="shared" si="38"/>
        <v>0</v>
      </c>
      <c r="M159" s="25">
        <v>112670114</v>
      </c>
      <c r="N159" s="26" t="s">
        <v>885</v>
      </c>
      <c r="O159" s="27"/>
      <c r="P159" s="27">
        <v>96000000</v>
      </c>
      <c r="Q159" s="34"/>
      <c r="R159" s="30">
        <v>96000000</v>
      </c>
      <c r="S159" s="31"/>
      <c r="T159" s="27"/>
      <c r="U159" s="31"/>
      <c r="V159" s="32"/>
      <c r="W159" s="33"/>
      <c r="Y159" s="25">
        <v>112670114</v>
      </c>
      <c r="Z159" s="26" t="s">
        <v>885</v>
      </c>
      <c r="AA159" s="27"/>
      <c r="AB159" s="27">
        <v>96000000</v>
      </c>
      <c r="AC159" s="34"/>
      <c r="AD159" s="30">
        <v>96000000</v>
      </c>
      <c r="AE159" s="31">
        <v>0</v>
      </c>
      <c r="AF159" s="27"/>
      <c r="AG159" s="31"/>
      <c r="AH159" s="32"/>
      <c r="AI159" s="33"/>
    </row>
    <row r="160" spans="1:35" x14ac:dyDescent="0.25">
      <c r="A160" s="12" t="s">
        <v>473</v>
      </c>
      <c r="B160" s="13" t="s">
        <v>474</v>
      </c>
      <c r="C160" s="14">
        <f>+C161+C164+C166</f>
        <v>360566197</v>
      </c>
      <c r="D160" s="14">
        <f t="shared" ref="D160:J160" si="46">+D161+D164+D166</f>
        <v>23080820183.77</v>
      </c>
      <c r="E160" s="14">
        <f t="shared" si="46"/>
        <v>0</v>
      </c>
      <c r="F160" s="14">
        <f t="shared" si="46"/>
        <v>23441386380.77</v>
      </c>
      <c r="G160" s="14">
        <f t="shared" si="46"/>
        <v>23471268345.599998</v>
      </c>
      <c r="H160" s="14">
        <f t="shared" si="46"/>
        <v>64757892.140000001</v>
      </c>
      <c r="I160" s="14">
        <f t="shared" si="46"/>
        <v>23471268345.599998</v>
      </c>
      <c r="J160" s="14">
        <f t="shared" si="46"/>
        <v>-29881964.829999983</v>
      </c>
      <c r="K160" s="15">
        <f t="shared" si="40"/>
        <v>1.0012747524546803</v>
      </c>
      <c r="L160" s="113">
        <f t="shared" si="38"/>
        <v>0</v>
      </c>
      <c r="M160" s="12" t="s">
        <v>473</v>
      </c>
      <c r="N160" s="13" t="s">
        <v>474</v>
      </c>
      <c r="O160" s="14">
        <v>360566197</v>
      </c>
      <c r="P160" s="14">
        <v>23080820183.77</v>
      </c>
      <c r="Q160" s="14">
        <v>0</v>
      </c>
      <c r="R160" s="14">
        <v>23441386380.77</v>
      </c>
      <c r="S160" s="14">
        <v>23334770592.449997</v>
      </c>
      <c r="T160" s="14">
        <v>75370359.00999999</v>
      </c>
      <c r="U160" s="14">
        <v>23406510393.929996</v>
      </c>
      <c r="V160" s="14">
        <v>34875927.310000002</v>
      </c>
      <c r="W160" s="15">
        <v>0.99851220459944234</v>
      </c>
      <c r="Y160" s="12" t="s">
        <v>473</v>
      </c>
      <c r="Z160" s="13" t="s">
        <v>474</v>
      </c>
      <c r="AA160" s="14">
        <v>360566197</v>
      </c>
      <c r="AB160" s="14">
        <v>23080820183.77</v>
      </c>
      <c r="AC160" s="14">
        <v>0</v>
      </c>
      <c r="AD160" s="14">
        <v>23441386380.77</v>
      </c>
      <c r="AE160" s="14">
        <v>23166663303.599998</v>
      </c>
      <c r="AF160" s="14">
        <v>64757892.140000001</v>
      </c>
      <c r="AG160" s="14">
        <v>23166663303.599998</v>
      </c>
      <c r="AH160" s="14">
        <v>-29881964.829999983</v>
      </c>
      <c r="AI160" s="15">
        <v>0.9882804253678712</v>
      </c>
    </row>
    <row r="161" spans="1:35" x14ac:dyDescent="0.25">
      <c r="A161" s="12" t="s">
        <v>475</v>
      </c>
      <c r="B161" s="13" t="s">
        <v>476</v>
      </c>
      <c r="C161" s="14">
        <f>+C162+C163</f>
        <v>0</v>
      </c>
      <c r="D161" s="14">
        <f t="shared" ref="D161:J161" si="47">+D162+D163</f>
        <v>22435224661.73</v>
      </c>
      <c r="E161" s="14">
        <f t="shared" si="47"/>
        <v>0</v>
      </c>
      <c r="F161" s="14">
        <f t="shared" si="47"/>
        <v>22435224661.73</v>
      </c>
      <c r="G161" s="14">
        <f t="shared" si="47"/>
        <v>22435224661.73</v>
      </c>
      <c r="H161" s="14">
        <f t="shared" si="47"/>
        <v>0</v>
      </c>
      <c r="I161" s="14">
        <f t="shared" si="47"/>
        <v>22435224661.73</v>
      </c>
      <c r="J161" s="14">
        <f t="shared" si="47"/>
        <v>0</v>
      </c>
      <c r="K161" s="15">
        <f t="shared" si="40"/>
        <v>1</v>
      </c>
      <c r="L161" s="113">
        <f t="shared" si="38"/>
        <v>0</v>
      </c>
      <c r="M161" s="12" t="s">
        <v>475</v>
      </c>
      <c r="N161" s="13" t="s">
        <v>476</v>
      </c>
      <c r="O161" s="14">
        <v>0</v>
      </c>
      <c r="P161" s="14">
        <v>22435224661.73</v>
      </c>
      <c r="Q161" s="14">
        <v>0</v>
      </c>
      <c r="R161" s="14">
        <v>22435224661.73</v>
      </c>
      <c r="S161" s="14">
        <v>22435224661.73</v>
      </c>
      <c r="T161" s="14">
        <v>0</v>
      </c>
      <c r="U161" s="14">
        <v>22435224661.73</v>
      </c>
      <c r="V161" s="14">
        <v>0</v>
      </c>
      <c r="W161" s="15">
        <v>1</v>
      </c>
      <c r="Y161" s="12" t="s">
        <v>475</v>
      </c>
      <c r="Z161" s="13" t="s">
        <v>476</v>
      </c>
      <c r="AA161" s="14">
        <v>0</v>
      </c>
      <c r="AB161" s="14">
        <v>22435224661.73</v>
      </c>
      <c r="AC161" s="14">
        <v>0</v>
      </c>
      <c r="AD161" s="14">
        <v>22435224661.73</v>
      </c>
      <c r="AE161" s="14">
        <v>22435224661.73</v>
      </c>
      <c r="AF161" s="14">
        <v>0</v>
      </c>
      <c r="AG161" s="14">
        <v>22435224661.73</v>
      </c>
      <c r="AH161" s="14">
        <v>0</v>
      </c>
      <c r="AI161" s="15">
        <v>1</v>
      </c>
    </row>
    <row r="162" spans="1:35" x14ac:dyDescent="0.25">
      <c r="A162" s="25" t="s">
        <v>477</v>
      </c>
      <c r="B162" s="26" t="s">
        <v>478</v>
      </c>
      <c r="C162" s="27"/>
      <c r="D162" s="27">
        <v>22370712241</v>
      </c>
      <c r="E162" s="34"/>
      <c r="F162" s="30">
        <f t="shared" ref="F162:F180" si="48">+C162+D162</f>
        <v>22370712241</v>
      </c>
      <c r="G162" s="31">
        <v>22370712241</v>
      </c>
      <c r="H162" s="27"/>
      <c r="I162" s="31">
        <v>22370712241</v>
      </c>
      <c r="J162" s="32">
        <f>SUM(F162-I162)</f>
        <v>0</v>
      </c>
      <c r="K162" s="33">
        <f t="shared" si="40"/>
        <v>1</v>
      </c>
      <c r="L162" s="113">
        <f t="shared" si="38"/>
        <v>0</v>
      </c>
      <c r="M162" s="25" t="s">
        <v>477</v>
      </c>
      <c r="N162" s="26" t="s">
        <v>478</v>
      </c>
      <c r="O162" s="27"/>
      <c r="P162" s="27">
        <v>22370712241</v>
      </c>
      <c r="Q162" s="34"/>
      <c r="R162" s="30">
        <v>22370712241</v>
      </c>
      <c r="S162" s="31">
        <v>22370712241</v>
      </c>
      <c r="T162" s="27"/>
      <c r="U162" s="31">
        <v>22370712241</v>
      </c>
      <c r="V162" s="32">
        <v>0</v>
      </c>
      <c r="W162" s="33">
        <v>1</v>
      </c>
      <c r="Y162" s="25" t="s">
        <v>477</v>
      </c>
      <c r="Z162" s="26" t="s">
        <v>478</v>
      </c>
      <c r="AA162" s="27"/>
      <c r="AB162" s="27">
        <v>22370712241</v>
      </c>
      <c r="AC162" s="34"/>
      <c r="AD162" s="30">
        <v>22370712241</v>
      </c>
      <c r="AE162" s="31">
        <v>22370712241</v>
      </c>
      <c r="AF162" s="27"/>
      <c r="AG162" s="31">
        <v>22370712241</v>
      </c>
      <c r="AH162" s="32">
        <v>0</v>
      </c>
      <c r="AI162" s="33">
        <v>1</v>
      </c>
    </row>
    <row r="163" spans="1:35" x14ac:dyDescent="0.25">
      <c r="A163" s="25">
        <v>121301</v>
      </c>
      <c r="B163" s="26" t="s">
        <v>886</v>
      </c>
      <c r="C163" s="27"/>
      <c r="D163" s="27">
        <v>64512420.729999997</v>
      </c>
      <c r="E163" s="34"/>
      <c r="F163" s="30">
        <f t="shared" si="48"/>
        <v>64512420.729999997</v>
      </c>
      <c r="G163" s="31">
        <v>64512420.729999997</v>
      </c>
      <c r="H163" s="27"/>
      <c r="I163" s="31">
        <v>64512420.729999997</v>
      </c>
      <c r="J163" s="32"/>
      <c r="K163" s="33">
        <f t="shared" si="40"/>
        <v>1</v>
      </c>
      <c r="L163" s="113">
        <f t="shared" si="38"/>
        <v>0</v>
      </c>
      <c r="M163" s="25">
        <v>121301</v>
      </c>
      <c r="N163" s="26" t="s">
        <v>886</v>
      </c>
      <c r="O163" s="27"/>
      <c r="P163" s="27">
        <v>64512420.729999997</v>
      </c>
      <c r="Q163" s="34"/>
      <c r="R163" s="30">
        <v>64512420.729999997</v>
      </c>
      <c r="S163" s="31">
        <v>64512420.729999997</v>
      </c>
      <c r="T163" s="27"/>
      <c r="U163" s="31">
        <v>64512420.729999997</v>
      </c>
      <c r="V163" s="32"/>
      <c r="W163" s="33">
        <v>1</v>
      </c>
      <c r="Y163" s="25">
        <v>121301</v>
      </c>
      <c r="Z163" s="26" t="s">
        <v>886</v>
      </c>
      <c r="AA163" s="27"/>
      <c r="AB163" s="27">
        <v>64512420.729999997</v>
      </c>
      <c r="AC163" s="34"/>
      <c r="AD163" s="30">
        <v>64512420.729999997</v>
      </c>
      <c r="AE163" s="31">
        <v>64512420.729999997</v>
      </c>
      <c r="AF163" s="27"/>
      <c r="AG163" s="31">
        <v>64512420.729999997</v>
      </c>
      <c r="AH163" s="32"/>
      <c r="AI163" s="33">
        <v>1</v>
      </c>
    </row>
    <row r="164" spans="1:35" x14ac:dyDescent="0.25">
      <c r="A164" s="12">
        <v>123</v>
      </c>
      <c r="B164" s="13" t="s">
        <v>869</v>
      </c>
      <c r="C164" s="14">
        <f>+C165</f>
        <v>0</v>
      </c>
      <c r="D164" s="14">
        <f t="shared" ref="D164:J164" si="49">+D165</f>
        <v>304605042</v>
      </c>
      <c r="E164" s="14">
        <f t="shared" si="49"/>
        <v>0</v>
      </c>
      <c r="F164" s="14">
        <f t="shared" si="49"/>
        <v>304605042</v>
      </c>
      <c r="G164" s="14">
        <f t="shared" si="49"/>
        <v>304605042</v>
      </c>
      <c r="H164" s="14">
        <f t="shared" si="49"/>
        <v>0</v>
      </c>
      <c r="I164" s="14">
        <f t="shared" si="49"/>
        <v>304605042</v>
      </c>
      <c r="J164" s="14">
        <f t="shared" si="49"/>
        <v>0</v>
      </c>
      <c r="K164" s="15">
        <f t="shared" si="40"/>
        <v>1</v>
      </c>
      <c r="L164" s="113">
        <f t="shared" si="38"/>
        <v>0</v>
      </c>
      <c r="M164" s="12">
        <v>123</v>
      </c>
      <c r="N164" s="13" t="s">
        <v>869</v>
      </c>
      <c r="O164" s="14">
        <v>0</v>
      </c>
      <c r="P164" s="14">
        <v>304605042</v>
      </c>
      <c r="Q164" s="14">
        <v>0</v>
      </c>
      <c r="R164" s="14">
        <v>304605042</v>
      </c>
      <c r="S164" s="14">
        <v>304604982.46999699</v>
      </c>
      <c r="T164" s="14">
        <v>0</v>
      </c>
      <c r="U164" s="14">
        <v>304604982.46999699</v>
      </c>
      <c r="V164" s="14">
        <v>0</v>
      </c>
      <c r="W164" s="15">
        <v>0.99999980456658688</v>
      </c>
      <c r="Y164" s="12">
        <v>123</v>
      </c>
      <c r="Z164" s="13" t="s">
        <v>869</v>
      </c>
      <c r="AA164" s="14">
        <v>0</v>
      </c>
      <c r="AB164" s="14">
        <v>304605042</v>
      </c>
      <c r="AC164" s="14">
        <v>0</v>
      </c>
      <c r="AD164" s="14">
        <v>304605042</v>
      </c>
      <c r="AE164" s="14">
        <v>0</v>
      </c>
      <c r="AF164" s="14">
        <v>0</v>
      </c>
      <c r="AG164" s="14">
        <v>0</v>
      </c>
      <c r="AH164" s="14">
        <v>0</v>
      </c>
      <c r="AI164" s="15">
        <v>0</v>
      </c>
    </row>
    <row r="165" spans="1:35" x14ac:dyDescent="0.25">
      <c r="A165" s="12">
        <v>1232</v>
      </c>
      <c r="B165" s="13" t="s">
        <v>870</v>
      </c>
      <c r="C165" s="14"/>
      <c r="D165" s="14">
        <v>304605042</v>
      </c>
      <c r="E165" s="14"/>
      <c r="F165" s="14">
        <f t="shared" si="48"/>
        <v>304605042</v>
      </c>
      <c r="G165" s="14">
        <v>304605042</v>
      </c>
      <c r="H165" s="14"/>
      <c r="I165" s="14">
        <v>304605042</v>
      </c>
      <c r="J165" s="14"/>
      <c r="K165" s="15">
        <f t="shared" si="40"/>
        <v>1</v>
      </c>
      <c r="L165" s="113">
        <f t="shared" si="38"/>
        <v>0</v>
      </c>
      <c r="M165" s="12">
        <v>1232</v>
      </c>
      <c r="N165" s="13" t="s">
        <v>870</v>
      </c>
      <c r="O165" s="14"/>
      <c r="P165" s="14">
        <v>304605042</v>
      </c>
      <c r="Q165" s="14"/>
      <c r="R165" s="14">
        <v>304605042</v>
      </c>
      <c r="S165" s="14">
        <v>304604982.46999699</v>
      </c>
      <c r="T165" s="14"/>
      <c r="U165" s="14">
        <v>304604982.46999699</v>
      </c>
      <c r="V165" s="14"/>
      <c r="W165" s="15">
        <v>0.99999980456658688</v>
      </c>
      <c r="Y165" s="12">
        <v>1232</v>
      </c>
      <c r="Z165" s="13" t="s">
        <v>870</v>
      </c>
      <c r="AA165" s="14"/>
      <c r="AB165" s="14">
        <v>304605042</v>
      </c>
      <c r="AC165" s="14"/>
      <c r="AD165" s="14">
        <v>304605042</v>
      </c>
      <c r="AE165" s="14">
        <v>0</v>
      </c>
      <c r="AF165" s="14"/>
      <c r="AG165" s="14"/>
      <c r="AH165" s="14"/>
      <c r="AI165" s="15">
        <v>0</v>
      </c>
    </row>
    <row r="166" spans="1:35" x14ac:dyDescent="0.25">
      <c r="A166" s="12" t="s">
        <v>479</v>
      </c>
      <c r="B166" s="13" t="s">
        <v>480</v>
      </c>
      <c r="C166" s="14">
        <f t="shared" ref="C166:J166" si="50">+C167+C180</f>
        <v>360566197</v>
      </c>
      <c r="D166" s="14">
        <f t="shared" si="50"/>
        <v>340990480.04000002</v>
      </c>
      <c r="E166" s="14">
        <f t="shared" si="50"/>
        <v>0</v>
      </c>
      <c r="F166" s="14">
        <f t="shared" si="50"/>
        <v>701556677.03999996</v>
      </c>
      <c r="G166" s="14">
        <f t="shared" si="50"/>
        <v>731438641.87</v>
      </c>
      <c r="H166" s="14">
        <f t="shared" si="50"/>
        <v>64757892.140000001</v>
      </c>
      <c r="I166" s="14">
        <f t="shared" si="50"/>
        <v>731438641.87</v>
      </c>
      <c r="J166" s="14">
        <f t="shared" si="50"/>
        <v>-29881964.829999983</v>
      </c>
      <c r="K166" s="15">
        <f t="shared" si="40"/>
        <v>1.0425938000562944</v>
      </c>
      <c r="L166" s="113">
        <f t="shared" si="38"/>
        <v>0</v>
      </c>
      <c r="M166" s="12" t="s">
        <v>479</v>
      </c>
      <c r="N166" s="13" t="s">
        <v>480</v>
      </c>
      <c r="O166" s="14">
        <v>360566197</v>
      </c>
      <c r="P166" s="14">
        <v>340990480.04000002</v>
      </c>
      <c r="Q166" s="14">
        <v>0</v>
      </c>
      <c r="R166" s="14">
        <v>701556677.03999996</v>
      </c>
      <c r="S166" s="14">
        <v>594940948.25</v>
      </c>
      <c r="T166" s="14">
        <v>75370359.00999999</v>
      </c>
      <c r="U166" s="14">
        <v>666680749.73000002</v>
      </c>
      <c r="V166" s="14">
        <v>34875927.310000002</v>
      </c>
      <c r="W166" s="15">
        <v>0.95028779790515561</v>
      </c>
      <c r="Y166" s="12" t="s">
        <v>479</v>
      </c>
      <c r="Z166" s="13" t="s">
        <v>480</v>
      </c>
      <c r="AA166" s="14">
        <v>360566197</v>
      </c>
      <c r="AB166" s="14">
        <v>340990480.04000002</v>
      </c>
      <c r="AC166" s="14">
        <v>0</v>
      </c>
      <c r="AD166" s="14">
        <v>701556677.03999996</v>
      </c>
      <c r="AE166" s="14">
        <v>731438641.87</v>
      </c>
      <c r="AF166" s="14">
        <v>64757892.140000001</v>
      </c>
      <c r="AG166" s="14">
        <v>731438641.87</v>
      </c>
      <c r="AH166" s="14">
        <v>-29881964.829999983</v>
      </c>
      <c r="AI166" s="15">
        <v>1.0425938000562944</v>
      </c>
    </row>
    <row r="167" spans="1:35" x14ac:dyDescent="0.25">
      <c r="A167" s="21" t="s">
        <v>481</v>
      </c>
      <c r="B167" s="22" t="s">
        <v>482</v>
      </c>
      <c r="C167" s="23">
        <f>SUM(C168:C179)</f>
        <v>360566197</v>
      </c>
      <c r="D167" s="23">
        <f t="shared" ref="D167:J167" si="51">SUM(D168:D179)</f>
        <v>25003040.039999999</v>
      </c>
      <c r="E167" s="23">
        <f t="shared" si="51"/>
        <v>0</v>
      </c>
      <c r="F167" s="23">
        <f t="shared" si="51"/>
        <v>385569237.04000002</v>
      </c>
      <c r="G167" s="23">
        <f t="shared" si="51"/>
        <v>415451201.87</v>
      </c>
      <c r="H167" s="23">
        <f t="shared" si="51"/>
        <v>64757892.140000001</v>
      </c>
      <c r="I167" s="23">
        <f t="shared" si="51"/>
        <v>415451201.87</v>
      </c>
      <c r="J167" s="23">
        <f t="shared" si="51"/>
        <v>-29881964.829999983</v>
      </c>
      <c r="K167" s="24">
        <f t="shared" si="40"/>
        <v>1.0775009050499014</v>
      </c>
      <c r="L167" s="113">
        <f t="shared" si="38"/>
        <v>0</v>
      </c>
      <c r="M167" s="21" t="s">
        <v>481</v>
      </c>
      <c r="N167" s="22" t="s">
        <v>482</v>
      </c>
      <c r="O167" s="23">
        <v>360566197</v>
      </c>
      <c r="P167" s="23">
        <v>25003040.039999999</v>
      </c>
      <c r="Q167" s="23">
        <v>0</v>
      </c>
      <c r="R167" s="23">
        <v>385569237.04000002</v>
      </c>
      <c r="S167" s="23">
        <v>278953508.25</v>
      </c>
      <c r="T167" s="23">
        <v>75370359.00999999</v>
      </c>
      <c r="U167" s="23">
        <v>350693309.73000002</v>
      </c>
      <c r="V167" s="23">
        <v>34875927.310000002</v>
      </c>
      <c r="W167" s="24">
        <v>0.90954691412172528</v>
      </c>
      <c r="Y167" s="21" t="s">
        <v>481</v>
      </c>
      <c r="Z167" s="22" t="s">
        <v>482</v>
      </c>
      <c r="AA167" s="23">
        <v>360566197</v>
      </c>
      <c r="AB167" s="23">
        <v>25003040.039999999</v>
      </c>
      <c r="AC167" s="23">
        <v>0</v>
      </c>
      <c r="AD167" s="23">
        <v>385569237.04000002</v>
      </c>
      <c r="AE167" s="23">
        <v>415451201.87</v>
      </c>
      <c r="AF167" s="23">
        <v>64757892.140000001</v>
      </c>
      <c r="AG167" s="23">
        <v>415451201.87</v>
      </c>
      <c r="AH167" s="23">
        <v>-29881964.829999983</v>
      </c>
      <c r="AI167" s="24">
        <v>1.0775009050499014</v>
      </c>
    </row>
    <row r="168" spans="1:35" x14ac:dyDescent="0.25">
      <c r="A168" s="25" t="s">
        <v>483</v>
      </c>
      <c r="B168" s="26" t="s">
        <v>484</v>
      </c>
      <c r="C168" s="30"/>
      <c r="D168" s="27"/>
      <c r="E168" s="34"/>
      <c r="F168" s="30">
        <f t="shared" si="48"/>
        <v>0</v>
      </c>
      <c r="G168" s="31">
        <v>9629412.1799999997</v>
      </c>
      <c r="H168" s="27">
        <v>1704568.29</v>
      </c>
      <c r="I168" s="31">
        <v>9629412.1799999997</v>
      </c>
      <c r="J168" s="32">
        <f t="shared" ref="J168:J180" si="52">SUM(F168-I168)</f>
        <v>-9629412.1799999997</v>
      </c>
      <c r="K168" s="33" t="e">
        <f t="shared" si="40"/>
        <v>#DIV/0!</v>
      </c>
      <c r="L168" s="113">
        <f t="shared" si="38"/>
        <v>0</v>
      </c>
      <c r="M168" s="25" t="s">
        <v>483</v>
      </c>
      <c r="N168" s="26" t="s">
        <v>484</v>
      </c>
      <c r="O168" s="30"/>
      <c r="P168" s="27"/>
      <c r="Q168" s="34"/>
      <c r="R168" s="30">
        <v>0</v>
      </c>
      <c r="S168" s="31">
        <v>6146654.8900000006</v>
      </c>
      <c r="T168" s="27">
        <v>1793219.65</v>
      </c>
      <c r="U168" s="31">
        <v>7924843.8900000006</v>
      </c>
      <c r="V168" s="32">
        <v>-7924843.8900000006</v>
      </c>
      <c r="W168" s="33" t="e">
        <v>#DIV/0!</v>
      </c>
      <c r="Y168" s="25" t="s">
        <v>483</v>
      </c>
      <c r="Z168" s="26" t="s">
        <v>484</v>
      </c>
      <c r="AA168" s="30"/>
      <c r="AB168" s="27"/>
      <c r="AC168" s="34"/>
      <c r="AD168" s="30">
        <v>0</v>
      </c>
      <c r="AE168" s="31">
        <v>9629412.1799999997</v>
      </c>
      <c r="AF168" s="27">
        <v>1704568.29</v>
      </c>
      <c r="AG168" s="31">
        <v>9629412.1799999997</v>
      </c>
      <c r="AH168" s="32">
        <v>-9629412.1799999997</v>
      </c>
      <c r="AI168" s="33" t="e">
        <v>#DIV/0!</v>
      </c>
    </row>
    <row r="169" spans="1:35" x14ac:dyDescent="0.25">
      <c r="A169" s="25" t="s">
        <v>485</v>
      </c>
      <c r="B169" s="26" t="s">
        <v>486</v>
      </c>
      <c r="C169" s="27"/>
      <c r="D169" s="27"/>
      <c r="E169" s="34"/>
      <c r="F169" s="30">
        <f t="shared" si="48"/>
        <v>0</v>
      </c>
      <c r="G169" s="31">
        <v>7344719.2400000002</v>
      </c>
      <c r="H169" s="27">
        <v>1148513.44</v>
      </c>
      <c r="I169" s="31">
        <v>7344719.2400000002</v>
      </c>
      <c r="J169" s="32">
        <f t="shared" si="52"/>
        <v>-7344719.2400000002</v>
      </c>
      <c r="K169" s="33" t="e">
        <f t="shared" si="40"/>
        <v>#DIV/0!</v>
      </c>
      <c r="L169" s="113">
        <f t="shared" si="38"/>
        <v>0</v>
      </c>
      <c r="M169" s="25" t="s">
        <v>485</v>
      </c>
      <c r="N169" s="26" t="s">
        <v>486</v>
      </c>
      <c r="O169" s="27"/>
      <c r="P169" s="27"/>
      <c r="Q169" s="34"/>
      <c r="R169" s="30">
        <v>0</v>
      </c>
      <c r="S169" s="31">
        <v>5005354.88</v>
      </c>
      <c r="T169" s="27">
        <v>1190850.92</v>
      </c>
      <c r="U169" s="31">
        <v>6196205.7999999998</v>
      </c>
      <c r="V169" s="32">
        <v>-6196205.7999999998</v>
      </c>
      <c r="W169" s="33" t="e">
        <v>#DIV/0!</v>
      </c>
      <c r="Y169" s="25" t="s">
        <v>485</v>
      </c>
      <c r="Z169" s="26" t="s">
        <v>486</v>
      </c>
      <c r="AA169" s="27"/>
      <c r="AB169" s="27"/>
      <c r="AC169" s="34"/>
      <c r="AD169" s="30">
        <v>0</v>
      </c>
      <c r="AE169" s="31">
        <v>7344719.2400000002</v>
      </c>
      <c r="AF169" s="27">
        <v>1148513.44</v>
      </c>
      <c r="AG169" s="31">
        <v>7344719.2400000002</v>
      </c>
      <c r="AH169" s="32">
        <v>-7344719.2400000002</v>
      </c>
      <c r="AI169" s="33" t="e">
        <v>#DIV/0!</v>
      </c>
    </row>
    <row r="170" spans="1:35" x14ac:dyDescent="0.25">
      <c r="A170" s="25" t="s">
        <v>487</v>
      </c>
      <c r="B170" s="26" t="s">
        <v>488</v>
      </c>
      <c r="C170" s="27"/>
      <c r="D170" s="27">
        <f>+[1]Hoja3!F17</f>
        <v>20933828.129999999</v>
      </c>
      <c r="E170" s="34"/>
      <c r="F170" s="30">
        <f t="shared" si="48"/>
        <v>20933828.129999999</v>
      </c>
      <c r="G170" s="31">
        <v>42398563.480000004</v>
      </c>
      <c r="H170" s="27">
        <v>5434688.2400000002</v>
      </c>
      <c r="I170" s="31">
        <v>42398563.480000004</v>
      </c>
      <c r="J170" s="32">
        <f t="shared" si="52"/>
        <v>-21464735.350000005</v>
      </c>
      <c r="K170" s="33">
        <f t="shared" si="40"/>
        <v>2.0253612104151735</v>
      </c>
      <c r="L170" s="113">
        <f t="shared" si="38"/>
        <v>0</v>
      </c>
      <c r="M170" s="25" t="s">
        <v>487</v>
      </c>
      <c r="N170" s="26" t="s">
        <v>488</v>
      </c>
      <c r="O170" s="27"/>
      <c r="P170" s="27">
        <v>20933828.129999999</v>
      </c>
      <c r="Q170" s="34"/>
      <c r="R170" s="30">
        <v>20933828.129999999</v>
      </c>
      <c r="S170" s="31">
        <v>29248828.219999999</v>
      </c>
      <c r="T170" s="27">
        <v>7715047.0199999996</v>
      </c>
      <c r="U170" s="31">
        <v>36963875.239999995</v>
      </c>
      <c r="V170" s="32">
        <v>-16030047.109999996</v>
      </c>
      <c r="W170" s="33">
        <v>1.7657484818568632</v>
      </c>
      <c r="Y170" s="25" t="s">
        <v>487</v>
      </c>
      <c r="Z170" s="26" t="s">
        <v>488</v>
      </c>
      <c r="AA170" s="27"/>
      <c r="AB170" s="27">
        <v>20933828.129999999</v>
      </c>
      <c r="AC170" s="34"/>
      <c r="AD170" s="30">
        <v>20933828.129999999</v>
      </c>
      <c r="AE170" s="31">
        <v>42398563.480000004</v>
      </c>
      <c r="AF170" s="27">
        <v>5434688.2400000002</v>
      </c>
      <c r="AG170" s="31">
        <v>42398563.480000004</v>
      </c>
      <c r="AH170" s="32">
        <v>-21464735.350000005</v>
      </c>
      <c r="AI170" s="33">
        <v>2.0253612104151735</v>
      </c>
    </row>
    <row r="171" spans="1:35" x14ac:dyDescent="0.25">
      <c r="A171" s="25" t="s">
        <v>489</v>
      </c>
      <c r="B171" s="26" t="s">
        <v>490</v>
      </c>
      <c r="C171" s="27"/>
      <c r="D171" s="27">
        <f>+[1]Hoja3!F19</f>
        <v>1579921.17</v>
      </c>
      <c r="E171" s="34"/>
      <c r="F171" s="30">
        <f t="shared" si="48"/>
        <v>1579921.17</v>
      </c>
      <c r="G171" s="31">
        <v>9379896.3300000001</v>
      </c>
      <c r="H171" s="27">
        <v>2689617.58</v>
      </c>
      <c r="I171" s="31">
        <v>9379896.3300000001</v>
      </c>
      <c r="J171" s="32">
        <f t="shared" si="52"/>
        <v>-7799975.1600000001</v>
      </c>
      <c r="K171" s="33">
        <f t="shared" si="40"/>
        <v>5.9369394550235697</v>
      </c>
      <c r="L171" s="113">
        <f t="shared" si="38"/>
        <v>0</v>
      </c>
      <c r="M171" s="25" t="s">
        <v>489</v>
      </c>
      <c r="N171" s="26" t="s">
        <v>490</v>
      </c>
      <c r="O171" s="27"/>
      <c r="P171" s="27">
        <v>1579921.17</v>
      </c>
      <c r="Q171" s="34"/>
      <c r="R171" s="30">
        <v>1579921.17</v>
      </c>
      <c r="S171" s="31">
        <v>3565688.59</v>
      </c>
      <c r="T171" s="27">
        <v>3124590.16</v>
      </c>
      <c r="U171" s="31">
        <v>6690278.75</v>
      </c>
      <c r="V171" s="32">
        <v>-5110357.58</v>
      </c>
      <c r="W171" s="33">
        <v>4.2345649118683566</v>
      </c>
      <c r="Y171" s="25" t="s">
        <v>489</v>
      </c>
      <c r="Z171" s="26" t="s">
        <v>490</v>
      </c>
      <c r="AA171" s="27"/>
      <c r="AB171" s="27">
        <v>1579921.17</v>
      </c>
      <c r="AC171" s="34"/>
      <c r="AD171" s="30">
        <v>1579921.17</v>
      </c>
      <c r="AE171" s="31">
        <v>9379896.3300000001</v>
      </c>
      <c r="AF171" s="27">
        <v>2689617.58</v>
      </c>
      <c r="AG171" s="31">
        <v>9379896.3300000001</v>
      </c>
      <c r="AH171" s="32">
        <v>-7799975.1600000001</v>
      </c>
      <c r="AI171" s="33">
        <v>5.9369394550235697</v>
      </c>
    </row>
    <row r="172" spans="1:35" x14ac:dyDescent="0.25">
      <c r="A172" s="25" t="s">
        <v>491</v>
      </c>
      <c r="B172" s="26" t="s">
        <v>492</v>
      </c>
      <c r="C172" s="27"/>
      <c r="D172" s="27"/>
      <c r="E172" s="34"/>
      <c r="F172" s="30">
        <f t="shared" si="48"/>
        <v>0</v>
      </c>
      <c r="G172" s="31">
        <v>115201144.66</v>
      </c>
      <c r="H172" s="27">
        <v>11485107.66</v>
      </c>
      <c r="I172" s="31">
        <v>115201144.66</v>
      </c>
      <c r="J172" s="32">
        <f t="shared" si="52"/>
        <v>-115201144.66</v>
      </c>
      <c r="K172" s="33" t="e">
        <f t="shared" si="40"/>
        <v>#DIV/0!</v>
      </c>
      <c r="L172" s="113">
        <f t="shared" si="38"/>
        <v>0</v>
      </c>
      <c r="M172" s="25" t="s">
        <v>491</v>
      </c>
      <c r="N172" s="26" t="s">
        <v>492</v>
      </c>
      <c r="O172" s="27"/>
      <c r="P172" s="27"/>
      <c r="Q172" s="34"/>
      <c r="R172" s="30">
        <v>0</v>
      </c>
      <c r="S172" s="31">
        <v>91566557</v>
      </c>
      <c r="T172" s="27">
        <v>12149480</v>
      </c>
      <c r="U172" s="31">
        <v>103716037</v>
      </c>
      <c r="V172" s="32">
        <v>-103716037</v>
      </c>
      <c r="W172" s="33" t="e">
        <v>#DIV/0!</v>
      </c>
      <c r="Y172" s="25" t="s">
        <v>491</v>
      </c>
      <c r="Z172" s="26" t="s">
        <v>492</v>
      </c>
      <c r="AA172" s="27"/>
      <c r="AB172" s="27"/>
      <c r="AC172" s="34"/>
      <c r="AD172" s="30">
        <v>0</v>
      </c>
      <c r="AE172" s="31">
        <v>115201144.66</v>
      </c>
      <c r="AF172" s="27">
        <v>11485107.66</v>
      </c>
      <c r="AG172" s="31">
        <v>115201144.66</v>
      </c>
      <c r="AH172" s="32">
        <v>-115201144.66</v>
      </c>
      <c r="AI172" s="33" t="e">
        <v>#DIV/0!</v>
      </c>
    </row>
    <row r="173" spans="1:35" x14ac:dyDescent="0.25">
      <c r="A173" s="25" t="s">
        <v>493</v>
      </c>
      <c r="B173" s="26" t="s">
        <v>494</v>
      </c>
      <c r="C173" s="27"/>
      <c r="D173" s="27">
        <f>+[1]Hoja3!F21</f>
        <v>2489290.7400000002</v>
      </c>
      <c r="E173" s="34"/>
      <c r="F173" s="30">
        <f t="shared" si="48"/>
        <v>2489290.7400000002</v>
      </c>
      <c r="G173" s="31">
        <v>8309984.1299999999</v>
      </c>
      <c r="H173" s="27">
        <v>6018652.6799999997</v>
      </c>
      <c r="I173" s="31">
        <v>8309984.1299999999</v>
      </c>
      <c r="J173" s="32">
        <f t="shared" si="52"/>
        <v>-5820693.3899999997</v>
      </c>
      <c r="K173" s="33">
        <f t="shared" si="40"/>
        <v>3.3382939149968474</v>
      </c>
      <c r="L173" s="113">
        <f t="shared" si="38"/>
        <v>0</v>
      </c>
      <c r="M173" s="25" t="s">
        <v>493</v>
      </c>
      <c r="N173" s="26" t="s">
        <v>494</v>
      </c>
      <c r="O173" s="27"/>
      <c r="P173" s="27">
        <v>2489290.7400000002</v>
      </c>
      <c r="Q173" s="34"/>
      <c r="R173" s="30">
        <v>2489290.7400000002</v>
      </c>
      <c r="S173" s="31">
        <v>2115017.2200000002</v>
      </c>
      <c r="T173" s="27">
        <v>176314.23</v>
      </c>
      <c r="U173" s="31">
        <v>2291331.4500000002</v>
      </c>
      <c r="V173" s="32">
        <v>197959.29000000004</v>
      </c>
      <c r="W173" s="33">
        <v>0.92047562511721714</v>
      </c>
      <c r="Y173" s="25" t="s">
        <v>493</v>
      </c>
      <c r="Z173" s="26" t="s">
        <v>494</v>
      </c>
      <c r="AA173" s="27"/>
      <c r="AB173" s="27">
        <v>2489290.7400000002</v>
      </c>
      <c r="AC173" s="34"/>
      <c r="AD173" s="30">
        <v>2489290.7400000002</v>
      </c>
      <c r="AE173" s="31">
        <v>8309984.1299999999</v>
      </c>
      <c r="AF173" s="27">
        <v>6018652.6799999997</v>
      </c>
      <c r="AG173" s="31">
        <v>8309984.1299999999</v>
      </c>
      <c r="AH173" s="32">
        <v>-5820693.3899999997</v>
      </c>
      <c r="AI173" s="33">
        <v>3.3382939149968474</v>
      </c>
    </row>
    <row r="174" spans="1:35" x14ac:dyDescent="0.25">
      <c r="A174" s="25" t="s">
        <v>495</v>
      </c>
      <c r="B174" s="26" t="s">
        <v>496</v>
      </c>
      <c r="C174" s="27"/>
      <c r="D174" s="27"/>
      <c r="E174" s="34"/>
      <c r="F174" s="30">
        <f t="shared" si="48"/>
        <v>0</v>
      </c>
      <c r="G174" s="31">
        <v>8481475.7599999998</v>
      </c>
      <c r="H174" s="27">
        <v>6723798.8700000001</v>
      </c>
      <c r="I174" s="31">
        <v>8481475.7599999998</v>
      </c>
      <c r="J174" s="32">
        <f t="shared" si="52"/>
        <v>-8481475.7599999998</v>
      </c>
      <c r="K174" s="33" t="e">
        <f t="shared" si="40"/>
        <v>#DIV/0!</v>
      </c>
      <c r="L174" s="113">
        <f t="shared" si="38"/>
        <v>0</v>
      </c>
      <c r="M174" s="25" t="s">
        <v>495</v>
      </c>
      <c r="N174" s="26" t="s">
        <v>496</v>
      </c>
      <c r="O174" s="27"/>
      <c r="P174" s="27"/>
      <c r="Q174" s="34"/>
      <c r="R174" s="30">
        <v>0</v>
      </c>
      <c r="S174" s="31">
        <v>1259479.48</v>
      </c>
      <c r="T174" s="27">
        <v>498197.41</v>
      </c>
      <c r="U174" s="31">
        <v>1757676.89</v>
      </c>
      <c r="V174" s="32">
        <v>-1757676.89</v>
      </c>
      <c r="W174" s="33" t="e">
        <v>#DIV/0!</v>
      </c>
      <c r="Y174" s="25" t="s">
        <v>495</v>
      </c>
      <c r="Z174" s="26" t="s">
        <v>496</v>
      </c>
      <c r="AA174" s="27"/>
      <c r="AB174" s="27"/>
      <c r="AC174" s="34"/>
      <c r="AD174" s="30">
        <v>0</v>
      </c>
      <c r="AE174" s="31">
        <v>8481475.7599999998</v>
      </c>
      <c r="AF174" s="27">
        <v>6723798.8700000001</v>
      </c>
      <c r="AG174" s="31">
        <v>8481475.7599999998</v>
      </c>
      <c r="AH174" s="32">
        <v>-8481475.7599999998</v>
      </c>
      <c r="AI174" s="33" t="e">
        <v>#DIV/0!</v>
      </c>
    </row>
    <row r="175" spans="1:35" x14ac:dyDescent="0.25">
      <c r="A175" s="25" t="s">
        <v>497</v>
      </c>
      <c r="B175" s="26" t="s">
        <v>498</v>
      </c>
      <c r="C175" s="27">
        <v>360566197</v>
      </c>
      <c r="D175" s="27"/>
      <c r="E175" s="34"/>
      <c r="F175" s="30">
        <f t="shared" si="48"/>
        <v>360566197</v>
      </c>
      <c r="G175" s="31">
        <v>142604020.09</v>
      </c>
      <c r="H175" s="27">
        <v>21215110.379999999</v>
      </c>
      <c r="I175" s="31">
        <v>142604020.09</v>
      </c>
      <c r="J175" s="32">
        <f t="shared" si="52"/>
        <v>217962176.91</v>
      </c>
      <c r="K175" s="33">
        <f t="shared" si="40"/>
        <v>0.39550024732351713</v>
      </c>
      <c r="L175" s="113">
        <f t="shared" si="38"/>
        <v>0</v>
      </c>
      <c r="M175" s="25" t="s">
        <v>497</v>
      </c>
      <c r="N175" s="26" t="s">
        <v>498</v>
      </c>
      <c r="O175" s="27">
        <v>360566197</v>
      </c>
      <c r="P175" s="27"/>
      <c r="Q175" s="34"/>
      <c r="R175" s="30">
        <v>360566197</v>
      </c>
      <c r="S175" s="31">
        <v>83579598.969999999</v>
      </c>
      <c r="T175" s="27">
        <v>41424837.619999997</v>
      </c>
      <c r="U175" s="31">
        <v>121388909.71000001</v>
      </c>
      <c r="V175" s="32">
        <v>239177287.28999999</v>
      </c>
      <c r="W175" s="33">
        <v>0.33666192427350589</v>
      </c>
      <c r="Y175" s="25" t="s">
        <v>497</v>
      </c>
      <c r="Z175" s="26" t="s">
        <v>498</v>
      </c>
      <c r="AA175" s="27">
        <v>360566197</v>
      </c>
      <c r="AB175" s="27"/>
      <c r="AC175" s="34"/>
      <c r="AD175" s="30">
        <v>360566197</v>
      </c>
      <c r="AE175" s="31">
        <v>142604020.09</v>
      </c>
      <c r="AF175" s="27">
        <v>21215110.379999999</v>
      </c>
      <c r="AG175" s="31">
        <v>142604020.09</v>
      </c>
      <c r="AH175" s="32">
        <v>217962176.91</v>
      </c>
      <c r="AI175" s="33">
        <v>0.39550024732351713</v>
      </c>
    </row>
    <row r="176" spans="1:35" x14ac:dyDescent="0.25">
      <c r="A176" s="25" t="s">
        <v>499</v>
      </c>
      <c r="B176" s="26" t="s">
        <v>500</v>
      </c>
      <c r="C176" s="27"/>
      <c r="D176" s="27"/>
      <c r="E176" s="34"/>
      <c r="F176" s="30">
        <f t="shared" si="48"/>
        <v>0</v>
      </c>
      <c r="G176" s="31">
        <v>1190171</v>
      </c>
      <c r="H176" s="27"/>
      <c r="I176" s="31">
        <v>1190171</v>
      </c>
      <c r="J176" s="32">
        <f t="shared" si="52"/>
        <v>-1190171</v>
      </c>
      <c r="K176" s="33" t="e">
        <f t="shared" si="40"/>
        <v>#DIV/0!</v>
      </c>
      <c r="L176" s="113">
        <f t="shared" si="38"/>
        <v>0</v>
      </c>
      <c r="M176" s="25" t="s">
        <v>499</v>
      </c>
      <c r="N176" s="26" t="s">
        <v>500</v>
      </c>
      <c r="O176" s="27"/>
      <c r="P176" s="27"/>
      <c r="Q176" s="34"/>
      <c r="R176" s="30">
        <v>0</v>
      </c>
      <c r="S176" s="31">
        <v>684596</v>
      </c>
      <c r="T176" s="27">
        <v>505575</v>
      </c>
      <c r="U176" s="31">
        <v>1190171</v>
      </c>
      <c r="V176" s="32">
        <v>-1190171</v>
      </c>
      <c r="W176" s="33" t="e">
        <v>#DIV/0!</v>
      </c>
      <c r="Y176" s="25" t="s">
        <v>499</v>
      </c>
      <c r="Z176" s="26" t="s">
        <v>500</v>
      </c>
      <c r="AA176" s="27"/>
      <c r="AB176" s="27"/>
      <c r="AC176" s="34"/>
      <c r="AD176" s="30">
        <v>0</v>
      </c>
      <c r="AE176" s="31">
        <v>1190171</v>
      </c>
      <c r="AF176" s="27"/>
      <c r="AG176" s="31">
        <v>1190171</v>
      </c>
      <c r="AH176" s="32">
        <v>-1190171</v>
      </c>
      <c r="AI176" s="33" t="e">
        <v>#DIV/0!</v>
      </c>
    </row>
    <row r="177" spans="1:35" x14ac:dyDescent="0.25">
      <c r="A177" s="25" t="s">
        <v>501</v>
      </c>
      <c r="B177" s="26" t="s">
        <v>502</v>
      </c>
      <c r="C177" s="27"/>
      <c r="D177" s="27"/>
      <c r="E177" s="34"/>
      <c r="F177" s="30">
        <f t="shared" si="48"/>
        <v>0</v>
      </c>
      <c r="G177" s="31">
        <v>18589726</v>
      </c>
      <c r="H177" s="27">
        <v>522936</v>
      </c>
      <c r="I177" s="31">
        <v>18589726</v>
      </c>
      <c r="J177" s="32">
        <f t="shared" si="52"/>
        <v>-18589726</v>
      </c>
      <c r="K177" s="33" t="e">
        <f t="shared" si="40"/>
        <v>#DIV/0!</v>
      </c>
      <c r="L177" s="113">
        <f t="shared" si="38"/>
        <v>0</v>
      </c>
      <c r="M177" s="25" t="s">
        <v>501</v>
      </c>
      <c r="N177" s="26" t="s">
        <v>502</v>
      </c>
      <c r="O177" s="27"/>
      <c r="P177" s="27"/>
      <c r="Q177" s="34"/>
      <c r="R177" s="30">
        <v>0</v>
      </c>
      <c r="S177" s="31">
        <v>11964778</v>
      </c>
      <c r="T177" s="27">
        <v>6102012</v>
      </c>
      <c r="U177" s="31">
        <v>18066790</v>
      </c>
      <c r="V177" s="32">
        <v>-18066790</v>
      </c>
      <c r="W177" s="33" t="e">
        <v>#DIV/0!</v>
      </c>
      <c r="Y177" s="25" t="s">
        <v>501</v>
      </c>
      <c r="Z177" s="26" t="s">
        <v>502</v>
      </c>
      <c r="AA177" s="27"/>
      <c r="AB177" s="27"/>
      <c r="AC177" s="34"/>
      <c r="AD177" s="30">
        <v>0</v>
      </c>
      <c r="AE177" s="31">
        <v>18589726</v>
      </c>
      <c r="AF177" s="27">
        <v>522936</v>
      </c>
      <c r="AG177" s="31">
        <v>18589726</v>
      </c>
      <c r="AH177" s="32">
        <v>-18589726</v>
      </c>
      <c r="AI177" s="33" t="e">
        <v>#DIV/0!</v>
      </c>
    </row>
    <row r="178" spans="1:35" x14ac:dyDescent="0.25">
      <c r="A178" s="25" t="s">
        <v>503</v>
      </c>
      <c r="B178" s="26" t="s">
        <v>504</v>
      </c>
      <c r="C178" s="27"/>
      <c r="D178" s="27"/>
      <c r="E178" s="34"/>
      <c r="F178" s="30">
        <f t="shared" si="48"/>
        <v>0</v>
      </c>
      <c r="G178" s="31">
        <v>49345833</v>
      </c>
      <c r="H178" s="27">
        <v>7086220</v>
      </c>
      <c r="I178" s="31">
        <v>49345833</v>
      </c>
      <c r="J178" s="32">
        <f t="shared" si="52"/>
        <v>-49345833</v>
      </c>
      <c r="K178" s="33" t="e">
        <f t="shared" si="40"/>
        <v>#DIV/0!</v>
      </c>
      <c r="L178" s="113">
        <f t="shared" si="38"/>
        <v>0</v>
      </c>
      <c r="M178" s="25" t="s">
        <v>503</v>
      </c>
      <c r="N178" s="26" t="s">
        <v>504</v>
      </c>
      <c r="O178" s="27"/>
      <c r="P178" s="27"/>
      <c r="Q178" s="34"/>
      <c r="R178" s="30">
        <v>0</v>
      </c>
      <c r="S178" s="31">
        <v>42259613</v>
      </c>
      <c r="T178" s="27"/>
      <c r="U178" s="31">
        <v>42259613</v>
      </c>
      <c r="V178" s="32">
        <v>-42259613</v>
      </c>
      <c r="W178" s="33" t="e">
        <v>#DIV/0!</v>
      </c>
      <c r="Y178" s="25" t="s">
        <v>503</v>
      </c>
      <c r="Z178" s="26" t="s">
        <v>504</v>
      </c>
      <c r="AA178" s="27"/>
      <c r="AB178" s="27"/>
      <c r="AC178" s="34"/>
      <c r="AD178" s="30">
        <v>0</v>
      </c>
      <c r="AE178" s="31">
        <v>49345833</v>
      </c>
      <c r="AF178" s="27">
        <v>7086220</v>
      </c>
      <c r="AG178" s="31">
        <v>49345833</v>
      </c>
      <c r="AH178" s="32">
        <v>-49345833</v>
      </c>
      <c r="AI178" s="33" t="e">
        <v>#DIV/0!</v>
      </c>
    </row>
    <row r="179" spans="1:35" x14ac:dyDescent="0.25">
      <c r="A179" s="125">
        <v>1262212</v>
      </c>
      <c r="B179" s="26" t="s">
        <v>871</v>
      </c>
      <c r="C179" s="34"/>
      <c r="D179" s="34"/>
      <c r="E179" s="34"/>
      <c r="F179" s="30">
        <f t="shared" si="48"/>
        <v>0</v>
      </c>
      <c r="G179" s="31">
        <v>2976256</v>
      </c>
      <c r="H179" s="27">
        <v>728679</v>
      </c>
      <c r="I179" s="31">
        <v>2976256</v>
      </c>
      <c r="J179" s="32">
        <f t="shared" si="52"/>
        <v>-2976256</v>
      </c>
      <c r="K179" s="33" t="e">
        <f t="shared" si="40"/>
        <v>#DIV/0!</v>
      </c>
      <c r="L179" s="113">
        <f t="shared" si="38"/>
        <v>0</v>
      </c>
      <c r="M179" s="125">
        <v>1262212</v>
      </c>
      <c r="N179" s="26" t="s">
        <v>871</v>
      </c>
      <c r="O179" s="34"/>
      <c r="P179" s="34"/>
      <c r="Q179" s="34"/>
      <c r="R179" s="30">
        <v>0</v>
      </c>
      <c r="S179" s="31">
        <v>1557342</v>
      </c>
      <c r="T179" s="27">
        <v>690235</v>
      </c>
      <c r="U179" s="31">
        <v>2247577</v>
      </c>
      <c r="V179" s="32">
        <v>-2247577</v>
      </c>
      <c r="W179" s="33" t="e">
        <v>#DIV/0!</v>
      </c>
      <c r="Y179" s="125">
        <v>1262212</v>
      </c>
      <c r="Z179" s="26" t="s">
        <v>871</v>
      </c>
      <c r="AA179" s="34"/>
      <c r="AB179" s="34"/>
      <c r="AC179" s="34"/>
      <c r="AD179" s="30">
        <v>0</v>
      </c>
      <c r="AE179" s="31">
        <v>2976256</v>
      </c>
      <c r="AF179" s="27">
        <v>728679</v>
      </c>
      <c r="AG179" s="31">
        <v>2976256</v>
      </c>
      <c r="AH179" s="32">
        <v>-2976256</v>
      </c>
      <c r="AI179" s="33" t="e">
        <v>#DIV/0!</v>
      </c>
    </row>
    <row r="180" spans="1:35" x14ac:dyDescent="0.25">
      <c r="A180" s="125">
        <v>12627</v>
      </c>
      <c r="B180" s="26" t="s">
        <v>872</v>
      </c>
      <c r="C180" s="34"/>
      <c r="D180" s="34">
        <v>315987440</v>
      </c>
      <c r="E180" s="34"/>
      <c r="F180" s="30">
        <f t="shared" si="48"/>
        <v>315987440</v>
      </c>
      <c r="G180" s="31">
        <v>315987440</v>
      </c>
      <c r="H180" s="27"/>
      <c r="I180" s="31">
        <v>315987440</v>
      </c>
      <c r="J180" s="32">
        <f t="shared" si="52"/>
        <v>0</v>
      </c>
      <c r="K180" s="33">
        <f t="shared" si="40"/>
        <v>1</v>
      </c>
      <c r="L180" s="113">
        <f t="shared" si="38"/>
        <v>0</v>
      </c>
      <c r="M180" s="125">
        <v>12627</v>
      </c>
      <c r="N180" s="26" t="s">
        <v>872</v>
      </c>
      <c r="O180" s="34"/>
      <c r="P180" s="34">
        <v>315987440</v>
      </c>
      <c r="Q180" s="34"/>
      <c r="R180" s="30">
        <v>315987440</v>
      </c>
      <c r="S180" s="31">
        <v>315987440</v>
      </c>
      <c r="T180" s="27"/>
      <c r="U180" s="31">
        <v>315987440</v>
      </c>
      <c r="V180" s="32">
        <v>0</v>
      </c>
      <c r="W180" s="33">
        <v>1</v>
      </c>
      <c r="Y180" s="125">
        <v>12627</v>
      </c>
      <c r="Z180" s="26" t="s">
        <v>872</v>
      </c>
      <c r="AA180" s="34"/>
      <c r="AB180" s="34">
        <v>315987440</v>
      </c>
      <c r="AC180" s="34"/>
      <c r="AD180" s="30">
        <v>315987440</v>
      </c>
      <c r="AE180" s="31">
        <v>315987440</v>
      </c>
      <c r="AF180" s="27"/>
      <c r="AG180" s="31">
        <v>315987440</v>
      </c>
      <c r="AH180" s="32">
        <v>0</v>
      </c>
      <c r="AI180" s="33">
        <v>1</v>
      </c>
    </row>
    <row r="181" spans="1:35" x14ac:dyDescent="0.25">
      <c r="C181" s="4"/>
      <c r="D181" s="4"/>
      <c r="F181" s="4"/>
      <c r="Y181" s="113"/>
      <c r="Z181" s="113"/>
      <c r="AA181" s="127"/>
    </row>
    <row r="182" spans="1:35" x14ac:dyDescent="0.25">
      <c r="C182" s="4"/>
      <c r="D182" s="4"/>
      <c r="F182" s="4"/>
      <c r="G182" s="4"/>
      <c r="I182" s="4"/>
      <c r="Z182" s="113"/>
      <c r="AA182" s="127"/>
    </row>
    <row r="183" spans="1:35" x14ac:dyDescent="0.25">
      <c r="C183" s="113"/>
      <c r="D183" s="113"/>
      <c r="F183" s="113"/>
      <c r="I183" s="113"/>
      <c r="Z183" s="113"/>
      <c r="AA183" s="127"/>
    </row>
    <row r="184" spans="1:35" x14ac:dyDescent="0.25">
      <c r="D184" s="127"/>
      <c r="F184" s="4"/>
      <c r="Z184" s="113"/>
      <c r="AA184" s="127"/>
    </row>
    <row r="185" spans="1:35" x14ac:dyDescent="0.25">
      <c r="D185" s="127"/>
      <c r="F185" s="127"/>
      <c r="Z185" s="113"/>
      <c r="AA185" s="127"/>
    </row>
    <row r="186" spans="1:35" x14ac:dyDescent="0.25">
      <c r="D186" s="127">
        <f>+D185-D184</f>
        <v>0</v>
      </c>
      <c r="F186" s="113">
        <f>+F185-F184</f>
        <v>0</v>
      </c>
      <c r="Z186" s="113"/>
      <c r="AA186" s="127"/>
    </row>
    <row r="187" spans="1:35" x14ac:dyDescent="0.25">
      <c r="Z187" s="113"/>
      <c r="AA187" s="127"/>
    </row>
    <row r="188" spans="1:35" x14ac:dyDescent="0.25">
      <c r="Z188" s="113"/>
      <c r="AA188" s="127"/>
    </row>
    <row r="189" spans="1:35" x14ac:dyDescent="0.25">
      <c r="Z189" s="113"/>
      <c r="AA189" s="127"/>
    </row>
    <row r="190" spans="1:35" x14ac:dyDescent="0.25">
      <c r="Z190" s="113"/>
      <c r="AA190" s="127"/>
    </row>
    <row r="191" spans="1:35" x14ac:dyDescent="0.25">
      <c r="Z191" s="113"/>
    </row>
    <row r="192" spans="1:35" x14ac:dyDescent="0.25">
      <c r="Z192" s="113"/>
    </row>
    <row r="193" spans="26:26" x14ac:dyDescent="0.25">
      <c r="Z193" s="113"/>
    </row>
  </sheetData>
  <mergeCells count="1">
    <mergeCell ref="C3:K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33"/>
  <sheetViews>
    <sheetView showGridLines="0" zoomScale="90" zoomScaleNormal="90" workbookViewId="0">
      <pane xSplit="2" ySplit="1" topLeftCell="AG409" activePane="bottomRight" state="frozen"/>
      <selection pane="topRight" activeCell="C1" sqref="C1"/>
      <selection pane="bottomLeft" activeCell="A2" sqref="A2"/>
      <selection pane="bottomRight" activeCell="AK416" sqref="AK416"/>
    </sheetView>
  </sheetViews>
  <sheetFormatPr baseColWidth="10" defaultColWidth="11.42578125" defaultRowHeight="15" x14ac:dyDescent="0.25"/>
  <cols>
    <col min="1" max="1" width="11.42578125" style="69"/>
    <col min="2" max="2" width="41.28515625" style="69" customWidth="1"/>
    <col min="3" max="3" width="19.140625" style="69" bestFit="1" customWidth="1"/>
    <col min="4" max="6" width="18.140625" style="69" bestFit="1" customWidth="1"/>
    <col min="7" max="7" width="19.140625" style="69" bestFit="1" customWidth="1"/>
    <col min="8" max="8" width="19.140625" style="53" hidden="1" customWidth="1"/>
    <col min="9" max="14" width="17.7109375" style="53" bestFit="1" customWidth="1"/>
    <col min="15" max="15" width="17.42578125" style="53" bestFit="1" customWidth="1"/>
    <col min="16" max="16" width="17.7109375" style="53" bestFit="1" customWidth="1"/>
    <col min="17" max="18" width="17.42578125" style="53" bestFit="1" customWidth="1"/>
    <col min="19" max="20" width="17.42578125" style="53" hidden="1" customWidth="1"/>
    <col min="21" max="21" width="22.140625" style="53" bestFit="1" customWidth="1"/>
    <col min="22" max="23" width="18.42578125" style="53" hidden="1" customWidth="1"/>
    <col min="24" max="25" width="16.42578125" style="53" hidden="1" customWidth="1"/>
    <col min="26" max="26" width="2.85546875" style="53" customWidth="1"/>
    <col min="27" max="27" width="25.140625" style="53" bestFit="1" customWidth="1"/>
    <col min="28" max="28" width="18.5703125" style="53" bestFit="1" customWidth="1"/>
    <col min="29" max="29" width="23.28515625" style="53" bestFit="1" customWidth="1"/>
    <col min="30" max="30" width="21.140625" style="53" bestFit="1" customWidth="1"/>
    <col min="31" max="31" width="21.7109375" style="53" bestFit="1" customWidth="1"/>
    <col min="32" max="32" width="22" style="53" bestFit="1" customWidth="1"/>
    <col min="33" max="33" width="18" style="53" customWidth="1"/>
    <col min="34" max="34" width="21.28515625" style="53" customWidth="1"/>
    <col min="35" max="35" width="22.28515625" style="53" customWidth="1"/>
    <col min="36" max="36" width="20.5703125" style="53" customWidth="1"/>
    <col min="37" max="37" width="23.85546875" style="53" bestFit="1" customWidth="1"/>
    <col min="38" max="38" width="4.7109375" style="69" bestFit="1" customWidth="1"/>
    <col min="39" max="49" width="11.28515625" style="72" customWidth="1"/>
    <col min="50" max="16384" width="11.42578125" style="69"/>
  </cols>
  <sheetData>
    <row r="1" spans="1:49" ht="45" x14ac:dyDescent="0.25">
      <c r="A1" s="44" t="s">
        <v>0</v>
      </c>
      <c r="B1" s="44" t="s">
        <v>1</v>
      </c>
      <c r="C1" s="45" t="s">
        <v>2</v>
      </c>
      <c r="D1" s="45" t="s">
        <v>3</v>
      </c>
      <c r="E1" s="45" t="s">
        <v>4</v>
      </c>
      <c r="F1" s="45" t="s">
        <v>5</v>
      </c>
      <c r="G1" s="45" t="s">
        <v>505</v>
      </c>
      <c r="H1" s="71" t="s">
        <v>653</v>
      </c>
      <c r="I1" s="203" t="s">
        <v>654</v>
      </c>
      <c r="J1" s="203" t="s">
        <v>655</v>
      </c>
      <c r="K1" s="203" t="s">
        <v>656</v>
      </c>
      <c r="L1" s="203" t="s">
        <v>657</v>
      </c>
      <c r="M1" s="203" t="s">
        <v>658</v>
      </c>
      <c r="N1" s="203" t="s">
        <v>659</v>
      </c>
      <c r="O1" s="203" t="s">
        <v>660</v>
      </c>
      <c r="P1" s="203" t="s">
        <v>661</v>
      </c>
      <c r="Q1" s="203" t="s">
        <v>662</v>
      </c>
      <c r="R1" s="203" t="s">
        <v>663</v>
      </c>
      <c r="S1" s="203" t="s">
        <v>664</v>
      </c>
      <c r="T1" s="203" t="s">
        <v>665</v>
      </c>
      <c r="U1" s="203" t="s">
        <v>1031</v>
      </c>
      <c r="V1" s="71" t="s">
        <v>666</v>
      </c>
      <c r="W1" s="395"/>
      <c r="X1" s="395"/>
      <c r="Y1" s="395"/>
      <c r="AA1" s="203" t="s">
        <v>961</v>
      </c>
      <c r="AB1" s="203" t="s">
        <v>960</v>
      </c>
      <c r="AC1" s="203" t="s">
        <v>959</v>
      </c>
      <c r="AD1" s="203" t="s">
        <v>958</v>
      </c>
      <c r="AE1" s="203" t="s">
        <v>957</v>
      </c>
      <c r="AF1" s="203" t="s">
        <v>956</v>
      </c>
      <c r="AG1" s="203" t="s">
        <v>955</v>
      </c>
      <c r="AH1" s="203" t="s">
        <v>1011</v>
      </c>
      <c r="AI1" s="203" t="s">
        <v>1012</v>
      </c>
      <c r="AJ1" s="203" t="s">
        <v>1025</v>
      </c>
      <c r="AK1" s="203" t="s">
        <v>1043</v>
      </c>
      <c r="AL1" s="385"/>
      <c r="AM1" s="403" t="s">
        <v>925</v>
      </c>
      <c r="AN1" s="403" t="s">
        <v>926</v>
      </c>
      <c r="AO1" s="403" t="s">
        <v>927</v>
      </c>
      <c r="AP1" s="403" t="s">
        <v>928</v>
      </c>
      <c r="AQ1" s="403" t="s">
        <v>929</v>
      </c>
      <c r="AR1" s="403" t="s">
        <v>930</v>
      </c>
      <c r="AS1" s="403" t="s">
        <v>931</v>
      </c>
      <c r="AT1" s="403" t="s">
        <v>1026</v>
      </c>
      <c r="AU1" s="403" t="s">
        <v>1027</v>
      </c>
      <c r="AV1" s="403" t="s">
        <v>1028</v>
      </c>
      <c r="AW1" s="403" t="s">
        <v>1029</v>
      </c>
    </row>
    <row r="2" spans="1:49" s="70" customFormat="1" x14ac:dyDescent="0.25">
      <c r="A2" s="97">
        <v>2</v>
      </c>
      <c r="B2" s="98" t="s">
        <v>6</v>
      </c>
      <c r="C2" s="99">
        <f>+C3+C246</f>
        <v>128545687388</v>
      </c>
      <c r="D2" s="99">
        <f t="shared" ref="D2:AK2" si="0">+D3+D246</f>
        <v>12758079262</v>
      </c>
      <c r="E2" s="99">
        <f t="shared" si="0"/>
        <v>12758079262</v>
      </c>
      <c r="F2" s="99">
        <f t="shared" si="0"/>
        <v>33726390777.240002</v>
      </c>
      <c r="G2" s="99">
        <f t="shared" si="0"/>
        <v>162272078165.23999</v>
      </c>
      <c r="H2" s="99">
        <f t="shared" si="0"/>
        <v>144594308812</v>
      </c>
      <c r="I2" s="99">
        <f t="shared" si="0"/>
        <v>9678701223.0830956</v>
      </c>
      <c r="J2" s="99">
        <f t="shared" si="0"/>
        <v>16363372119.137642</v>
      </c>
      <c r="K2" s="99">
        <f t="shared" si="0"/>
        <v>12117171348.457642</v>
      </c>
      <c r="L2" s="99">
        <f t="shared" si="0"/>
        <v>11833153345.022085</v>
      </c>
      <c r="M2" s="99">
        <f t="shared" si="0"/>
        <v>11489525002.902084</v>
      </c>
      <c r="N2" s="99">
        <f t="shared" si="0"/>
        <v>14172610781.053753</v>
      </c>
      <c r="O2" s="99">
        <f t="shared" si="0"/>
        <v>11624815565.693989</v>
      </c>
      <c r="P2" s="99">
        <f t="shared" si="0"/>
        <v>14120235872.552561</v>
      </c>
      <c r="Q2" s="99">
        <f t="shared" si="0"/>
        <v>12415304439.43256</v>
      </c>
      <c r="R2" s="99">
        <f t="shared" si="0"/>
        <v>13753094346.059227</v>
      </c>
      <c r="S2" s="99">
        <f t="shared" si="0"/>
        <v>14231754227.289227</v>
      </c>
      <c r="T2" s="99">
        <f t="shared" si="0"/>
        <v>20212929395.23756</v>
      </c>
      <c r="U2" s="99">
        <f t="shared" si="0"/>
        <v>127567984043.39464</v>
      </c>
      <c r="V2" s="99">
        <f t="shared" si="0"/>
        <v>162272078165.93143</v>
      </c>
      <c r="W2" s="99">
        <f t="shared" si="0"/>
        <v>162272078165.23999</v>
      </c>
      <c r="X2" s="99">
        <f t="shared" si="0"/>
        <v>-0.6914244145154953</v>
      </c>
      <c r="Y2" s="99">
        <f t="shared" si="0"/>
        <v>181082307.66666666</v>
      </c>
      <c r="Z2" s="99">
        <f t="shared" si="0"/>
        <v>0</v>
      </c>
      <c r="AA2" s="99">
        <f t="shared" si="0"/>
        <v>5824471472.54</v>
      </c>
      <c r="AB2" s="99">
        <f t="shared" si="0"/>
        <v>11217366423.65</v>
      </c>
      <c r="AC2" s="99">
        <f t="shared" si="0"/>
        <v>9348008282.5499992</v>
      </c>
      <c r="AD2" s="99">
        <f t="shared" si="0"/>
        <v>7671076168.04</v>
      </c>
      <c r="AE2" s="99">
        <f t="shared" si="0"/>
        <v>9151162949.0599995</v>
      </c>
      <c r="AF2" s="99">
        <f t="shared" si="0"/>
        <v>13328431334.610001</v>
      </c>
      <c r="AG2" s="99">
        <f t="shared" si="0"/>
        <v>10017016841.58</v>
      </c>
      <c r="AH2" s="99">
        <f t="shared" si="0"/>
        <v>9394861634.0799999</v>
      </c>
      <c r="AI2" s="99">
        <f t="shared" si="0"/>
        <v>9645107760.3899994</v>
      </c>
      <c r="AJ2" s="99">
        <f t="shared" si="0"/>
        <v>9107929886.2099991</v>
      </c>
      <c r="AK2" s="99">
        <f t="shared" si="0"/>
        <v>94705432752.710007</v>
      </c>
      <c r="AL2" s="401"/>
      <c r="AM2" s="178">
        <f t="shared" ref="AM2:AM65" si="1">(AA2-I2)/I2</f>
        <v>-0.39821765975697226</v>
      </c>
      <c r="AN2" s="178">
        <f t="shared" ref="AN2:AN65" si="2">(AB2-J2)/J2</f>
        <v>-0.31448320419659559</v>
      </c>
      <c r="AO2" s="178">
        <f t="shared" ref="AO2:AO65" si="3">(AC2-K2)/K2</f>
        <v>-0.22853213726816868</v>
      </c>
      <c r="AP2" s="178">
        <f t="shared" ref="AP2:AP65" si="4">(AD2-L2)/L2</f>
        <v>-0.35173018177212823</v>
      </c>
      <c r="AQ2" s="178">
        <f t="shared" ref="AQ2:AQ65" si="5">(AE2-M2)/M2</f>
        <v>-0.20352121199540008</v>
      </c>
      <c r="AR2" s="178">
        <f t="shared" ref="AR2:AR65" si="6">(AF2-N2)/N2</f>
        <v>-5.9564145201268723E-2</v>
      </c>
      <c r="AS2" s="178">
        <f t="shared" ref="AS2:AS65" si="7">(AG2-O2)/O2</f>
        <v>-0.13830746088211207</v>
      </c>
      <c r="AT2" s="178">
        <f t="shared" ref="AT2:AT65" si="8">(AH2-P2)/P2</f>
        <v>-0.33465264186258525</v>
      </c>
      <c r="AU2" s="178">
        <f t="shared" ref="AU2:AU65" si="9">(AI2-Q2)/Q2</f>
        <v>-0.22312756747583809</v>
      </c>
      <c r="AV2" s="178">
        <f t="shared" ref="AV2:AV65" si="10">(AJ2-R2)/R2</f>
        <v>-0.33775413321295511</v>
      </c>
      <c r="AW2" s="178">
        <f t="shared" ref="AW2:AW65" si="11">(AK2-S2)/S2</f>
        <v>5.6545157568217004</v>
      </c>
    </row>
    <row r="3" spans="1:49" s="70" customFormat="1" x14ac:dyDescent="0.25">
      <c r="A3" s="335">
        <v>21</v>
      </c>
      <c r="B3" s="336" t="s">
        <v>7</v>
      </c>
      <c r="C3" s="365">
        <f>+C4+C59+C232+C236+C238</f>
        <v>117594878148</v>
      </c>
      <c r="D3" s="365">
        <f t="shared" ref="D3:AK3" si="12">+D4+D59+D232+D236+D238</f>
        <v>3778700936</v>
      </c>
      <c r="E3" s="365">
        <f t="shared" si="12"/>
        <v>3982700936</v>
      </c>
      <c r="F3" s="365">
        <f t="shared" si="12"/>
        <v>4891395969.7299995</v>
      </c>
      <c r="G3" s="365">
        <f t="shared" si="12"/>
        <v>122282274117.73</v>
      </c>
      <c r="H3" s="365">
        <f t="shared" si="12"/>
        <v>120823018909.18999</v>
      </c>
      <c r="I3" s="365">
        <f t="shared" si="12"/>
        <v>8778668609.9164295</v>
      </c>
      <c r="J3" s="365">
        <f t="shared" si="12"/>
        <v>14742554730.806429</v>
      </c>
      <c r="K3" s="365">
        <f t="shared" si="12"/>
        <v>8895891126.0964298</v>
      </c>
      <c r="L3" s="365">
        <f t="shared" si="12"/>
        <v>8744648190.2164288</v>
      </c>
      <c r="M3" s="365">
        <f t="shared" si="12"/>
        <v>8740019848.0964279</v>
      </c>
      <c r="N3" s="365">
        <f t="shared" si="12"/>
        <v>11695605626.248096</v>
      </c>
      <c r="O3" s="365">
        <f t="shared" si="12"/>
        <v>8214331463.9766665</v>
      </c>
      <c r="P3" s="365">
        <f t="shared" si="12"/>
        <v>8936493786.775238</v>
      </c>
      <c r="Q3" s="365">
        <f t="shared" si="12"/>
        <v>8916243133.6552372</v>
      </c>
      <c r="R3" s="365">
        <f t="shared" si="12"/>
        <v>9092732469.5852375</v>
      </c>
      <c r="S3" s="365">
        <f t="shared" si="12"/>
        <v>9169684956.8452377</v>
      </c>
      <c r="T3" s="365">
        <f t="shared" si="12"/>
        <v>16095989676.05357</v>
      </c>
      <c r="U3" s="365">
        <f t="shared" si="12"/>
        <v>96757188985.37262</v>
      </c>
      <c r="V3" s="365">
        <f t="shared" si="12"/>
        <v>122282274118.28142</v>
      </c>
      <c r="W3" s="365">
        <f t="shared" si="12"/>
        <v>122282274117.73</v>
      </c>
      <c r="X3" s="365">
        <f t="shared" si="12"/>
        <v>-0.55142384767532349</v>
      </c>
      <c r="Y3" s="365">
        <f t="shared" si="12"/>
        <v>0</v>
      </c>
      <c r="Z3" s="365">
        <f t="shared" si="12"/>
        <v>0</v>
      </c>
      <c r="AA3" s="365">
        <f t="shared" si="12"/>
        <v>5746336723.54</v>
      </c>
      <c r="AB3" s="365">
        <f t="shared" si="12"/>
        <v>10969964150.65</v>
      </c>
      <c r="AC3" s="365">
        <f t="shared" si="12"/>
        <v>8798014705.5499992</v>
      </c>
      <c r="AD3" s="365">
        <f t="shared" si="12"/>
        <v>7073421288.1599998</v>
      </c>
      <c r="AE3" s="365">
        <f t="shared" si="12"/>
        <v>8808000563.0599995</v>
      </c>
      <c r="AF3" s="365">
        <f t="shared" si="12"/>
        <v>12357072839.91</v>
      </c>
      <c r="AG3" s="365">
        <f t="shared" si="12"/>
        <v>8443207243.1899996</v>
      </c>
      <c r="AH3" s="365">
        <f t="shared" si="12"/>
        <v>8191098238.9799995</v>
      </c>
      <c r="AI3" s="365">
        <f t="shared" si="12"/>
        <v>7628010644.3899994</v>
      </c>
      <c r="AJ3" s="365">
        <f t="shared" si="12"/>
        <v>7212381767.5</v>
      </c>
      <c r="AK3" s="365">
        <f t="shared" si="12"/>
        <v>85227508164.930008</v>
      </c>
      <c r="AL3" s="402"/>
      <c r="AM3" s="400">
        <f t="shared" si="1"/>
        <v>-0.34542047560049044</v>
      </c>
      <c r="AN3" s="400">
        <f t="shared" si="2"/>
        <v>-0.25589802100399361</v>
      </c>
      <c r="AO3" s="400">
        <f t="shared" si="3"/>
        <v>-1.1002430128591215E-2</v>
      </c>
      <c r="AP3" s="400">
        <f t="shared" si="4"/>
        <v>-0.19111425247801378</v>
      </c>
      <c r="AQ3" s="400">
        <f t="shared" si="5"/>
        <v>7.7780961765639145E-3</v>
      </c>
      <c r="AR3" s="400">
        <f t="shared" si="6"/>
        <v>5.6556901352538116E-2</v>
      </c>
      <c r="AS3" s="400">
        <f t="shared" si="7"/>
        <v>2.7862983155360926E-2</v>
      </c>
      <c r="AT3" s="400">
        <f t="shared" si="8"/>
        <v>-8.3410291058258187E-2</v>
      </c>
      <c r="AU3" s="400">
        <f t="shared" si="9"/>
        <v>-0.14448153442593747</v>
      </c>
      <c r="AV3" s="400">
        <f t="shared" si="10"/>
        <v>-0.20679709959299059</v>
      </c>
      <c r="AW3" s="400">
        <f t="shared" si="11"/>
        <v>8.294485968278229</v>
      </c>
    </row>
    <row r="4" spans="1:49" s="70" customFormat="1" x14ac:dyDescent="0.25">
      <c r="A4" s="335">
        <v>211</v>
      </c>
      <c r="B4" s="336" t="s">
        <v>8</v>
      </c>
      <c r="C4" s="365">
        <f>+C5+C39</f>
        <v>103924427514</v>
      </c>
      <c r="D4" s="365">
        <f t="shared" ref="D4:AK4" si="13">+D5+D39</f>
        <v>678643009</v>
      </c>
      <c r="E4" s="365">
        <f t="shared" si="13"/>
        <v>2303003991</v>
      </c>
      <c r="F4" s="365">
        <f t="shared" si="13"/>
        <v>2883791067</v>
      </c>
      <c r="G4" s="365">
        <f t="shared" si="13"/>
        <v>105183857599</v>
      </c>
      <c r="H4" s="365">
        <f t="shared" si="13"/>
        <v>105696298416.16998</v>
      </c>
      <c r="I4" s="365">
        <f t="shared" si="13"/>
        <v>7888881119.6916676</v>
      </c>
      <c r="J4" s="365">
        <f t="shared" si="13"/>
        <v>8190764568.5816679</v>
      </c>
      <c r="K4" s="365">
        <f t="shared" si="13"/>
        <v>7893027854.3716679</v>
      </c>
      <c r="L4" s="365">
        <f t="shared" si="13"/>
        <v>7951902366.4916668</v>
      </c>
      <c r="M4" s="365">
        <f t="shared" si="13"/>
        <v>7658524901.3716669</v>
      </c>
      <c r="N4" s="365">
        <f t="shared" si="13"/>
        <v>10867118068.901669</v>
      </c>
      <c r="O4" s="365">
        <f t="shared" si="13"/>
        <v>7317486764.2016668</v>
      </c>
      <c r="P4" s="365">
        <f t="shared" si="13"/>
        <v>7980301827.2716675</v>
      </c>
      <c r="Q4" s="365">
        <f t="shared" si="13"/>
        <v>7918125563.6516666</v>
      </c>
      <c r="R4" s="365">
        <f t="shared" si="13"/>
        <v>8174253672.081666</v>
      </c>
      <c r="S4" s="365">
        <f t="shared" si="13"/>
        <v>8135560048.3416672</v>
      </c>
      <c r="T4" s="365">
        <f t="shared" si="13"/>
        <v>15207910845.011665</v>
      </c>
      <c r="U4" s="365">
        <f t="shared" si="13"/>
        <v>81840386706.616669</v>
      </c>
      <c r="V4" s="365">
        <f t="shared" si="13"/>
        <v>105183857599.97</v>
      </c>
      <c r="W4" s="365">
        <f t="shared" si="13"/>
        <v>105183857599</v>
      </c>
      <c r="X4" s="365">
        <f t="shared" si="13"/>
        <v>-0.96999531984329224</v>
      </c>
      <c r="Y4" s="365">
        <f t="shared" si="13"/>
        <v>0</v>
      </c>
      <c r="Z4" s="365">
        <f t="shared" si="13"/>
        <v>0</v>
      </c>
      <c r="AA4" s="365">
        <f t="shared" si="13"/>
        <v>5197058370</v>
      </c>
      <c r="AB4" s="365">
        <f t="shared" si="13"/>
        <v>6449358150.1700001</v>
      </c>
      <c r="AC4" s="365">
        <f t="shared" si="13"/>
        <v>7816904309.1999998</v>
      </c>
      <c r="AD4" s="365">
        <f t="shared" si="13"/>
        <v>6691406089</v>
      </c>
      <c r="AE4" s="365">
        <f t="shared" si="13"/>
        <v>8131861672</v>
      </c>
      <c r="AF4" s="365">
        <f t="shared" si="13"/>
        <v>11261616813.279999</v>
      </c>
      <c r="AG4" s="365">
        <f t="shared" si="13"/>
        <v>7631795083</v>
      </c>
      <c r="AH4" s="365">
        <f t="shared" si="13"/>
        <v>7572889992</v>
      </c>
      <c r="AI4" s="365">
        <f t="shared" si="13"/>
        <v>7104637236.3999996</v>
      </c>
      <c r="AJ4" s="365">
        <f t="shared" si="13"/>
        <v>6613265119</v>
      </c>
      <c r="AK4" s="365">
        <f t="shared" si="13"/>
        <v>74470792834.050003</v>
      </c>
      <c r="AL4" s="402"/>
      <c r="AM4" s="400">
        <f t="shared" si="1"/>
        <v>-0.34121730431106762</v>
      </c>
      <c r="AN4" s="400">
        <f t="shared" si="2"/>
        <v>-0.21260608870280517</v>
      </c>
      <c r="AO4" s="400">
        <f t="shared" si="3"/>
        <v>-9.644403462925312E-3</v>
      </c>
      <c r="AP4" s="400">
        <f t="shared" si="4"/>
        <v>-0.15851505959168238</v>
      </c>
      <c r="AQ4" s="400">
        <f t="shared" si="5"/>
        <v>6.1805214022814879E-2</v>
      </c>
      <c r="AR4" s="400">
        <f t="shared" si="6"/>
        <v>3.6302057443110297E-2</v>
      </c>
      <c r="AS4" s="400">
        <f t="shared" si="7"/>
        <v>4.2953042339069269E-2</v>
      </c>
      <c r="AT4" s="400">
        <f t="shared" si="8"/>
        <v>-5.1052183750668341E-2</v>
      </c>
      <c r="AU4" s="400">
        <f t="shared" si="9"/>
        <v>-0.10273748764303556</v>
      </c>
      <c r="AV4" s="400">
        <f t="shared" si="10"/>
        <v>-0.19096404585694032</v>
      </c>
      <c r="AW4" s="400">
        <f t="shared" si="11"/>
        <v>8.1537389425611764</v>
      </c>
    </row>
    <row r="5" spans="1:49" s="70" customFormat="1" x14ac:dyDescent="0.25">
      <c r="A5" s="335">
        <v>2111</v>
      </c>
      <c r="B5" s="336" t="s">
        <v>9</v>
      </c>
      <c r="C5" s="365">
        <f>+C6+C23+C30</f>
        <v>76451082961</v>
      </c>
      <c r="D5" s="365">
        <f t="shared" ref="D5:AK5" si="14">+D6+D23+D30</f>
        <v>298775800</v>
      </c>
      <c r="E5" s="365">
        <f t="shared" si="14"/>
        <v>1938003991</v>
      </c>
      <c r="F5" s="365">
        <f t="shared" si="14"/>
        <v>1111920165</v>
      </c>
      <c r="G5" s="365">
        <f t="shared" si="14"/>
        <v>75923774935</v>
      </c>
      <c r="H5" s="365">
        <f t="shared" si="14"/>
        <v>76451082961.189987</v>
      </c>
      <c r="I5" s="365">
        <f t="shared" si="14"/>
        <v>5915444291.0600004</v>
      </c>
      <c r="J5" s="365">
        <f t="shared" si="14"/>
        <v>5784910739.9500008</v>
      </c>
      <c r="K5" s="365">
        <f t="shared" si="14"/>
        <v>5254834971.8400011</v>
      </c>
      <c r="L5" s="365">
        <f t="shared" si="14"/>
        <v>5614557910.8299999</v>
      </c>
      <c r="M5" s="365">
        <f t="shared" si="14"/>
        <v>5202138094.21</v>
      </c>
      <c r="N5" s="365">
        <f t="shared" si="14"/>
        <v>8500736284.7400007</v>
      </c>
      <c r="O5" s="365">
        <f t="shared" si="14"/>
        <v>5170862818.5699997</v>
      </c>
      <c r="P5" s="365">
        <f t="shared" si="14"/>
        <v>5202891734.7399998</v>
      </c>
      <c r="Q5" s="365">
        <f t="shared" si="14"/>
        <v>5410629862.4899998</v>
      </c>
      <c r="R5" s="365">
        <f t="shared" si="14"/>
        <v>5786350318.4199991</v>
      </c>
      <c r="S5" s="365">
        <f t="shared" si="14"/>
        <v>5788098202.5100002</v>
      </c>
      <c r="T5" s="365">
        <f t="shared" si="14"/>
        <v>12292319706.630001</v>
      </c>
      <c r="U5" s="365">
        <f t="shared" si="14"/>
        <v>57843357026.850006</v>
      </c>
      <c r="V5" s="365">
        <f t="shared" si="14"/>
        <v>75923774935.990005</v>
      </c>
      <c r="W5" s="365">
        <f t="shared" si="14"/>
        <v>75923774935</v>
      </c>
      <c r="X5" s="365">
        <f t="shared" si="14"/>
        <v>-0.98999959230422974</v>
      </c>
      <c r="Y5" s="365">
        <f t="shared" si="14"/>
        <v>0</v>
      </c>
      <c r="Z5" s="365">
        <f t="shared" si="14"/>
        <v>0</v>
      </c>
      <c r="AA5" s="365">
        <f t="shared" si="14"/>
        <v>4945787153</v>
      </c>
      <c r="AB5" s="365">
        <f t="shared" si="14"/>
        <v>5103654829.1700001</v>
      </c>
      <c r="AC5" s="365">
        <f t="shared" si="14"/>
        <v>6024007130</v>
      </c>
      <c r="AD5" s="365">
        <f t="shared" si="14"/>
        <v>4735114203</v>
      </c>
      <c r="AE5" s="365">
        <f t="shared" si="14"/>
        <v>4673536012</v>
      </c>
      <c r="AF5" s="365">
        <f t="shared" si="14"/>
        <v>8168196645</v>
      </c>
      <c r="AG5" s="365">
        <f t="shared" si="14"/>
        <v>5999134789</v>
      </c>
      <c r="AH5" s="365">
        <f t="shared" si="14"/>
        <v>5064448762</v>
      </c>
      <c r="AI5" s="365">
        <f t="shared" si="14"/>
        <v>5628017464</v>
      </c>
      <c r="AJ5" s="365">
        <f t="shared" si="14"/>
        <v>4943441967</v>
      </c>
      <c r="AK5" s="365">
        <f t="shared" si="14"/>
        <v>55285338954.169998</v>
      </c>
      <c r="AL5" s="402"/>
      <c r="AM5" s="400">
        <f t="shared" si="1"/>
        <v>-0.16391957904589541</v>
      </c>
      <c r="AN5" s="400">
        <f t="shared" si="2"/>
        <v>-0.11776429082566775</v>
      </c>
      <c r="AO5" s="400">
        <f t="shared" si="3"/>
        <v>0.1463741796425379</v>
      </c>
      <c r="AP5" s="400">
        <f t="shared" si="4"/>
        <v>-0.15663632325060331</v>
      </c>
      <c r="AQ5" s="400">
        <f t="shared" si="5"/>
        <v>-0.1016124663815319</v>
      </c>
      <c r="AR5" s="400">
        <f t="shared" si="6"/>
        <v>-3.9118922008785924E-2</v>
      </c>
      <c r="AS5" s="400">
        <f t="shared" si="7"/>
        <v>0.16018061191943564</v>
      </c>
      <c r="AT5" s="400">
        <f t="shared" si="8"/>
        <v>-2.6608851346186638E-2</v>
      </c>
      <c r="AU5" s="400">
        <f t="shared" si="9"/>
        <v>4.0177873377935582E-2</v>
      </c>
      <c r="AV5" s="400">
        <f t="shared" si="10"/>
        <v>-0.14567184927202279</v>
      </c>
      <c r="AW5" s="400">
        <f t="shared" si="11"/>
        <v>8.5515551084111863</v>
      </c>
    </row>
    <row r="6" spans="1:49" s="70" customFormat="1" x14ac:dyDescent="0.25">
      <c r="A6" s="337">
        <v>21111</v>
      </c>
      <c r="B6" s="338" t="s">
        <v>10</v>
      </c>
      <c r="C6" s="366">
        <f>+C7+C19</f>
        <v>58994774236</v>
      </c>
      <c r="D6" s="366">
        <f t="shared" ref="D6:AK6" si="15">+D7+D19</f>
        <v>148775800</v>
      </c>
      <c r="E6" s="366">
        <f t="shared" si="15"/>
        <v>0</v>
      </c>
      <c r="F6" s="366">
        <f t="shared" si="15"/>
        <v>1111920165</v>
      </c>
      <c r="G6" s="366">
        <f t="shared" si="15"/>
        <v>60255470201</v>
      </c>
      <c r="H6" s="366">
        <f t="shared" si="15"/>
        <v>58994774234.989998</v>
      </c>
      <c r="I6" s="366">
        <f t="shared" si="15"/>
        <v>4625387833.6900005</v>
      </c>
      <c r="J6" s="366">
        <f t="shared" si="15"/>
        <v>4450166528.5100002</v>
      </c>
      <c r="K6" s="366">
        <f t="shared" si="15"/>
        <v>3956218277.9300003</v>
      </c>
      <c r="L6" s="366">
        <f t="shared" si="15"/>
        <v>4280857500.7499995</v>
      </c>
      <c r="M6" s="366">
        <f t="shared" si="15"/>
        <v>3901221464.5999999</v>
      </c>
      <c r="N6" s="366">
        <f t="shared" si="15"/>
        <v>7202853632.5300007</v>
      </c>
      <c r="O6" s="366">
        <f t="shared" si="15"/>
        <v>3872151526.7199993</v>
      </c>
      <c r="P6" s="366">
        <f t="shared" si="15"/>
        <v>3915831069.9699998</v>
      </c>
      <c r="Q6" s="366">
        <f t="shared" si="15"/>
        <v>4118951789.2099996</v>
      </c>
      <c r="R6" s="366">
        <f t="shared" si="15"/>
        <v>4450825929.9199991</v>
      </c>
      <c r="S6" s="366">
        <f t="shared" si="15"/>
        <v>4488391571.8699999</v>
      </c>
      <c r="T6" s="366">
        <f t="shared" si="15"/>
        <v>10992613075.09</v>
      </c>
      <c r="U6" s="366">
        <f t="shared" si="15"/>
        <v>44774465553.830002</v>
      </c>
      <c r="V6" s="366">
        <f t="shared" si="15"/>
        <v>60255470200.790001</v>
      </c>
      <c r="W6" s="366">
        <f t="shared" si="15"/>
        <v>60255470201</v>
      </c>
      <c r="X6" s="366">
        <f t="shared" si="15"/>
        <v>0.21000045537948608</v>
      </c>
      <c r="Y6" s="366">
        <f t="shared" si="15"/>
        <v>0</v>
      </c>
      <c r="Z6" s="366">
        <f t="shared" si="15"/>
        <v>0</v>
      </c>
      <c r="AA6" s="366">
        <f t="shared" si="15"/>
        <v>3512690486</v>
      </c>
      <c r="AB6" s="366">
        <f t="shared" si="15"/>
        <v>3922672494.1700001</v>
      </c>
      <c r="AC6" s="366">
        <f t="shared" si="15"/>
        <v>4460860185</v>
      </c>
      <c r="AD6" s="366">
        <f t="shared" si="15"/>
        <v>3588933798</v>
      </c>
      <c r="AE6" s="366">
        <f t="shared" si="15"/>
        <v>3591580198</v>
      </c>
      <c r="AF6" s="366">
        <f t="shared" si="15"/>
        <v>7027321157</v>
      </c>
      <c r="AG6" s="366">
        <f t="shared" si="15"/>
        <v>4575924963</v>
      </c>
      <c r="AH6" s="366">
        <f t="shared" si="15"/>
        <v>3866897491</v>
      </c>
      <c r="AI6" s="366">
        <f t="shared" si="15"/>
        <v>4282419050</v>
      </c>
      <c r="AJ6" s="366">
        <f t="shared" si="15"/>
        <v>3782865905</v>
      </c>
      <c r="AK6" s="366">
        <f t="shared" si="15"/>
        <v>42612165727.169998</v>
      </c>
      <c r="AL6" s="402"/>
      <c r="AM6" s="399">
        <f t="shared" si="1"/>
        <v>-0.24056303767338852</v>
      </c>
      <c r="AN6" s="399">
        <f t="shared" si="2"/>
        <v>-0.11853354946620731</v>
      </c>
      <c r="AO6" s="399">
        <f t="shared" si="3"/>
        <v>0.12755663909779061</v>
      </c>
      <c r="AP6" s="399">
        <f t="shared" si="4"/>
        <v>-0.16163203344861996</v>
      </c>
      <c r="AQ6" s="399">
        <f t="shared" si="5"/>
        <v>-7.9370338087624573E-2</v>
      </c>
      <c r="AR6" s="399">
        <f t="shared" si="6"/>
        <v>-2.4369851795578545E-2</v>
      </c>
      <c r="AS6" s="399">
        <f t="shared" si="7"/>
        <v>0.18175255576223517</v>
      </c>
      <c r="AT6" s="399">
        <f t="shared" si="8"/>
        <v>-1.2496345755378738E-2</v>
      </c>
      <c r="AU6" s="399">
        <f t="shared" si="9"/>
        <v>3.9686616681996391E-2</v>
      </c>
      <c r="AV6" s="399">
        <f t="shared" si="10"/>
        <v>-0.1500755220350766</v>
      </c>
      <c r="AW6" s="399">
        <f t="shared" si="11"/>
        <v>8.4938610067428844</v>
      </c>
    </row>
    <row r="7" spans="1:49" s="70" customFormat="1" x14ac:dyDescent="0.25">
      <c r="A7" s="339">
        <v>211111</v>
      </c>
      <c r="B7" s="340" t="s">
        <v>11</v>
      </c>
      <c r="C7" s="367">
        <f>+C8+C9+C10+C11+C12+C13+C14+C15+C18</f>
        <v>57900582100</v>
      </c>
      <c r="D7" s="367">
        <f t="shared" ref="D7:AK7" si="16">+D8+D9+D10+D11+D12+D13+D14+D15+D18</f>
        <v>0</v>
      </c>
      <c r="E7" s="367">
        <f t="shared" si="16"/>
        <v>0</v>
      </c>
      <c r="F7" s="367">
        <f t="shared" si="16"/>
        <v>1111920165</v>
      </c>
      <c r="G7" s="367">
        <f t="shared" si="16"/>
        <v>59012502265</v>
      </c>
      <c r="H7" s="367">
        <f t="shared" si="16"/>
        <v>57900582099.07</v>
      </c>
      <c r="I7" s="367">
        <f t="shared" si="16"/>
        <v>3892088904.8100004</v>
      </c>
      <c r="J7" s="367">
        <f t="shared" si="16"/>
        <v>4418110055.1900005</v>
      </c>
      <c r="K7" s="367">
        <f t="shared" si="16"/>
        <v>3905549804.6100001</v>
      </c>
      <c r="L7" s="367">
        <f t="shared" si="16"/>
        <v>4259141027.4299994</v>
      </c>
      <c r="M7" s="367">
        <f t="shared" si="16"/>
        <v>3879504991.2799997</v>
      </c>
      <c r="N7" s="367">
        <f t="shared" si="16"/>
        <v>7160457159.210001</v>
      </c>
      <c r="O7" s="367">
        <f t="shared" si="16"/>
        <v>3840095053.3999991</v>
      </c>
      <c r="P7" s="367">
        <f t="shared" si="16"/>
        <v>3883774596.6499996</v>
      </c>
      <c r="Q7" s="367">
        <f t="shared" si="16"/>
        <v>3938119515.8899994</v>
      </c>
      <c r="R7" s="367">
        <f t="shared" si="16"/>
        <v>4418769456.5999994</v>
      </c>
      <c r="S7" s="367">
        <f t="shared" si="16"/>
        <v>4456335098.5500002</v>
      </c>
      <c r="T7" s="367">
        <f t="shared" si="16"/>
        <v>10960556601.25</v>
      </c>
      <c r="U7" s="367">
        <f t="shared" si="16"/>
        <v>43595610565.07</v>
      </c>
      <c r="V7" s="367">
        <f t="shared" si="16"/>
        <v>59012502264.870003</v>
      </c>
      <c r="W7" s="367">
        <f t="shared" si="16"/>
        <v>59012502265</v>
      </c>
      <c r="X7" s="367">
        <f t="shared" si="16"/>
        <v>0.1300005316734314</v>
      </c>
      <c r="Y7" s="367">
        <f t="shared" si="16"/>
        <v>0</v>
      </c>
      <c r="Z7" s="367">
        <f t="shared" si="16"/>
        <v>0</v>
      </c>
      <c r="AA7" s="367">
        <f t="shared" si="16"/>
        <v>3512690486</v>
      </c>
      <c r="AB7" s="367">
        <f t="shared" si="16"/>
        <v>3915983479.1700001</v>
      </c>
      <c r="AC7" s="367">
        <f t="shared" si="16"/>
        <v>4435490356</v>
      </c>
      <c r="AD7" s="367">
        <f t="shared" si="16"/>
        <v>3546872541</v>
      </c>
      <c r="AE7" s="367">
        <f t="shared" si="16"/>
        <v>3574202706</v>
      </c>
      <c r="AF7" s="367">
        <f t="shared" si="16"/>
        <v>7027321157</v>
      </c>
      <c r="AG7" s="367">
        <f t="shared" si="16"/>
        <v>3737261002</v>
      </c>
      <c r="AH7" s="367">
        <f t="shared" si="16"/>
        <v>3636940879</v>
      </c>
      <c r="AI7" s="367">
        <f t="shared" si="16"/>
        <v>4219705500</v>
      </c>
      <c r="AJ7" s="367">
        <f t="shared" si="16"/>
        <v>3772063934</v>
      </c>
      <c r="AK7" s="367">
        <f t="shared" si="16"/>
        <v>41378532040.169998</v>
      </c>
      <c r="AL7" s="402"/>
      <c r="AM7" s="398">
        <f t="shared" si="1"/>
        <v>-9.7479381403935694E-2</v>
      </c>
      <c r="AN7" s="398">
        <f t="shared" si="2"/>
        <v>-0.11365189407858844</v>
      </c>
      <c r="AO7" s="398">
        <f t="shared" si="3"/>
        <v>0.13568910343032192</v>
      </c>
      <c r="AP7" s="398">
        <f t="shared" si="4"/>
        <v>-0.1672328955164436</v>
      </c>
      <c r="AQ7" s="398">
        <f t="shared" si="5"/>
        <v>-7.8696196026614373E-2</v>
      </c>
      <c r="AR7" s="398">
        <f t="shared" si="6"/>
        <v>-1.8593226556597349E-2</v>
      </c>
      <c r="AS7" s="398">
        <f t="shared" si="7"/>
        <v>-2.6779038010777998E-2</v>
      </c>
      <c r="AT7" s="398">
        <f t="shared" si="8"/>
        <v>-6.3555108955836229E-2</v>
      </c>
      <c r="AU7" s="398">
        <f t="shared" si="9"/>
        <v>7.1502650687421634E-2</v>
      </c>
      <c r="AV7" s="398">
        <f t="shared" si="10"/>
        <v>-0.1463542121741748</v>
      </c>
      <c r="AW7" s="398">
        <f t="shared" si="11"/>
        <v>8.2853277693667415</v>
      </c>
    </row>
    <row r="8" spans="1:49" x14ac:dyDescent="0.25">
      <c r="A8" s="341">
        <v>2111111</v>
      </c>
      <c r="B8" s="342" t="s">
        <v>510</v>
      </c>
      <c r="C8" s="368">
        <v>32061480419</v>
      </c>
      <c r="D8" s="368">
        <v>0</v>
      </c>
      <c r="E8" s="368">
        <v>0</v>
      </c>
      <c r="F8" s="368">
        <f>81443507+1030476658</f>
        <v>1111920165</v>
      </c>
      <c r="G8" s="368">
        <f>+C8+D8-E8+F8</f>
        <v>33173400584</v>
      </c>
      <c r="H8" s="58">
        <v>32061480419</v>
      </c>
      <c r="I8" s="210">
        <v>2505081661.8299999</v>
      </c>
      <c r="J8" s="210">
        <v>2999789477.9899998</v>
      </c>
      <c r="K8" s="210">
        <v>2605202091.6599998</v>
      </c>
      <c r="L8" s="210">
        <v>3017951693.6999998</v>
      </c>
      <c r="M8" s="210">
        <v>2604364985.5599999</v>
      </c>
      <c r="N8" s="210">
        <v>2596566307</v>
      </c>
      <c r="O8" s="210">
        <v>2585654611.5</v>
      </c>
      <c r="P8" s="210">
        <v>2433672590.9400001</v>
      </c>
      <c r="Q8" s="210">
        <v>2502112691.1100001</v>
      </c>
      <c r="R8" s="210">
        <v>3017951693.6999998</v>
      </c>
      <c r="S8" s="210">
        <f>2596566307+555960083</f>
        <v>3152526390</v>
      </c>
      <c r="T8" s="210">
        <f>2596566307.01+555960083</f>
        <v>3152526390.0100002</v>
      </c>
      <c r="U8" s="412">
        <f t="shared" ref="U8" si="17">SUM(I8:R8)</f>
        <v>26868347804.989998</v>
      </c>
      <c r="V8" s="58">
        <f>SUM(I8:T8)</f>
        <v>33173400585</v>
      </c>
      <c r="W8" s="396">
        <f t="shared" ref="W8:W66" si="18">+G8</f>
        <v>33173400584</v>
      </c>
      <c r="X8" s="396">
        <f t="shared" ref="X8:X66" si="19">+W8-V8</f>
        <v>-1</v>
      </c>
      <c r="Y8" s="396"/>
      <c r="AA8" s="210">
        <v>2155693418</v>
      </c>
      <c r="AB8" s="210">
        <v>2446215598</v>
      </c>
      <c r="AC8" s="210">
        <v>2947068209</v>
      </c>
      <c r="AD8" s="210">
        <v>2301984524</v>
      </c>
      <c r="AE8" s="210">
        <v>2327517264</v>
      </c>
      <c r="AF8" s="210">
        <v>2293811191</v>
      </c>
      <c r="AG8" s="210">
        <v>2357062575</v>
      </c>
      <c r="AH8" s="368">
        <v>2381951927</v>
      </c>
      <c r="AI8" s="368">
        <v>2767311486</v>
      </c>
      <c r="AJ8" s="368">
        <v>2367509042</v>
      </c>
      <c r="AK8" s="210">
        <f>SUM(AA8:AJ8)</f>
        <v>24346125234</v>
      </c>
      <c r="AL8" s="387"/>
      <c r="AM8" s="404">
        <f t="shared" si="1"/>
        <v>-0.13947179812683894</v>
      </c>
      <c r="AN8" s="404">
        <f t="shared" si="2"/>
        <v>-0.18453757640383495</v>
      </c>
      <c r="AO8" s="404">
        <f t="shared" si="3"/>
        <v>0.13122441381204622</v>
      </c>
      <c r="AP8" s="404">
        <f t="shared" si="4"/>
        <v>-0.23723612647431946</v>
      </c>
      <c r="AQ8" s="404">
        <f t="shared" si="5"/>
        <v>-0.10630142975158728</v>
      </c>
      <c r="AR8" s="404">
        <f t="shared" si="6"/>
        <v>-0.11659826101255807</v>
      </c>
      <c r="AS8" s="404">
        <f t="shared" si="7"/>
        <v>-8.8407800285200622E-2</v>
      </c>
      <c r="AT8" s="404">
        <f t="shared" si="8"/>
        <v>-2.1252104384354792E-2</v>
      </c>
      <c r="AU8" s="404">
        <f t="shared" si="9"/>
        <v>0.10598994834735082</v>
      </c>
      <c r="AV8" s="404">
        <f t="shared" si="10"/>
        <v>-0.21552454038870286</v>
      </c>
      <c r="AW8" s="404">
        <f t="shared" si="11"/>
        <v>6.7227347917617273</v>
      </c>
    </row>
    <row r="9" spans="1:49" x14ac:dyDescent="0.25">
      <c r="A9" s="341">
        <v>2111112</v>
      </c>
      <c r="B9" s="342" t="s">
        <v>511</v>
      </c>
      <c r="C9" s="368">
        <v>585798342</v>
      </c>
      <c r="D9" s="368">
        <v>0</v>
      </c>
      <c r="E9" s="368">
        <v>0</v>
      </c>
      <c r="F9" s="368">
        <v>0</v>
      </c>
      <c r="G9" s="368">
        <f>+C9+D9-E9+F9</f>
        <v>585798342</v>
      </c>
      <c r="H9" s="58">
        <v>585798341.72000003</v>
      </c>
      <c r="I9" s="210">
        <v>28746644.870000001</v>
      </c>
      <c r="J9" s="210">
        <v>36877586.659999996</v>
      </c>
      <c r="K9" s="210">
        <v>28746644.870000001</v>
      </c>
      <c r="L9" s="210">
        <v>55338307.719999999</v>
      </c>
      <c r="M9" s="210">
        <v>55338307.719999999</v>
      </c>
      <c r="N9" s="210">
        <v>44344870.549999997</v>
      </c>
      <c r="O9" s="210">
        <v>79377685.989999995</v>
      </c>
      <c r="P9" s="210">
        <v>50227936.590000004</v>
      </c>
      <c r="Q9" s="210">
        <v>45548632.450000003</v>
      </c>
      <c r="R9" s="210">
        <v>47684205.950000003</v>
      </c>
      <c r="S9" s="210">
        <v>97298448.170000002</v>
      </c>
      <c r="T9" s="210">
        <v>16269070.18</v>
      </c>
      <c r="U9" s="412">
        <f>SUM(I9:R9)</f>
        <v>472230823.37</v>
      </c>
      <c r="V9" s="58">
        <f t="shared" ref="V9:V75" si="20">SUM(I9:T9)</f>
        <v>585798341.71999991</v>
      </c>
      <c r="W9" s="396">
        <f t="shared" si="18"/>
        <v>585798342</v>
      </c>
      <c r="X9" s="396">
        <f t="shared" si="19"/>
        <v>0.28000009059906006</v>
      </c>
      <c r="Y9" s="396"/>
      <c r="AA9" s="210">
        <v>33201935</v>
      </c>
      <c r="AB9" s="210">
        <v>42176463</v>
      </c>
      <c r="AC9" s="210">
        <v>46364130</v>
      </c>
      <c r="AD9" s="210">
        <v>44479952</v>
      </c>
      <c r="AE9" s="210">
        <v>39018192</v>
      </c>
      <c r="AF9" s="210">
        <v>61119022</v>
      </c>
      <c r="AG9" s="210">
        <v>39344100</v>
      </c>
      <c r="AH9" s="368">
        <v>33855344</v>
      </c>
      <c r="AI9" s="368">
        <v>43134329</v>
      </c>
      <c r="AJ9" s="368">
        <v>33347068</v>
      </c>
      <c r="AK9" s="210">
        <f t="shared" ref="AK9:AK72" si="21">SUM(AA9:AJ9)</f>
        <v>416040535</v>
      </c>
      <c r="AL9" s="387"/>
      <c r="AM9" s="404">
        <f t="shared" si="1"/>
        <v>0.15498469995883032</v>
      </c>
      <c r="AN9" s="404">
        <f t="shared" si="2"/>
        <v>0.14368826216460456</v>
      </c>
      <c r="AO9" s="404">
        <f t="shared" si="3"/>
        <v>0.6128536116013179</v>
      </c>
      <c r="AP9" s="404">
        <f t="shared" si="4"/>
        <v>-0.19621770464938965</v>
      </c>
      <c r="AQ9" s="404">
        <f t="shared" si="5"/>
        <v>-0.29491533789895225</v>
      </c>
      <c r="AR9" s="404">
        <f t="shared" si="6"/>
        <v>0.37826587927653799</v>
      </c>
      <c r="AS9" s="404">
        <f t="shared" si="7"/>
        <v>-0.50434307186837657</v>
      </c>
      <c r="AT9" s="404">
        <f t="shared" si="8"/>
        <v>-0.3259658608643633</v>
      </c>
      <c r="AU9" s="404">
        <f t="shared" si="9"/>
        <v>-5.3004960196121165E-2</v>
      </c>
      <c r="AV9" s="404">
        <f t="shared" si="10"/>
        <v>-0.30066848476062341</v>
      </c>
      <c r="AW9" s="404">
        <f t="shared" si="11"/>
        <v>3.2759215879074794</v>
      </c>
    </row>
    <row r="10" spans="1:49" x14ac:dyDescent="0.25">
      <c r="A10" s="341">
        <v>2111113</v>
      </c>
      <c r="B10" s="342" t="s">
        <v>512</v>
      </c>
      <c r="C10" s="368">
        <v>12743785045</v>
      </c>
      <c r="D10" s="368">
        <v>0</v>
      </c>
      <c r="E10" s="368">
        <v>0</v>
      </c>
      <c r="F10" s="368">
        <v>0</v>
      </c>
      <c r="G10" s="368">
        <f>+C10+D10-E10+F10</f>
        <v>12743785045</v>
      </c>
      <c r="H10" s="58">
        <v>12743785044.950001</v>
      </c>
      <c r="I10" s="210">
        <v>1047340219.0899999</v>
      </c>
      <c r="J10" s="210">
        <v>1067194215.52</v>
      </c>
      <c r="K10" s="210">
        <v>1047340219.0899999</v>
      </c>
      <c r="L10" s="210">
        <v>1047340219.0899999</v>
      </c>
      <c r="M10" s="210">
        <v>1075235392.27</v>
      </c>
      <c r="N10" s="210">
        <v>1047340219.0899999</v>
      </c>
      <c r="O10" s="210">
        <v>1068000616.24</v>
      </c>
      <c r="P10" s="210">
        <v>1068798788.76</v>
      </c>
      <c r="Q10" s="210">
        <v>1068798788.76</v>
      </c>
      <c r="R10" s="210">
        <v>1068798788.76</v>
      </c>
      <c r="S10" s="210">
        <v>1068798788.5599999</v>
      </c>
      <c r="T10" s="210">
        <f>1068798788.72+0.8</f>
        <v>1068798789.52</v>
      </c>
      <c r="U10" s="412">
        <f t="shared" ref="U10:U73" si="22">SUM(I10:R10)</f>
        <v>10606187466.67</v>
      </c>
      <c r="V10" s="58">
        <f t="shared" si="20"/>
        <v>12743785044.75</v>
      </c>
      <c r="W10" s="396">
        <f t="shared" si="18"/>
        <v>12743785045</v>
      </c>
      <c r="X10" s="396">
        <f t="shared" si="19"/>
        <v>0.25</v>
      </c>
      <c r="Y10" s="396"/>
      <c r="AA10" s="210">
        <v>994611344</v>
      </c>
      <c r="AB10" s="210">
        <v>1014652562</v>
      </c>
      <c r="AC10" s="210">
        <v>1175562288</v>
      </c>
      <c r="AD10" s="210">
        <v>1071870599</v>
      </c>
      <c r="AE10" s="210">
        <v>1071870599</v>
      </c>
      <c r="AF10" s="210">
        <v>1069014453</v>
      </c>
      <c r="AG10" s="210">
        <v>1074564669</v>
      </c>
      <c r="AH10" s="368">
        <v>1077916457</v>
      </c>
      <c r="AI10" s="368">
        <v>1078524310</v>
      </c>
      <c r="AJ10" s="368">
        <v>1081006293</v>
      </c>
      <c r="AK10" s="210">
        <f t="shared" si="21"/>
        <v>10709593574</v>
      </c>
      <c r="AL10" s="387"/>
      <c r="AM10" s="404">
        <f t="shared" si="1"/>
        <v>-5.0345507724141758E-2</v>
      </c>
      <c r="AN10" s="404">
        <f t="shared" si="2"/>
        <v>-4.923345044031989E-2</v>
      </c>
      <c r="AO10" s="404">
        <f t="shared" si="3"/>
        <v>0.12242637738232577</v>
      </c>
      <c r="AP10" s="404">
        <f t="shared" si="4"/>
        <v>2.3421596404761141E-2</v>
      </c>
      <c r="AQ10" s="404">
        <f t="shared" si="5"/>
        <v>-3.1293550176918422E-3</v>
      </c>
      <c r="AR10" s="404">
        <f t="shared" si="6"/>
        <v>2.0694549407099184E-2</v>
      </c>
      <c r="AS10" s="404">
        <f t="shared" si="7"/>
        <v>6.1461132701490159E-3</v>
      </c>
      <c r="AT10" s="404">
        <f t="shared" si="8"/>
        <v>8.5307621377248705E-3</v>
      </c>
      <c r="AU10" s="404">
        <f t="shared" si="9"/>
        <v>9.099487520268781E-3</v>
      </c>
      <c r="AV10" s="404">
        <f t="shared" si="10"/>
        <v>1.1421704785203698E-2</v>
      </c>
      <c r="AW10" s="404">
        <f t="shared" si="11"/>
        <v>9.0202149259816338</v>
      </c>
    </row>
    <row r="11" spans="1:49" x14ac:dyDescent="0.25">
      <c r="A11" s="341">
        <v>2111114</v>
      </c>
      <c r="B11" s="342" t="s">
        <v>513</v>
      </c>
      <c r="C11" s="368">
        <v>319163730</v>
      </c>
      <c r="D11" s="368">
        <v>0</v>
      </c>
      <c r="E11" s="368">
        <v>0</v>
      </c>
      <c r="F11" s="368">
        <v>0</v>
      </c>
      <c r="G11" s="368">
        <f>+C11+D11-E11+F11</f>
        <v>319163730</v>
      </c>
      <c r="H11" s="58">
        <v>319163729.97000003</v>
      </c>
      <c r="I11" s="210">
        <v>25714365.420000002</v>
      </c>
      <c r="J11" s="210">
        <v>25875821.050000001</v>
      </c>
      <c r="K11" s="210">
        <v>24607048.25</v>
      </c>
      <c r="L11" s="210">
        <v>25714365.420000002</v>
      </c>
      <c r="M11" s="210">
        <v>25810335.760000002</v>
      </c>
      <c r="N11" s="210">
        <v>36155637.899999999</v>
      </c>
      <c r="O11" s="210">
        <v>26041114.219999999</v>
      </c>
      <c r="P11" s="210">
        <v>25849008.390000001</v>
      </c>
      <c r="Q11" s="210">
        <v>25849008.390000001</v>
      </c>
      <c r="R11" s="210">
        <v>25849008.390000001</v>
      </c>
      <c r="S11" s="210">
        <v>25849008.390000001</v>
      </c>
      <c r="T11" s="210">
        <v>25849008.390000001</v>
      </c>
      <c r="U11" s="412">
        <f t="shared" si="22"/>
        <v>267465713.19</v>
      </c>
      <c r="V11" s="58">
        <f t="shared" si="20"/>
        <v>319163729.96999997</v>
      </c>
      <c r="W11" s="396">
        <f t="shared" si="18"/>
        <v>319163730</v>
      </c>
      <c r="X11" s="396">
        <f t="shared" si="19"/>
        <v>3.0000030994415283E-2</v>
      </c>
      <c r="Y11" s="396"/>
      <c r="AA11" s="210">
        <v>21696038</v>
      </c>
      <c r="AB11" s="210">
        <v>21574474</v>
      </c>
      <c r="AC11" s="210">
        <v>23562044</v>
      </c>
      <c r="AD11" s="210">
        <v>22209364</v>
      </c>
      <c r="AE11" s="210">
        <v>14409364</v>
      </c>
      <c r="AF11" s="210">
        <v>22264446</v>
      </c>
      <c r="AG11" s="210">
        <v>22209364</v>
      </c>
      <c r="AH11" s="368">
        <v>22143266</v>
      </c>
      <c r="AI11" s="368">
        <v>22114624</v>
      </c>
      <c r="AJ11" s="368">
        <v>25250371</v>
      </c>
      <c r="AK11" s="210">
        <f t="shared" si="21"/>
        <v>217433355</v>
      </c>
      <c r="AL11" s="387"/>
      <c r="AM11" s="404">
        <f t="shared" si="1"/>
        <v>-0.15626780417745192</v>
      </c>
      <c r="AN11" s="404">
        <f t="shared" si="2"/>
        <v>-0.1662303600604009</v>
      </c>
      <c r="AO11" s="404">
        <f t="shared" si="3"/>
        <v>-4.2467679966450261E-2</v>
      </c>
      <c r="AP11" s="404">
        <f t="shared" si="4"/>
        <v>-0.13630518827712923</v>
      </c>
      <c r="AQ11" s="404">
        <f t="shared" si="5"/>
        <v>-0.44172117193720695</v>
      </c>
      <c r="AR11" s="404">
        <f t="shared" si="6"/>
        <v>-0.38420541599682295</v>
      </c>
      <c r="AS11" s="404">
        <f t="shared" si="7"/>
        <v>-0.14714232991832402</v>
      </c>
      <c r="AT11" s="404">
        <f t="shared" si="8"/>
        <v>-0.14336110438316124</v>
      </c>
      <c r="AU11" s="404">
        <f t="shared" si="9"/>
        <v>-0.14446915462508389</v>
      </c>
      <c r="AV11" s="404">
        <f t="shared" si="10"/>
        <v>-2.3159007918910755E-2</v>
      </c>
      <c r="AW11" s="404">
        <f t="shared" si="11"/>
        <v>7.4116710289017016</v>
      </c>
    </row>
    <row r="12" spans="1:49" x14ac:dyDescent="0.25">
      <c r="A12" s="341">
        <v>2111115</v>
      </c>
      <c r="B12" s="342" t="s">
        <v>514</v>
      </c>
      <c r="C12" s="368">
        <v>331125950</v>
      </c>
      <c r="D12" s="368">
        <v>0</v>
      </c>
      <c r="E12" s="368">
        <v>0</v>
      </c>
      <c r="F12" s="368">
        <v>0</v>
      </c>
      <c r="G12" s="368">
        <f t="shared" ref="G12:G14" si="23">+C12+D12-E12+F12</f>
        <v>331125950</v>
      </c>
      <c r="H12" s="58">
        <v>331125950</v>
      </c>
      <c r="I12" s="210">
        <v>25058146.260000002</v>
      </c>
      <c r="J12" s="210">
        <v>26556567.359999999</v>
      </c>
      <c r="K12" s="210">
        <v>26477215.09</v>
      </c>
      <c r="L12" s="210">
        <v>26880393.41</v>
      </c>
      <c r="M12" s="210">
        <v>26903804.199999999</v>
      </c>
      <c r="N12" s="210">
        <v>37826998.480000004</v>
      </c>
      <c r="O12" s="210">
        <v>26903804.199999999</v>
      </c>
      <c r="P12" s="210">
        <v>26903804.199999999</v>
      </c>
      <c r="Q12" s="210">
        <v>26903804.199999999</v>
      </c>
      <c r="R12" s="210">
        <v>26903804.199999999</v>
      </c>
      <c r="S12" s="210">
        <v>26903804.199999999</v>
      </c>
      <c r="T12" s="210">
        <v>26903804.199999999</v>
      </c>
      <c r="U12" s="412">
        <f t="shared" si="22"/>
        <v>277318341.59999996</v>
      </c>
      <c r="V12" s="58">
        <f t="shared" si="20"/>
        <v>331125949.99999994</v>
      </c>
      <c r="W12" s="396">
        <f t="shared" si="18"/>
        <v>331125950</v>
      </c>
      <c r="X12" s="396">
        <f t="shared" si="19"/>
        <v>0</v>
      </c>
      <c r="Y12" s="396"/>
      <c r="AA12" s="210">
        <v>21611302</v>
      </c>
      <c r="AB12" s="210">
        <v>21515306</v>
      </c>
      <c r="AC12" s="210">
        <v>21413215</v>
      </c>
      <c r="AD12" s="210">
        <v>21508449</v>
      </c>
      <c r="AE12" s="210">
        <v>29308449</v>
      </c>
      <c r="AF12" s="210">
        <v>21594160</v>
      </c>
      <c r="AG12" s="210">
        <v>21508449</v>
      </c>
      <c r="AH12" s="368">
        <v>21405596</v>
      </c>
      <c r="AI12" s="368">
        <v>21405596</v>
      </c>
      <c r="AJ12" s="368">
        <v>21405596</v>
      </c>
      <c r="AK12" s="210">
        <f t="shared" si="21"/>
        <v>222676118</v>
      </c>
      <c r="AL12" s="387"/>
      <c r="AM12" s="404">
        <f t="shared" si="1"/>
        <v>-0.13755384074448296</v>
      </c>
      <c r="AN12" s="404">
        <f t="shared" si="2"/>
        <v>-0.18983106105773451</v>
      </c>
      <c r="AO12" s="404">
        <f t="shared" si="3"/>
        <v>-0.19125878884114922</v>
      </c>
      <c r="AP12" s="404">
        <f t="shared" si="4"/>
        <v>-0.19984619748911628</v>
      </c>
      <c r="AQ12" s="404">
        <f t="shared" si="5"/>
        <v>8.9379359964268573E-2</v>
      </c>
      <c r="AR12" s="404">
        <f t="shared" si="6"/>
        <v>-0.42913366463856961</v>
      </c>
      <c r="AS12" s="404">
        <f t="shared" si="7"/>
        <v>-0.2005424645485637</v>
      </c>
      <c r="AT12" s="404">
        <f t="shared" si="8"/>
        <v>-0.20436545549941221</v>
      </c>
      <c r="AU12" s="404">
        <f t="shared" si="9"/>
        <v>-0.20436545549941221</v>
      </c>
      <c r="AV12" s="404">
        <f t="shared" si="10"/>
        <v>-0.20436545549941221</v>
      </c>
      <c r="AW12" s="404">
        <f t="shared" si="11"/>
        <v>7.276752103332659</v>
      </c>
    </row>
    <row r="13" spans="1:49" x14ac:dyDescent="0.25">
      <c r="A13" s="341">
        <v>2111116</v>
      </c>
      <c r="B13" s="342" t="s">
        <v>515</v>
      </c>
      <c r="C13" s="368">
        <v>3339172054</v>
      </c>
      <c r="D13" s="368">
        <v>0</v>
      </c>
      <c r="E13" s="368">
        <v>0</v>
      </c>
      <c r="F13" s="368">
        <v>0</v>
      </c>
      <c r="G13" s="368">
        <f t="shared" si="23"/>
        <v>3339172054</v>
      </c>
      <c r="H13" s="58">
        <v>3339172054</v>
      </c>
      <c r="I13" s="210">
        <v>0</v>
      </c>
      <c r="J13" s="210">
        <v>0</v>
      </c>
      <c r="K13" s="210">
        <v>0</v>
      </c>
      <c r="L13" s="210">
        <v>0</v>
      </c>
      <c r="M13" s="210">
        <v>0</v>
      </c>
      <c r="N13" s="210">
        <v>3339172054</v>
      </c>
      <c r="O13" s="210">
        <v>0</v>
      </c>
      <c r="P13" s="210">
        <v>0</v>
      </c>
      <c r="Q13" s="210">
        <v>0</v>
      </c>
      <c r="R13" s="210">
        <v>0</v>
      </c>
      <c r="S13" s="210">
        <v>0</v>
      </c>
      <c r="T13" s="210">
        <v>0</v>
      </c>
      <c r="U13" s="412">
        <f t="shared" si="22"/>
        <v>3339172054</v>
      </c>
      <c r="V13" s="58">
        <f t="shared" si="20"/>
        <v>3339172054</v>
      </c>
      <c r="W13" s="396">
        <f t="shared" si="18"/>
        <v>3339172054</v>
      </c>
      <c r="X13" s="396">
        <f t="shared" si="19"/>
        <v>0</v>
      </c>
      <c r="Y13" s="396"/>
      <c r="AA13" s="210">
        <v>0</v>
      </c>
      <c r="AB13" s="210">
        <v>13787378</v>
      </c>
      <c r="AC13" s="210">
        <v>4519365</v>
      </c>
      <c r="AD13" s="210">
        <v>323427</v>
      </c>
      <c r="AE13" s="210">
        <v>595329</v>
      </c>
      <c r="AF13" s="210">
        <v>3319946555</v>
      </c>
      <c r="AG13" s="210">
        <v>0</v>
      </c>
      <c r="AH13" s="368">
        <v>0</v>
      </c>
      <c r="AI13" s="368">
        <v>0</v>
      </c>
      <c r="AJ13" s="368">
        <v>0</v>
      </c>
      <c r="AK13" s="210">
        <f t="shared" si="21"/>
        <v>3339172054</v>
      </c>
      <c r="AL13" s="387"/>
      <c r="AM13" s="404" t="e">
        <f t="shared" si="1"/>
        <v>#DIV/0!</v>
      </c>
      <c r="AN13" s="404" t="e">
        <f t="shared" si="2"/>
        <v>#DIV/0!</v>
      </c>
      <c r="AO13" s="404" t="e">
        <f t="shared" si="3"/>
        <v>#DIV/0!</v>
      </c>
      <c r="AP13" s="404" t="e">
        <f t="shared" si="4"/>
        <v>#DIV/0!</v>
      </c>
      <c r="AQ13" s="404" t="e">
        <f t="shared" si="5"/>
        <v>#DIV/0!</v>
      </c>
      <c r="AR13" s="404">
        <f t="shared" si="6"/>
        <v>-5.7575646564751708E-3</v>
      </c>
      <c r="AS13" s="404" t="e">
        <f t="shared" si="7"/>
        <v>#DIV/0!</v>
      </c>
      <c r="AT13" s="404" t="e">
        <f t="shared" si="8"/>
        <v>#DIV/0!</v>
      </c>
      <c r="AU13" s="404" t="e">
        <f t="shared" si="9"/>
        <v>#DIV/0!</v>
      </c>
      <c r="AV13" s="404" t="e">
        <f t="shared" si="10"/>
        <v>#DIV/0!</v>
      </c>
      <c r="AW13" s="404" t="e">
        <f t="shared" si="11"/>
        <v>#DIV/0!</v>
      </c>
    </row>
    <row r="14" spans="1:49" x14ac:dyDescent="0.25">
      <c r="A14" s="341">
        <v>2111117</v>
      </c>
      <c r="B14" s="342" t="s">
        <v>516</v>
      </c>
      <c r="C14" s="368">
        <v>1856673210</v>
      </c>
      <c r="D14" s="368">
        <v>0</v>
      </c>
      <c r="E14" s="368">
        <v>0</v>
      </c>
      <c r="F14" s="368">
        <v>0</v>
      </c>
      <c r="G14" s="368">
        <f t="shared" si="23"/>
        <v>1856673210</v>
      </c>
      <c r="H14" s="58">
        <v>1856673209.6900001</v>
      </c>
      <c r="I14" s="210">
        <v>236008122.83000001</v>
      </c>
      <c r="J14" s="210">
        <v>237676642.09999999</v>
      </c>
      <c r="K14" s="210">
        <v>149036841.13999999</v>
      </c>
      <c r="L14" s="210">
        <v>61776303.579999998</v>
      </c>
      <c r="M14" s="210">
        <v>59454796.380000003</v>
      </c>
      <c r="N14" s="210">
        <v>34911327.68</v>
      </c>
      <c r="O14" s="210">
        <v>29977476.739999998</v>
      </c>
      <c r="P14" s="210">
        <v>254182723.25999999</v>
      </c>
      <c r="Q14" s="210">
        <v>244766846.47</v>
      </c>
      <c r="R14" s="210">
        <v>207442211.09</v>
      </c>
      <c r="S14" s="210">
        <v>60818914.719999999</v>
      </c>
      <c r="T14" s="210">
        <v>280621003.69999999</v>
      </c>
      <c r="U14" s="412">
        <f t="shared" si="22"/>
        <v>1515233291.2699997</v>
      </c>
      <c r="V14" s="58">
        <f t="shared" si="20"/>
        <v>1856673209.6899998</v>
      </c>
      <c r="W14" s="396">
        <f t="shared" si="18"/>
        <v>1856673210</v>
      </c>
      <c r="X14" s="396">
        <f t="shared" si="19"/>
        <v>0.31000018119812012</v>
      </c>
      <c r="Y14" s="396"/>
      <c r="AA14" s="210">
        <v>247078429</v>
      </c>
      <c r="AB14" s="210">
        <v>272632067</v>
      </c>
      <c r="AC14" s="210">
        <v>180220617</v>
      </c>
      <c r="AD14" s="210">
        <v>58445354</v>
      </c>
      <c r="AE14" s="210">
        <v>66158548</v>
      </c>
      <c r="AF14" s="210">
        <v>139255223</v>
      </c>
      <c r="AG14" s="210">
        <v>179294202</v>
      </c>
      <c r="AH14" s="368">
        <v>77124273</v>
      </c>
      <c r="AI14" s="368">
        <v>257864824</v>
      </c>
      <c r="AJ14" s="368">
        <v>211765695</v>
      </c>
      <c r="AK14" s="210">
        <f t="shared" si="21"/>
        <v>1689839232</v>
      </c>
      <c r="AL14" s="387"/>
      <c r="AM14" s="404">
        <f t="shared" si="1"/>
        <v>4.6906462528724421E-2</v>
      </c>
      <c r="AN14" s="404">
        <f t="shared" si="2"/>
        <v>0.14707135119021444</v>
      </c>
      <c r="AO14" s="404">
        <f t="shared" si="3"/>
        <v>0.20923535161824228</v>
      </c>
      <c r="AP14" s="404">
        <f t="shared" si="4"/>
        <v>-5.3919535274337606E-2</v>
      </c>
      <c r="AQ14" s="404">
        <f t="shared" si="5"/>
        <v>0.11275375626809937</v>
      </c>
      <c r="AR14" s="404">
        <f t="shared" si="6"/>
        <v>2.9888263281312133</v>
      </c>
      <c r="AS14" s="404">
        <f t="shared" si="7"/>
        <v>4.9809637600606145</v>
      </c>
      <c r="AT14" s="404">
        <f t="shared" si="8"/>
        <v>-0.69657940551250352</v>
      </c>
      <c r="AU14" s="404">
        <f t="shared" si="9"/>
        <v>5.3512057367644202E-2</v>
      </c>
      <c r="AV14" s="404">
        <f t="shared" si="10"/>
        <v>2.0841871513431892E-2</v>
      </c>
      <c r="AW14" s="404">
        <f t="shared" si="11"/>
        <v>26.784764653886608</v>
      </c>
    </row>
    <row r="15" spans="1:49" s="70" customFormat="1" x14ac:dyDescent="0.25">
      <c r="A15" s="339">
        <v>2111118</v>
      </c>
      <c r="B15" s="340" t="s">
        <v>12</v>
      </c>
      <c r="C15" s="367">
        <f>+C16+C17</f>
        <v>6389023991</v>
      </c>
      <c r="D15" s="367">
        <f t="shared" ref="D15:G15" si="24">+D16+D17</f>
        <v>0</v>
      </c>
      <c r="E15" s="367">
        <f t="shared" si="24"/>
        <v>0</v>
      </c>
      <c r="F15" s="367">
        <f t="shared" si="24"/>
        <v>0</v>
      </c>
      <c r="G15" s="367">
        <f t="shared" si="24"/>
        <v>6389023991</v>
      </c>
      <c r="H15" s="57">
        <f>+H16+H17</f>
        <v>6389023990.7399998</v>
      </c>
      <c r="I15" s="208">
        <f t="shared" ref="I15:V15" si="25">+I16+I17</f>
        <v>1964600</v>
      </c>
      <c r="J15" s="208">
        <f t="shared" si="25"/>
        <v>1964600</v>
      </c>
      <c r="K15" s="208">
        <f t="shared" si="25"/>
        <v>1964600</v>
      </c>
      <c r="L15" s="208">
        <f t="shared" si="25"/>
        <v>1964600</v>
      </c>
      <c r="M15" s="208">
        <f t="shared" si="25"/>
        <v>1964600</v>
      </c>
      <c r="N15" s="208">
        <f t="shared" si="25"/>
        <v>1964600</v>
      </c>
      <c r="O15" s="208">
        <f t="shared" si="25"/>
        <v>1964600</v>
      </c>
      <c r="P15" s="208">
        <f t="shared" si="25"/>
        <v>1964600</v>
      </c>
      <c r="Q15" s="208">
        <f t="shared" si="25"/>
        <v>1964600</v>
      </c>
      <c r="R15" s="208">
        <f t="shared" si="25"/>
        <v>1964600</v>
      </c>
      <c r="S15" s="208">
        <f t="shared" si="25"/>
        <v>1964600</v>
      </c>
      <c r="T15" s="208">
        <f t="shared" si="25"/>
        <v>6367413390.7399998</v>
      </c>
      <c r="U15" s="413">
        <f t="shared" si="22"/>
        <v>19646000</v>
      </c>
      <c r="V15" s="57">
        <f t="shared" si="25"/>
        <v>6389023990.7399998</v>
      </c>
      <c r="W15" s="396">
        <f t="shared" si="18"/>
        <v>6389023991</v>
      </c>
      <c r="X15" s="396">
        <f t="shared" si="19"/>
        <v>0.26000022888183594</v>
      </c>
      <c r="Y15" s="396"/>
      <c r="Z15" s="55"/>
      <c r="AA15" s="209">
        <f>+AA16+AA17</f>
        <v>17352038</v>
      </c>
      <c r="AB15" s="209">
        <f t="shared" ref="AB15:AG15" si="26">+AB16+AB17</f>
        <v>61983649.170000002</v>
      </c>
      <c r="AC15" s="209">
        <f t="shared" si="26"/>
        <v>12040404</v>
      </c>
      <c r="AD15" s="209">
        <f t="shared" si="26"/>
        <v>3506856</v>
      </c>
      <c r="AE15" s="209">
        <f t="shared" si="26"/>
        <v>2780945</v>
      </c>
      <c r="AF15" s="209">
        <f t="shared" si="26"/>
        <v>77772091</v>
      </c>
      <c r="AG15" s="209">
        <f t="shared" si="26"/>
        <v>20733627</v>
      </c>
      <c r="AH15" s="367">
        <v>0</v>
      </c>
      <c r="AI15" s="367">
        <v>6806315</v>
      </c>
      <c r="AJ15" s="367">
        <v>9235853</v>
      </c>
      <c r="AK15" s="209">
        <f t="shared" si="21"/>
        <v>212211778.17000002</v>
      </c>
      <c r="AL15" s="386"/>
      <c r="AM15" s="405">
        <f t="shared" si="1"/>
        <v>7.8323516237402018</v>
      </c>
      <c r="AN15" s="405">
        <f t="shared" si="2"/>
        <v>30.550264262445282</v>
      </c>
      <c r="AO15" s="405">
        <f t="shared" si="3"/>
        <v>5.1286796294411072</v>
      </c>
      <c r="AP15" s="405">
        <f t="shared" si="4"/>
        <v>0.78502290542604092</v>
      </c>
      <c r="AQ15" s="405">
        <f t="shared" si="5"/>
        <v>0.41552733380840884</v>
      </c>
      <c r="AR15" s="405">
        <f t="shared" si="6"/>
        <v>38.586730632189756</v>
      </c>
      <c r="AS15" s="405">
        <f t="shared" si="7"/>
        <v>9.5536124401913884</v>
      </c>
      <c r="AT15" s="405">
        <f t="shared" si="8"/>
        <v>-1</v>
      </c>
      <c r="AU15" s="405">
        <f t="shared" si="9"/>
        <v>2.4644787743052019</v>
      </c>
      <c r="AV15" s="405">
        <f t="shared" si="10"/>
        <v>3.7011366181410974</v>
      </c>
      <c r="AW15" s="405">
        <f t="shared" si="11"/>
        <v>107.0178042196885</v>
      </c>
    </row>
    <row r="16" spans="1:49" x14ac:dyDescent="0.25">
      <c r="A16" s="341">
        <v>21111181</v>
      </c>
      <c r="B16" s="342" t="s">
        <v>517</v>
      </c>
      <c r="C16" s="368">
        <v>3937020869</v>
      </c>
      <c r="D16" s="368">
        <v>0</v>
      </c>
      <c r="E16" s="368">
        <v>0</v>
      </c>
      <c r="F16" s="368">
        <v>0</v>
      </c>
      <c r="G16" s="368">
        <f t="shared" ref="G16:G18" si="27">+C16+D16-E16+F16</f>
        <v>3937020869</v>
      </c>
      <c r="H16" s="58">
        <v>3937020868.9499998</v>
      </c>
      <c r="I16" s="210">
        <v>0</v>
      </c>
      <c r="J16" s="210">
        <v>0</v>
      </c>
      <c r="K16" s="210">
        <v>0</v>
      </c>
      <c r="L16" s="210">
        <v>0</v>
      </c>
      <c r="M16" s="210">
        <v>0</v>
      </c>
      <c r="N16" s="210">
        <v>0</v>
      </c>
      <c r="O16" s="210">
        <v>0</v>
      </c>
      <c r="P16" s="210">
        <v>0</v>
      </c>
      <c r="Q16" s="210">
        <v>0</v>
      </c>
      <c r="R16" s="210">
        <v>0</v>
      </c>
      <c r="S16" s="210">
        <v>0</v>
      </c>
      <c r="T16" s="210">
        <v>3937020868.9499998</v>
      </c>
      <c r="U16" s="412">
        <f t="shared" si="22"/>
        <v>0</v>
      </c>
      <c r="V16" s="58">
        <f t="shared" si="20"/>
        <v>3937020868.9499998</v>
      </c>
      <c r="W16" s="396">
        <f t="shared" si="18"/>
        <v>3937020869</v>
      </c>
      <c r="X16" s="396">
        <f t="shared" si="19"/>
        <v>5.0000190734863281E-2</v>
      </c>
      <c r="Y16" s="396"/>
      <c r="AA16" s="210">
        <v>6171821</v>
      </c>
      <c r="AB16" s="210">
        <v>34475324.170000002</v>
      </c>
      <c r="AC16" s="210">
        <v>4690215</v>
      </c>
      <c r="AD16" s="210">
        <v>0</v>
      </c>
      <c r="AE16" s="210">
        <v>644940</v>
      </c>
      <c r="AF16" s="210">
        <v>0</v>
      </c>
      <c r="AG16" s="210">
        <v>6191652</v>
      </c>
      <c r="AH16" s="368">
        <v>0</v>
      </c>
      <c r="AI16" s="368">
        <v>2819250</v>
      </c>
      <c r="AJ16" s="368">
        <v>0</v>
      </c>
      <c r="AK16" s="210">
        <f t="shared" si="21"/>
        <v>54993202.170000002</v>
      </c>
      <c r="AL16" s="387"/>
      <c r="AM16" s="404" t="e">
        <f t="shared" si="1"/>
        <v>#DIV/0!</v>
      </c>
      <c r="AN16" s="404" t="e">
        <f t="shared" si="2"/>
        <v>#DIV/0!</v>
      </c>
      <c r="AO16" s="404" t="e">
        <f t="shared" si="3"/>
        <v>#DIV/0!</v>
      </c>
      <c r="AP16" s="404" t="e">
        <f t="shared" si="4"/>
        <v>#DIV/0!</v>
      </c>
      <c r="AQ16" s="404" t="e">
        <f t="shared" si="5"/>
        <v>#DIV/0!</v>
      </c>
      <c r="AR16" s="404" t="e">
        <f t="shared" si="6"/>
        <v>#DIV/0!</v>
      </c>
      <c r="AS16" s="404" t="e">
        <f t="shared" si="7"/>
        <v>#DIV/0!</v>
      </c>
      <c r="AT16" s="404" t="e">
        <f t="shared" si="8"/>
        <v>#DIV/0!</v>
      </c>
      <c r="AU16" s="404" t="e">
        <f t="shared" si="9"/>
        <v>#DIV/0!</v>
      </c>
      <c r="AV16" s="404" t="e">
        <f t="shared" si="10"/>
        <v>#DIV/0!</v>
      </c>
      <c r="AW16" s="404" t="e">
        <f t="shared" si="11"/>
        <v>#DIV/0!</v>
      </c>
    </row>
    <row r="17" spans="1:49" x14ac:dyDescent="0.25">
      <c r="A17" s="341">
        <v>21111182</v>
      </c>
      <c r="B17" s="342" t="s">
        <v>518</v>
      </c>
      <c r="C17" s="368">
        <v>2452003122</v>
      </c>
      <c r="D17" s="368">
        <v>0</v>
      </c>
      <c r="E17" s="368">
        <v>0</v>
      </c>
      <c r="F17" s="368">
        <v>0</v>
      </c>
      <c r="G17" s="368">
        <f t="shared" si="27"/>
        <v>2452003122</v>
      </c>
      <c r="H17" s="58">
        <v>2452003121.79</v>
      </c>
      <c r="I17" s="210">
        <v>1964600</v>
      </c>
      <c r="J17" s="210">
        <v>1964600</v>
      </c>
      <c r="K17" s="210">
        <v>1964600</v>
      </c>
      <c r="L17" s="210">
        <v>1964600</v>
      </c>
      <c r="M17" s="210">
        <v>1964600</v>
      </c>
      <c r="N17" s="210">
        <v>1964600</v>
      </c>
      <c r="O17" s="210">
        <v>1964600</v>
      </c>
      <c r="P17" s="210">
        <v>1964600</v>
      </c>
      <c r="Q17" s="210">
        <v>1964600</v>
      </c>
      <c r="R17" s="210">
        <v>1964600</v>
      </c>
      <c r="S17" s="210">
        <v>1964600</v>
      </c>
      <c r="T17" s="210">
        <v>2430392521.79</v>
      </c>
      <c r="U17" s="412">
        <f t="shared" si="22"/>
        <v>19646000</v>
      </c>
      <c r="V17" s="58">
        <f t="shared" si="20"/>
        <v>2452003121.79</v>
      </c>
      <c r="W17" s="396">
        <f t="shared" si="18"/>
        <v>2452003122</v>
      </c>
      <c r="X17" s="396">
        <f t="shared" si="19"/>
        <v>0.21000003814697266</v>
      </c>
      <c r="Y17" s="396"/>
      <c r="AA17" s="210">
        <v>11180217</v>
      </c>
      <c r="AB17" s="210">
        <v>27508325</v>
      </c>
      <c r="AC17" s="210">
        <v>7350189</v>
      </c>
      <c r="AD17" s="210">
        <v>3506856</v>
      </c>
      <c r="AE17" s="210">
        <v>2136005</v>
      </c>
      <c r="AF17" s="210">
        <v>77772091</v>
      </c>
      <c r="AG17" s="210">
        <v>14541975</v>
      </c>
      <c r="AH17" s="368">
        <v>0</v>
      </c>
      <c r="AI17" s="368">
        <v>3987065</v>
      </c>
      <c r="AJ17" s="368">
        <v>9235853</v>
      </c>
      <c r="AK17" s="210">
        <f t="shared" si="21"/>
        <v>157218576</v>
      </c>
      <c r="AL17" s="387"/>
      <c r="AM17" s="404">
        <f t="shared" si="1"/>
        <v>4.6908363025552271</v>
      </c>
      <c r="AN17" s="404">
        <f t="shared" si="2"/>
        <v>13.001997862160236</v>
      </c>
      <c r="AO17" s="404">
        <f t="shared" si="3"/>
        <v>2.7413157894736844</v>
      </c>
      <c r="AP17" s="404">
        <f t="shared" si="4"/>
        <v>0.78502290542604092</v>
      </c>
      <c r="AQ17" s="404">
        <f t="shared" si="5"/>
        <v>8.7246767789880886E-2</v>
      </c>
      <c r="AR17" s="404">
        <f t="shared" si="6"/>
        <v>38.586730632189756</v>
      </c>
      <c r="AS17" s="404">
        <f t="shared" si="7"/>
        <v>6.4020029522549118</v>
      </c>
      <c r="AT17" s="404">
        <f t="shared" si="8"/>
        <v>-1</v>
      </c>
      <c r="AU17" s="404">
        <f t="shared" si="9"/>
        <v>1.0294538328412908</v>
      </c>
      <c r="AV17" s="404">
        <f t="shared" si="10"/>
        <v>3.7011366181410974</v>
      </c>
      <c r="AW17" s="404">
        <f t="shared" si="11"/>
        <v>79.025743662832127</v>
      </c>
    </row>
    <row r="18" spans="1:49" x14ac:dyDescent="0.25">
      <c r="A18" s="341">
        <v>2111119</v>
      </c>
      <c r="B18" s="342" t="s">
        <v>519</v>
      </c>
      <c r="C18" s="368">
        <v>274359359</v>
      </c>
      <c r="D18" s="368">
        <v>0</v>
      </c>
      <c r="E18" s="368">
        <v>0</v>
      </c>
      <c r="F18" s="368">
        <v>0</v>
      </c>
      <c r="G18" s="368">
        <f t="shared" si="27"/>
        <v>274359359</v>
      </c>
      <c r="H18" s="58">
        <v>274359359</v>
      </c>
      <c r="I18" s="210">
        <v>22175144.510000002</v>
      </c>
      <c r="J18" s="210">
        <v>22175144.510000002</v>
      </c>
      <c r="K18" s="210">
        <v>22175144.510000002</v>
      </c>
      <c r="L18" s="210">
        <v>22175144.510000002</v>
      </c>
      <c r="M18" s="210">
        <v>30432769.390000001</v>
      </c>
      <c r="N18" s="210">
        <v>22175144.510000002</v>
      </c>
      <c r="O18" s="210">
        <v>22175144.510000002</v>
      </c>
      <c r="P18" s="210">
        <v>22175144.510000002</v>
      </c>
      <c r="Q18" s="210">
        <v>22175144.510000002</v>
      </c>
      <c r="R18" s="210">
        <v>22175144.510000002</v>
      </c>
      <c r="S18" s="210">
        <v>22175144.510000002</v>
      </c>
      <c r="T18" s="210">
        <v>22175144.510000002</v>
      </c>
      <c r="U18" s="412">
        <f t="shared" si="22"/>
        <v>230009069.97999996</v>
      </c>
      <c r="V18" s="58">
        <f t="shared" si="20"/>
        <v>274359358.99999994</v>
      </c>
      <c r="W18" s="396">
        <f t="shared" si="18"/>
        <v>274359359</v>
      </c>
      <c r="X18" s="396">
        <f t="shared" si="19"/>
        <v>0</v>
      </c>
      <c r="Y18" s="396"/>
      <c r="AA18" s="210">
        <v>21445982</v>
      </c>
      <c r="AB18" s="210">
        <v>21445982</v>
      </c>
      <c r="AC18" s="210">
        <v>24740084</v>
      </c>
      <c r="AD18" s="210">
        <v>22544016</v>
      </c>
      <c r="AE18" s="210">
        <v>22544016</v>
      </c>
      <c r="AF18" s="210">
        <v>22544016</v>
      </c>
      <c r="AG18" s="210">
        <v>22544016</v>
      </c>
      <c r="AH18" s="368">
        <v>22544016</v>
      </c>
      <c r="AI18" s="368">
        <v>22544016</v>
      </c>
      <c r="AJ18" s="368">
        <v>22544016</v>
      </c>
      <c r="AK18" s="210">
        <f t="shared" si="21"/>
        <v>225440160</v>
      </c>
      <c r="AL18" s="387"/>
      <c r="AM18" s="404">
        <f t="shared" si="1"/>
        <v>-3.288197331346282E-2</v>
      </c>
      <c r="AN18" s="404">
        <f t="shared" si="2"/>
        <v>-3.288197331346282E-2</v>
      </c>
      <c r="AO18" s="404">
        <f t="shared" si="3"/>
        <v>0.11566731792179866</v>
      </c>
      <c r="AP18" s="404">
        <f t="shared" si="4"/>
        <v>1.6634457098291006E-2</v>
      </c>
      <c r="AQ18" s="404">
        <f t="shared" si="5"/>
        <v>-0.2592190440805624</v>
      </c>
      <c r="AR18" s="404">
        <f t="shared" si="6"/>
        <v>1.6634457098291006E-2</v>
      </c>
      <c r="AS18" s="404">
        <f t="shared" si="7"/>
        <v>1.6634457098291006E-2</v>
      </c>
      <c r="AT18" s="404">
        <f t="shared" si="8"/>
        <v>1.6634457098291006E-2</v>
      </c>
      <c r="AU18" s="404">
        <f t="shared" si="9"/>
        <v>1.6634457098291006E-2</v>
      </c>
      <c r="AV18" s="404">
        <f t="shared" si="10"/>
        <v>1.6634457098291006E-2</v>
      </c>
      <c r="AW18" s="404">
        <f t="shared" si="11"/>
        <v>9.1663445709829112</v>
      </c>
    </row>
    <row r="19" spans="1:49" s="70" customFormat="1" x14ac:dyDescent="0.25">
      <c r="A19" s="339">
        <v>211112</v>
      </c>
      <c r="B19" s="340" t="s">
        <v>13</v>
      </c>
      <c r="C19" s="367">
        <f>SUM(C20:C22)</f>
        <v>1094192136</v>
      </c>
      <c r="D19" s="367">
        <f t="shared" ref="D19:G19" si="28">SUM(D20:D22)</f>
        <v>148775800</v>
      </c>
      <c r="E19" s="367">
        <f t="shared" si="28"/>
        <v>0</v>
      </c>
      <c r="F19" s="367">
        <f t="shared" si="28"/>
        <v>0</v>
      </c>
      <c r="G19" s="367">
        <f t="shared" si="28"/>
        <v>1242967936</v>
      </c>
      <c r="H19" s="57">
        <f>+H20+H21+H22</f>
        <v>1094192135.9200001</v>
      </c>
      <c r="I19" s="208">
        <f t="shared" ref="I19:V19" si="29">+I20+I21+I22</f>
        <v>733298928.88</v>
      </c>
      <c r="J19" s="208">
        <f t="shared" si="29"/>
        <v>32056473.32</v>
      </c>
      <c r="K19" s="208">
        <f t="shared" si="29"/>
        <v>50668473.32</v>
      </c>
      <c r="L19" s="208">
        <f t="shared" si="29"/>
        <v>21716473.32</v>
      </c>
      <c r="M19" s="208">
        <f t="shared" si="29"/>
        <v>21716473.32</v>
      </c>
      <c r="N19" s="208">
        <f t="shared" si="29"/>
        <v>42396473.32</v>
      </c>
      <c r="O19" s="208">
        <f t="shared" si="29"/>
        <v>32056473.32</v>
      </c>
      <c r="P19" s="208">
        <f t="shared" si="29"/>
        <v>32056473.32</v>
      </c>
      <c r="Q19" s="208">
        <f t="shared" si="29"/>
        <v>180832273.31999999</v>
      </c>
      <c r="R19" s="208">
        <f t="shared" si="29"/>
        <v>32056473.32</v>
      </c>
      <c r="S19" s="208">
        <f t="shared" si="29"/>
        <v>32056473.32</v>
      </c>
      <c r="T19" s="208">
        <f t="shared" si="29"/>
        <v>32056473.839999996</v>
      </c>
      <c r="U19" s="413">
        <f t="shared" si="22"/>
        <v>1178854988.7600002</v>
      </c>
      <c r="V19" s="57">
        <f t="shared" si="29"/>
        <v>1242967935.9200001</v>
      </c>
      <c r="W19" s="396">
        <f t="shared" si="18"/>
        <v>1242967936</v>
      </c>
      <c r="X19" s="396">
        <f t="shared" si="19"/>
        <v>7.9999923706054688E-2</v>
      </c>
      <c r="Y19" s="396"/>
      <c r="Z19" s="55"/>
      <c r="AA19" s="209">
        <f>SUM(AA20:AA22)</f>
        <v>0</v>
      </c>
      <c r="AB19" s="209">
        <f t="shared" ref="AB19:AG19" si="30">SUM(AB20:AB22)</f>
        <v>6689015</v>
      </c>
      <c r="AC19" s="209">
        <f t="shared" si="30"/>
        <v>25369829</v>
      </c>
      <c r="AD19" s="209">
        <f t="shared" si="30"/>
        <v>42061257</v>
      </c>
      <c r="AE19" s="209">
        <f t="shared" si="30"/>
        <v>17377492</v>
      </c>
      <c r="AF19" s="209">
        <f t="shared" si="30"/>
        <v>0</v>
      </c>
      <c r="AG19" s="209">
        <f t="shared" si="30"/>
        <v>838663961</v>
      </c>
      <c r="AH19" s="367">
        <v>229956612</v>
      </c>
      <c r="AI19" s="367">
        <v>62713550</v>
      </c>
      <c r="AJ19" s="367">
        <v>10801971</v>
      </c>
      <c r="AK19" s="209">
        <f t="shared" si="21"/>
        <v>1233633687</v>
      </c>
      <c r="AL19" s="386"/>
      <c r="AM19" s="405">
        <f t="shared" si="1"/>
        <v>-1</v>
      </c>
      <c r="AN19" s="405">
        <f t="shared" si="2"/>
        <v>-0.7913365287183125</v>
      </c>
      <c r="AO19" s="405">
        <f t="shared" si="3"/>
        <v>-0.49929754465315712</v>
      </c>
      <c r="AP19" s="405">
        <f t="shared" si="4"/>
        <v>0.93683644578069081</v>
      </c>
      <c r="AQ19" s="405">
        <f t="shared" si="5"/>
        <v>-0.19980137916795046</v>
      </c>
      <c r="AR19" s="405">
        <f t="shared" si="6"/>
        <v>-1</v>
      </c>
      <c r="AS19" s="405">
        <f t="shared" si="7"/>
        <v>25.162078174605639</v>
      </c>
      <c r="AT19" s="405">
        <f t="shared" si="8"/>
        <v>6.1734844224592331</v>
      </c>
      <c r="AU19" s="405">
        <f t="shared" si="9"/>
        <v>-0.65319492561473036</v>
      </c>
      <c r="AV19" s="405">
        <f t="shared" si="10"/>
        <v>-0.66303308251751258</v>
      </c>
      <c r="AW19" s="405">
        <f t="shared" si="11"/>
        <v>37.483138013511216</v>
      </c>
    </row>
    <row r="20" spans="1:49" x14ac:dyDescent="0.25">
      <c r="A20" s="341">
        <v>2111122</v>
      </c>
      <c r="B20" s="362" t="s">
        <v>520</v>
      </c>
      <c r="C20" s="368">
        <v>71380618</v>
      </c>
      <c r="D20" s="368">
        <v>0</v>
      </c>
      <c r="E20" s="368">
        <v>0</v>
      </c>
      <c r="F20" s="368">
        <v>0</v>
      </c>
      <c r="G20" s="368">
        <f t="shared" ref="G20:G22" si="31">+C20+D20-E20+F20</f>
        <v>71380618</v>
      </c>
      <c r="H20" s="58">
        <v>71380618.319999993</v>
      </c>
      <c r="I20" s="210">
        <v>5948384.8499999996</v>
      </c>
      <c r="J20" s="210">
        <v>5948384.8499999996</v>
      </c>
      <c r="K20" s="210">
        <v>5948384.8499999996</v>
      </c>
      <c r="L20" s="210">
        <v>5948384.8499999996</v>
      </c>
      <c r="M20" s="210">
        <v>5948384.8499999996</v>
      </c>
      <c r="N20" s="210">
        <v>5948384.8499999996</v>
      </c>
      <c r="O20" s="210">
        <v>5948384.8499999996</v>
      </c>
      <c r="P20" s="210">
        <v>5948384.8499999996</v>
      </c>
      <c r="Q20" s="210">
        <v>5948384.8499999996</v>
      </c>
      <c r="R20" s="210">
        <v>5948384.8499999996</v>
      </c>
      <c r="S20" s="210">
        <v>5948384.8499999996</v>
      </c>
      <c r="T20" s="210">
        <v>5948384.9699999997</v>
      </c>
      <c r="U20" s="412">
        <f t="shared" si="22"/>
        <v>59483848.500000007</v>
      </c>
      <c r="V20" s="58">
        <f t="shared" si="20"/>
        <v>71380618.320000008</v>
      </c>
      <c r="W20" s="396">
        <f t="shared" si="18"/>
        <v>71380618</v>
      </c>
      <c r="X20" s="396">
        <f t="shared" si="19"/>
        <v>-0.32000000774860382</v>
      </c>
      <c r="Y20" s="396"/>
      <c r="AA20" s="210">
        <v>0</v>
      </c>
      <c r="AB20" s="210">
        <v>6689015</v>
      </c>
      <c r="AC20" s="210">
        <v>0</v>
      </c>
      <c r="AD20" s="210">
        <v>29288855</v>
      </c>
      <c r="AE20" s="210">
        <v>17377492</v>
      </c>
      <c r="AF20" s="210">
        <v>0</v>
      </c>
      <c r="AG20" s="210">
        <v>0</v>
      </c>
      <c r="AH20" s="368">
        <v>0</v>
      </c>
      <c r="AI20" s="368">
        <v>17147452</v>
      </c>
      <c r="AJ20" s="368">
        <v>0</v>
      </c>
      <c r="AK20" s="210">
        <f t="shared" si="21"/>
        <v>70502814</v>
      </c>
      <c r="AL20" s="387"/>
      <c r="AM20" s="404">
        <f t="shared" si="1"/>
        <v>-1</v>
      </c>
      <c r="AN20" s="404">
        <f t="shared" si="2"/>
        <v>0.12450945402431392</v>
      </c>
      <c r="AO20" s="404">
        <f t="shared" si="3"/>
        <v>-1</v>
      </c>
      <c r="AP20" s="404">
        <f t="shared" si="4"/>
        <v>3.9238332318057734</v>
      </c>
      <c r="AQ20" s="404">
        <f t="shared" si="5"/>
        <v>1.9213799103802103</v>
      </c>
      <c r="AR20" s="404">
        <f t="shared" si="6"/>
        <v>-1</v>
      </c>
      <c r="AS20" s="404">
        <f t="shared" si="7"/>
        <v>-1</v>
      </c>
      <c r="AT20" s="404">
        <f t="shared" si="8"/>
        <v>-1</v>
      </c>
      <c r="AU20" s="404">
        <f t="shared" si="9"/>
        <v>1.8827072276602952</v>
      </c>
      <c r="AV20" s="404">
        <f t="shared" si="10"/>
        <v>-1</v>
      </c>
      <c r="AW20" s="404">
        <f t="shared" si="11"/>
        <v>10.852429823870592</v>
      </c>
    </row>
    <row r="21" spans="1:49" x14ac:dyDescent="0.25">
      <c r="A21" s="341">
        <v>2111124</v>
      </c>
      <c r="B21" s="362" t="s">
        <v>521</v>
      </c>
      <c r="C21" s="368">
        <v>65137062</v>
      </c>
      <c r="D21" s="368">
        <v>0</v>
      </c>
      <c r="E21" s="368">
        <v>0</v>
      </c>
      <c r="F21" s="368">
        <v>0</v>
      </c>
      <c r="G21" s="368">
        <f t="shared" si="31"/>
        <v>65137062</v>
      </c>
      <c r="H21" s="58">
        <v>65137061.640000001</v>
      </c>
      <c r="I21" s="210">
        <v>5428088.4699999997</v>
      </c>
      <c r="J21" s="210">
        <v>5428088.4699999997</v>
      </c>
      <c r="K21" s="210">
        <v>5428088.4699999997</v>
      </c>
      <c r="L21" s="210">
        <v>5428088.4699999997</v>
      </c>
      <c r="M21" s="210">
        <v>5428088.4699999997</v>
      </c>
      <c r="N21" s="210">
        <v>5428088.4699999997</v>
      </c>
      <c r="O21" s="210">
        <v>5428088.4699999997</v>
      </c>
      <c r="P21" s="210">
        <v>5428088.4699999997</v>
      </c>
      <c r="Q21" s="210">
        <v>5428088.4699999997</v>
      </c>
      <c r="R21" s="210">
        <v>5428088.4699999997</v>
      </c>
      <c r="S21" s="210">
        <v>5428088.4699999997</v>
      </c>
      <c r="T21" s="210">
        <v>5428088.4699999997</v>
      </c>
      <c r="U21" s="412">
        <f t="shared" si="22"/>
        <v>54280884.699999996</v>
      </c>
      <c r="V21" s="58">
        <f t="shared" si="20"/>
        <v>65137061.639999993</v>
      </c>
      <c r="W21" s="396">
        <f t="shared" si="18"/>
        <v>65137062</v>
      </c>
      <c r="X21" s="396">
        <f t="shared" si="19"/>
        <v>0.36000000685453415</v>
      </c>
      <c r="Y21" s="396"/>
      <c r="AA21" s="210">
        <v>0</v>
      </c>
      <c r="AB21" s="210">
        <v>0</v>
      </c>
      <c r="AC21" s="210">
        <v>0</v>
      </c>
      <c r="AD21" s="210">
        <v>12772402</v>
      </c>
      <c r="AE21" s="210">
        <v>0</v>
      </c>
      <c r="AF21" s="210">
        <v>0</v>
      </c>
      <c r="AG21" s="210">
        <v>0</v>
      </c>
      <c r="AH21" s="368">
        <v>0</v>
      </c>
      <c r="AI21" s="368">
        <v>37782689</v>
      </c>
      <c r="AJ21" s="368">
        <v>10801971</v>
      </c>
      <c r="AK21" s="210">
        <f t="shared" si="21"/>
        <v>61357062</v>
      </c>
      <c r="AL21" s="387"/>
      <c r="AM21" s="404">
        <f t="shared" si="1"/>
        <v>-1</v>
      </c>
      <c r="AN21" s="404">
        <f t="shared" si="2"/>
        <v>-1</v>
      </c>
      <c r="AO21" s="404">
        <f t="shared" si="3"/>
        <v>-1</v>
      </c>
      <c r="AP21" s="404">
        <f t="shared" si="4"/>
        <v>1.3530202336587931</v>
      </c>
      <c r="AQ21" s="404">
        <f t="shared" si="5"/>
        <v>-1</v>
      </c>
      <c r="AR21" s="404">
        <f t="shared" si="6"/>
        <v>-1</v>
      </c>
      <c r="AS21" s="404">
        <f t="shared" si="7"/>
        <v>-1</v>
      </c>
      <c r="AT21" s="404">
        <f t="shared" si="8"/>
        <v>-1</v>
      </c>
      <c r="AU21" s="404">
        <f t="shared" si="9"/>
        <v>5.9605882823792671</v>
      </c>
      <c r="AV21" s="404">
        <f t="shared" si="10"/>
        <v>0.99001380683097095</v>
      </c>
      <c r="AW21" s="404">
        <f t="shared" si="11"/>
        <v>10.30362232286903</v>
      </c>
    </row>
    <row r="22" spans="1:49" x14ac:dyDescent="0.25">
      <c r="A22" s="341">
        <v>2111126</v>
      </c>
      <c r="B22" s="362" t="s">
        <v>522</v>
      </c>
      <c r="C22" s="368">
        <v>957674456</v>
      </c>
      <c r="D22" s="368">
        <v>148775800</v>
      </c>
      <c r="E22" s="368">
        <v>0</v>
      </c>
      <c r="F22" s="368">
        <v>0</v>
      </c>
      <c r="G22" s="368">
        <f t="shared" si="31"/>
        <v>1106450256</v>
      </c>
      <c r="H22" s="58">
        <v>957674455.96000004</v>
      </c>
      <c r="I22" s="210">
        <v>721922455.55999994</v>
      </c>
      <c r="J22" s="210">
        <v>20680000</v>
      </c>
      <c r="K22" s="210">
        <v>39292000</v>
      </c>
      <c r="L22" s="210">
        <v>10340000</v>
      </c>
      <c r="M22" s="210">
        <v>10340000</v>
      </c>
      <c r="N22" s="210">
        <v>31020000</v>
      </c>
      <c r="O22" s="210">
        <v>20680000</v>
      </c>
      <c r="P22" s="210">
        <v>20680000</v>
      </c>
      <c r="Q22" s="210">
        <f>20680000+148775800</f>
        <v>169455800</v>
      </c>
      <c r="R22" s="210">
        <v>20680000</v>
      </c>
      <c r="S22" s="210">
        <v>20680000</v>
      </c>
      <c r="T22" s="210">
        <v>20680000.399999999</v>
      </c>
      <c r="U22" s="412">
        <f t="shared" si="22"/>
        <v>1065090255.5599999</v>
      </c>
      <c r="V22" s="58">
        <f t="shared" si="20"/>
        <v>1106450255.96</v>
      </c>
      <c r="W22" s="396">
        <f t="shared" si="18"/>
        <v>1106450256</v>
      </c>
      <c r="X22" s="396">
        <f t="shared" si="19"/>
        <v>3.9999961853027344E-2</v>
      </c>
      <c r="Y22" s="396"/>
      <c r="AA22" s="210">
        <v>0</v>
      </c>
      <c r="AB22" s="210">
        <v>0</v>
      </c>
      <c r="AC22" s="210">
        <v>25369829</v>
      </c>
      <c r="AD22" s="210">
        <v>0</v>
      </c>
      <c r="AE22" s="210">
        <v>0</v>
      </c>
      <c r="AF22" s="210">
        <v>0</v>
      </c>
      <c r="AG22" s="210">
        <v>838663961</v>
      </c>
      <c r="AH22" s="368">
        <v>229956612</v>
      </c>
      <c r="AI22" s="368">
        <v>7783409</v>
      </c>
      <c r="AJ22" s="368">
        <v>0</v>
      </c>
      <c r="AK22" s="210">
        <f t="shared" si="21"/>
        <v>1101773811</v>
      </c>
      <c r="AL22" s="387"/>
      <c r="AM22" s="404">
        <f t="shared" si="1"/>
        <v>-1</v>
      </c>
      <c r="AN22" s="404">
        <f t="shared" si="2"/>
        <v>-1</v>
      </c>
      <c r="AO22" s="404">
        <f t="shared" si="3"/>
        <v>-0.35432584241066883</v>
      </c>
      <c r="AP22" s="404">
        <f t="shared" si="4"/>
        <v>-1</v>
      </c>
      <c r="AQ22" s="404">
        <f t="shared" si="5"/>
        <v>-1</v>
      </c>
      <c r="AR22" s="404">
        <f t="shared" si="6"/>
        <v>-1</v>
      </c>
      <c r="AS22" s="404">
        <f t="shared" si="7"/>
        <v>39.554350145067701</v>
      </c>
      <c r="AT22" s="404">
        <f t="shared" si="8"/>
        <v>10.119758800773694</v>
      </c>
      <c r="AU22" s="404">
        <f t="shared" si="9"/>
        <v>-0.95406820539633341</v>
      </c>
      <c r="AV22" s="404">
        <f t="shared" si="10"/>
        <v>-1</v>
      </c>
      <c r="AW22" s="404">
        <f t="shared" si="11"/>
        <v>52.277263588007735</v>
      </c>
    </row>
    <row r="23" spans="1:49" s="70" customFormat="1" ht="30" x14ac:dyDescent="0.25">
      <c r="A23" s="339">
        <v>21112</v>
      </c>
      <c r="B23" s="340" t="s">
        <v>14</v>
      </c>
      <c r="C23" s="367">
        <f>SUM(C24:C29)</f>
        <v>16332606577</v>
      </c>
      <c r="D23" s="367">
        <f t="shared" ref="D23:G23" si="32">SUM(D24:D29)</f>
        <v>0</v>
      </c>
      <c r="E23" s="367">
        <f t="shared" si="32"/>
        <v>1938003991</v>
      </c>
      <c r="F23" s="367">
        <f t="shared" si="32"/>
        <v>0</v>
      </c>
      <c r="G23" s="367">
        <f t="shared" si="32"/>
        <v>14394602586</v>
      </c>
      <c r="H23" s="57">
        <f>SUM(H24:H29)</f>
        <v>16332606577</v>
      </c>
      <c r="I23" s="208">
        <f t="shared" ref="I23:V23" si="33">SUM(I24:I29)</f>
        <v>1183914611.6766665</v>
      </c>
      <c r="J23" s="208">
        <f t="shared" si="33"/>
        <v>1228602365.7466667</v>
      </c>
      <c r="K23" s="208">
        <f t="shared" si="33"/>
        <v>1192474848.2166667</v>
      </c>
      <c r="L23" s="208">
        <f t="shared" si="33"/>
        <v>1227558564.3866665</v>
      </c>
      <c r="M23" s="208">
        <f t="shared" si="33"/>
        <v>1194774783.9166665</v>
      </c>
      <c r="N23" s="208">
        <f t="shared" si="33"/>
        <v>1191740806.5166664</v>
      </c>
      <c r="O23" s="208">
        <f t="shared" si="33"/>
        <v>1192569446.1566665</v>
      </c>
      <c r="P23" s="208">
        <f t="shared" si="33"/>
        <v>1180918819.0766666</v>
      </c>
      <c r="Q23" s="208">
        <f t="shared" si="33"/>
        <v>1185536227.5866666</v>
      </c>
      <c r="R23" s="208">
        <f t="shared" si="33"/>
        <v>1229382542.8066666</v>
      </c>
      <c r="S23" s="208">
        <f t="shared" si="33"/>
        <v>1193564784.9466665</v>
      </c>
      <c r="T23" s="208">
        <f t="shared" si="33"/>
        <v>1193564784.9666665</v>
      </c>
      <c r="U23" s="413">
        <f t="shared" si="22"/>
        <v>12007473016.086666</v>
      </c>
      <c r="V23" s="57">
        <f t="shared" si="33"/>
        <v>14394602586</v>
      </c>
      <c r="W23" s="396">
        <f t="shared" si="18"/>
        <v>14394602586</v>
      </c>
      <c r="X23" s="396">
        <f t="shared" si="19"/>
        <v>0</v>
      </c>
      <c r="Y23" s="396"/>
      <c r="Z23" s="55"/>
      <c r="AA23" s="209">
        <f>SUM(AA24:AA29)</f>
        <v>1397178243</v>
      </c>
      <c r="AB23" s="209">
        <f t="shared" ref="AB23:AG23" si="34">SUM(AB24:AB29)</f>
        <v>1095939395</v>
      </c>
      <c r="AC23" s="209">
        <f t="shared" si="34"/>
        <v>1309182557</v>
      </c>
      <c r="AD23" s="209">
        <f t="shared" si="34"/>
        <v>1030724764</v>
      </c>
      <c r="AE23" s="209">
        <f t="shared" si="34"/>
        <v>1042042603</v>
      </c>
      <c r="AF23" s="209">
        <f t="shared" si="34"/>
        <v>1023063246</v>
      </c>
      <c r="AG23" s="209">
        <f t="shared" si="34"/>
        <v>1282662368</v>
      </c>
      <c r="AH23" s="367">
        <v>1057773583</v>
      </c>
      <c r="AI23" s="367">
        <v>1224985320</v>
      </c>
      <c r="AJ23" s="367">
        <v>1089550939</v>
      </c>
      <c r="AK23" s="209">
        <f t="shared" si="21"/>
        <v>11553103018</v>
      </c>
      <c r="AL23" s="386"/>
      <c r="AM23" s="405">
        <f t="shared" si="1"/>
        <v>0.18013430125784863</v>
      </c>
      <c r="AN23" s="405">
        <f t="shared" si="2"/>
        <v>-0.10797876875814294</v>
      </c>
      <c r="AO23" s="405">
        <f t="shared" si="3"/>
        <v>9.7870163851144054E-2</v>
      </c>
      <c r="AP23" s="405">
        <f t="shared" si="4"/>
        <v>-0.16034575139395646</v>
      </c>
      <c r="AQ23" s="405">
        <f t="shared" si="5"/>
        <v>-0.12783344859018997</v>
      </c>
      <c r="AR23" s="405">
        <f t="shared" si="6"/>
        <v>-0.14153879735786951</v>
      </c>
      <c r="AS23" s="405">
        <f t="shared" si="7"/>
        <v>7.5545220560260834E-2</v>
      </c>
      <c r="AT23" s="405">
        <f t="shared" si="8"/>
        <v>-0.10427917151235767</v>
      </c>
      <c r="AU23" s="405">
        <f t="shared" si="9"/>
        <v>3.3275315840527155E-2</v>
      </c>
      <c r="AV23" s="405">
        <f t="shared" si="10"/>
        <v>-0.11374132862455702</v>
      </c>
      <c r="AW23" s="405">
        <f t="shared" si="11"/>
        <v>8.6794938688780441</v>
      </c>
    </row>
    <row r="24" spans="1:49" x14ac:dyDescent="0.25">
      <c r="A24" s="341">
        <v>211121</v>
      </c>
      <c r="B24" s="342" t="s">
        <v>523</v>
      </c>
      <c r="C24" s="368">
        <v>6597489723</v>
      </c>
      <c r="D24" s="368">
        <v>0</v>
      </c>
      <c r="E24" s="368">
        <v>518000000</v>
      </c>
      <c r="F24" s="368">
        <v>0</v>
      </c>
      <c r="G24" s="368">
        <f t="shared" ref="G24:G29" si="35">+C24+D24-E24+F24</f>
        <v>6079489723</v>
      </c>
      <c r="H24" s="58">
        <v>6597489723</v>
      </c>
      <c r="I24" s="210">
        <v>506624143.58333331</v>
      </c>
      <c r="J24" s="210">
        <v>506624143.58333331</v>
      </c>
      <c r="K24" s="210">
        <v>506624143.58333331</v>
      </c>
      <c r="L24" s="210">
        <v>506624143.58333331</v>
      </c>
      <c r="M24" s="210">
        <v>506624143.58333331</v>
      </c>
      <c r="N24" s="210">
        <v>506624143.58333331</v>
      </c>
      <c r="O24" s="210">
        <v>506624143.58333331</v>
      </c>
      <c r="P24" s="210">
        <v>506624143.58333331</v>
      </c>
      <c r="Q24" s="210">
        <v>506624143.58333331</v>
      </c>
      <c r="R24" s="210">
        <v>506624143.58333331</v>
      </c>
      <c r="S24" s="210">
        <v>506624143.58333331</v>
      </c>
      <c r="T24" s="210">
        <v>506624143.58333331</v>
      </c>
      <c r="U24" s="412">
        <f t="shared" si="22"/>
        <v>5066241435.833333</v>
      </c>
      <c r="V24" s="58">
        <f t="shared" si="20"/>
        <v>6079489722.999999</v>
      </c>
      <c r="W24" s="396">
        <f t="shared" si="18"/>
        <v>6079489723</v>
      </c>
      <c r="X24" s="396">
        <f t="shared" si="19"/>
        <v>0</v>
      </c>
      <c r="Y24" s="396">
        <f>+W24/12</f>
        <v>506624143.58333331</v>
      </c>
      <c r="AA24" s="210">
        <v>421432266</v>
      </c>
      <c r="AB24" s="210">
        <v>323719476</v>
      </c>
      <c r="AC24" s="210">
        <v>399331472</v>
      </c>
      <c r="AD24" s="210">
        <v>454274634</v>
      </c>
      <c r="AE24" s="210">
        <v>459247445</v>
      </c>
      <c r="AF24" s="210">
        <v>450839890</v>
      </c>
      <c r="AG24" s="210">
        <v>512365126</v>
      </c>
      <c r="AH24" s="368">
        <v>457697672</v>
      </c>
      <c r="AI24" s="368">
        <v>536182691.39999998</v>
      </c>
      <c r="AJ24" s="368">
        <v>437813927</v>
      </c>
      <c r="AK24" s="210">
        <f t="shared" si="21"/>
        <v>4452904599.3999996</v>
      </c>
      <c r="AL24" s="387"/>
      <c r="AM24" s="404">
        <f t="shared" si="1"/>
        <v>-0.16815597650118766</v>
      </c>
      <c r="AN24" s="404">
        <f t="shared" si="2"/>
        <v>-0.36102635434950958</v>
      </c>
      <c r="AO24" s="404">
        <f t="shared" si="3"/>
        <v>-0.21177962586712967</v>
      </c>
      <c r="AP24" s="404">
        <f t="shared" si="4"/>
        <v>-0.1033300726907076</v>
      </c>
      <c r="AQ24" s="404">
        <f t="shared" si="5"/>
        <v>-9.3514490344340326E-2</v>
      </c>
      <c r="AR24" s="404">
        <f t="shared" si="6"/>
        <v>-0.11010974168892428</v>
      </c>
      <c r="AS24" s="404">
        <f t="shared" si="7"/>
        <v>1.1331837397367081E-2</v>
      </c>
      <c r="AT24" s="404">
        <f t="shared" si="8"/>
        <v>-9.657350957907028E-2</v>
      </c>
      <c r="AU24" s="404">
        <f t="shared" si="9"/>
        <v>5.8344135768185416E-2</v>
      </c>
      <c r="AV24" s="404">
        <f t="shared" si="10"/>
        <v>-0.13582103706436346</v>
      </c>
      <c r="AW24" s="404">
        <f t="shared" si="11"/>
        <v>7.7893651650803184</v>
      </c>
    </row>
    <row r="25" spans="1:49" x14ac:dyDescent="0.25">
      <c r="A25" s="341">
        <v>211122</v>
      </c>
      <c r="B25" s="342" t="s">
        <v>524</v>
      </c>
      <c r="C25" s="368">
        <v>4673221887</v>
      </c>
      <c r="D25" s="368">
        <v>0</v>
      </c>
      <c r="E25" s="368">
        <v>0</v>
      </c>
      <c r="F25" s="368">
        <v>0</v>
      </c>
      <c r="G25" s="368">
        <f t="shared" si="35"/>
        <v>4673221887</v>
      </c>
      <c r="H25" s="58">
        <v>4673221887</v>
      </c>
      <c r="I25" s="210">
        <v>374020386.75999999</v>
      </c>
      <c r="J25" s="210">
        <v>417758140.82999998</v>
      </c>
      <c r="K25" s="210">
        <v>382530623.30000001</v>
      </c>
      <c r="L25" s="210">
        <v>417614339.46999997</v>
      </c>
      <c r="M25" s="210">
        <v>384830559</v>
      </c>
      <c r="N25" s="210">
        <v>381796581.59999996</v>
      </c>
      <c r="O25" s="210">
        <v>382625221.24000001</v>
      </c>
      <c r="P25" s="210">
        <v>369774594.15999997</v>
      </c>
      <c r="Q25" s="210">
        <v>375592002.66999996</v>
      </c>
      <c r="R25" s="210">
        <v>419438317.88999999</v>
      </c>
      <c r="S25" s="210">
        <v>383620560.02999997</v>
      </c>
      <c r="T25" s="210">
        <v>383620560.04999995</v>
      </c>
      <c r="U25" s="412">
        <f t="shared" si="22"/>
        <v>3905980766.9199996</v>
      </c>
      <c r="V25" s="58">
        <f t="shared" si="20"/>
        <v>4673221887</v>
      </c>
      <c r="W25" s="396">
        <f t="shared" si="18"/>
        <v>4673221887</v>
      </c>
      <c r="X25" s="396">
        <f t="shared" si="19"/>
        <v>0</v>
      </c>
      <c r="Y25" s="396"/>
      <c r="AA25" s="210">
        <v>300466209</v>
      </c>
      <c r="AB25" s="210">
        <v>457440615</v>
      </c>
      <c r="AC25" s="210">
        <v>545344830</v>
      </c>
      <c r="AD25" s="210">
        <v>302849756</v>
      </c>
      <c r="AE25" s="210">
        <v>306164964</v>
      </c>
      <c r="AF25" s="210">
        <v>300559926</v>
      </c>
      <c r="AG25" s="210">
        <v>419207830</v>
      </c>
      <c r="AH25" s="368">
        <v>305131781</v>
      </c>
      <c r="AI25" s="368">
        <v>357455127.60000002</v>
      </c>
      <c r="AJ25" s="368">
        <v>358211395</v>
      </c>
      <c r="AK25" s="210">
        <f t="shared" si="21"/>
        <v>3652832433.5999999</v>
      </c>
      <c r="AL25" s="387"/>
      <c r="AM25" s="404">
        <f t="shared" si="1"/>
        <v>-0.19665820464272704</v>
      </c>
      <c r="AN25" s="404">
        <f t="shared" si="2"/>
        <v>9.4989110424417003E-2</v>
      </c>
      <c r="AO25" s="404">
        <f t="shared" si="3"/>
        <v>0.42562398088665648</v>
      </c>
      <c r="AP25" s="404">
        <f t="shared" si="4"/>
        <v>-0.274809968488269</v>
      </c>
      <c r="AQ25" s="404">
        <f t="shared" si="5"/>
        <v>-0.20441618566991193</v>
      </c>
      <c r="AR25" s="404">
        <f t="shared" si="6"/>
        <v>-0.21277470651926855</v>
      </c>
      <c r="AS25" s="404">
        <f t="shared" si="7"/>
        <v>9.560950697772666E-2</v>
      </c>
      <c r="AT25" s="404">
        <f t="shared" si="8"/>
        <v>-0.17481680510486688</v>
      </c>
      <c r="AU25" s="404">
        <f t="shared" si="9"/>
        <v>-4.8288767974474761E-2</v>
      </c>
      <c r="AV25" s="404">
        <f t="shared" si="10"/>
        <v>-0.14597360393300329</v>
      </c>
      <c r="AW25" s="404">
        <f t="shared" si="11"/>
        <v>8.5219933814661548</v>
      </c>
    </row>
    <row r="26" spans="1:49" x14ac:dyDescent="0.25">
      <c r="A26" s="341">
        <v>211123</v>
      </c>
      <c r="B26" s="342" t="s">
        <v>525</v>
      </c>
      <c r="C26" s="368">
        <v>890128449</v>
      </c>
      <c r="D26" s="368">
        <v>0</v>
      </c>
      <c r="E26" s="368">
        <v>485500000</v>
      </c>
      <c r="F26" s="368">
        <v>0</v>
      </c>
      <c r="G26" s="368">
        <f t="shared" si="35"/>
        <v>404628449</v>
      </c>
      <c r="H26" s="58">
        <v>890128449</v>
      </c>
      <c r="I26" s="210">
        <v>33719037.416666664</v>
      </c>
      <c r="J26" s="210">
        <v>33719037.416666664</v>
      </c>
      <c r="K26" s="210">
        <v>33719037.416666664</v>
      </c>
      <c r="L26" s="210">
        <v>33719037.416666664</v>
      </c>
      <c r="M26" s="210">
        <v>33719037.416666664</v>
      </c>
      <c r="N26" s="210">
        <v>33719037.416666664</v>
      </c>
      <c r="O26" s="210">
        <v>33719037.416666664</v>
      </c>
      <c r="P26" s="210">
        <v>33719037.416666664</v>
      </c>
      <c r="Q26" s="210">
        <v>33719037.416666664</v>
      </c>
      <c r="R26" s="210">
        <v>33719037.416666664</v>
      </c>
      <c r="S26" s="210">
        <v>33719037.416666664</v>
      </c>
      <c r="T26" s="210">
        <v>33719037.416666664</v>
      </c>
      <c r="U26" s="412">
        <f t="shared" si="22"/>
        <v>337190374.16666669</v>
      </c>
      <c r="V26" s="58">
        <f t="shared" si="20"/>
        <v>404628449.00000006</v>
      </c>
      <c r="W26" s="396">
        <f t="shared" si="18"/>
        <v>404628449</v>
      </c>
      <c r="X26" s="396">
        <f t="shared" si="19"/>
        <v>0</v>
      </c>
      <c r="Y26" s="396">
        <f t="shared" ref="Y26:Y29" si="36">+W26/12</f>
        <v>33719037.416666664</v>
      </c>
      <c r="AA26" s="210">
        <v>370633694</v>
      </c>
      <c r="AB26" s="210">
        <v>14816345</v>
      </c>
      <c r="AC26" s="210">
        <v>19178410</v>
      </c>
      <c r="AD26" s="210">
        <v>0</v>
      </c>
      <c r="AE26" s="210">
        <v>0</v>
      </c>
      <c r="AF26" s="210">
        <v>0</v>
      </c>
      <c r="AG26" s="210">
        <v>0</v>
      </c>
      <c r="AH26" s="368">
        <v>0</v>
      </c>
      <c r="AI26" s="368">
        <v>0</v>
      </c>
      <c r="AJ26" s="368">
        <v>0</v>
      </c>
      <c r="AK26" s="210">
        <f t="shared" si="21"/>
        <v>404628449</v>
      </c>
      <c r="AL26" s="387"/>
      <c r="AM26" s="404">
        <f t="shared" si="1"/>
        <v>9.9918230885441268</v>
      </c>
      <c r="AN26" s="404">
        <f t="shared" si="2"/>
        <v>-0.56059406984504934</v>
      </c>
      <c r="AO26" s="404">
        <f t="shared" si="3"/>
        <v>-0.43122901869907815</v>
      </c>
      <c r="AP26" s="404">
        <f t="shared" si="4"/>
        <v>-1</v>
      </c>
      <c r="AQ26" s="404">
        <f t="shared" si="5"/>
        <v>-1</v>
      </c>
      <c r="AR26" s="404">
        <f t="shared" si="6"/>
        <v>-1</v>
      </c>
      <c r="AS26" s="404">
        <f t="shared" si="7"/>
        <v>-1</v>
      </c>
      <c r="AT26" s="404">
        <f t="shared" si="8"/>
        <v>-1</v>
      </c>
      <c r="AU26" s="404">
        <f t="shared" si="9"/>
        <v>-1</v>
      </c>
      <c r="AV26" s="404">
        <f t="shared" si="10"/>
        <v>-1</v>
      </c>
      <c r="AW26" s="404">
        <f t="shared" si="11"/>
        <v>11</v>
      </c>
    </row>
    <row r="27" spans="1:49" x14ac:dyDescent="0.25">
      <c r="A27" s="341">
        <v>211124</v>
      </c>
      <c r="B27" s="342" t="s">
        <v>526</v>
      </c>
      <c r="C27" s="368">
        <v>2199163241</v>
      </c>
      <c r="D27" s="368">
        <v>0</v>
      </c>
      <c r="E27" s="368">
        <v>684503991</v>
      </c>
      <c r="F27" s="368">
        <v>0</v>
      </c>
      <c r="G27" s="368">
        <f t="shared" si="35"/>
        <v>1514659250</v>
      </c>
      <c r="H27" s="58">
        <v>2199163241</v>
      </c>
      <c r="I27" s="210">
        <v>126221604.16666667</v>
      </c>
      <c r="J27" s="210">
        <v>126221604.16666667</v>
      </c>
      <c r="K27" s="210">
        <v>126221604.16666667</v>
      </c>
      <c r="L27" s="210">
        <v>126221604.16666667</v>
      </c>
      <c r="M27" s="210">
        <v>126221604.16666667</v>
      </c>
      <c r="N27" s="210">
        <v>126221604.16666667</v>
      </c>
      <c r="O27" s="210">
        <v>126221604.16666667</v>
      </c>
      <c r="P27" s="210">
        <v>126221604.16666667</v>
      </c>
      <c r="Q27" s="210">
        <v>126221604.16666667</v>
      </c>
      <c r="R27" s="210">
        <v>126221604.16666667</v>
      </c>
      <c r="S27" s="210">
        <v>126221604.16666667</v>
      </c>
      <c r="T27" s="210">
        <v>126221604.16666667</v>
      </c>
      <c r="U27" s="412">
        <f t="shared" si="22"/>
        <v>1262216041.6666667</v>
      </c>
      <c r="V27" s="58">
        <f t="shared" si="20"/>
        <v>1514659250.0000002</v>
      </c>
      <c r="W27" s="396">
        <f t="shared" si="18"/>
        <v>1514659250</v>
      </c>
      <c r="X27" s="396">
        <f t="shared" si="19"/>
        <v>0</v>
      </c>
      <c r="Y27" s="396">
        <f t="shared" si="36"/>
        <v>126221604.16666667</v>
      </c>
      <c r="AA27" s="210">
        <v>160407814</v>
      </c>
      <c r="AB27" s="210">
        <v>157024606</v>
      </c>
      <c r="AC27" s="210">
        <v>179641798</v>
      </c>
      <c r="AD27" s="210">
        <v>142522670.72000003</v>
      </c>
      <c r="AE27" s="210">
        <v>151133396</v>
      </c>
      <c r="AF27" s="210">
        <v>148406418</v>
      </c>
      <c r="AG27" s="210">
        <v>193094347</v>
      </c>
      <c r="AH27" s="368">
        <v>162694278</v>
      </c>
      <c r="AI27" s="368">
        <v>181931040.59999999</v>
      </c>
      <c r="AJ27" s="368">
        <v>37802881.68</v>
      </c>
      <c r="AK27" s="210">
        <f t="shared" si="21"/>
        <v>1514659250</v>
      </c>
      <c r="AL27" s="387"/>
      <c r="AM27" s="404">
        <f t="shared" si="1"/>
        <v>0.27084277734414519</v>
      </c>
      <c r="AN27" s="404">
        <f t="shared" si="2"/>
        <v>0.24403906159091554</v>
      </c>
      <c r="AO27" s="404">
        <f t="shared" si="3"/>
        <v>0.42322543898900028</v>
      </c>
      <c r="AP27" s="404">
        <f t="shared" si="4"/>
        <v>0.12914640612401784</v>
      </c>
      <c r="AQ27" s="404">
        <f t="shared" si="5"/>
        <v>0.19736551438879729</v>
      </c>
      <c r="AR27" s="404">
        <f t="shared" si="6"/>
        <v>0.17576082937465964</v>
      </c>
      <c r="AS27" s="404">
        <f t="shared" si="7"/>
        <v>0.52980425399310105</v>
      </c>
      <c r="AT27" s="404">
        <f t="shared" si="8"/>
        <v>0.2889574575931847</v>
      </c>
      <c r="AU27" s="404">
        <f t="shared" si="9"/>
        <v>0.44136213290216914</v>
      </c>
      <c r="AV27" s="404">
        <f t="shared" si="10"/>
        <v>-0.700503872299991</v>
      </c>
      <c r="AW27" s="404">
        <f t="shared" si="11"/>
        <v>10.999999999999998</v>
      </c>
    </row>
    <row r="28" spans="1:49" ht="30" x14ac:dyDescent="0.25">
      <c r="A28" s="341">
        <v>211125</v>
      </c>
      <c r="B28" s="342" t="s">
        <v>527</v>
      </c>
      <c r="C28" s="368">
        <v>323230846</v>
      </c>
      <c r="D28" s="368">
        <v>0</v>
      </c>
      <c r="E28" s="368">
        <v>0</v>
      </c>
      <c r="F28" s="368">
        <v>0</v>
      </c>
      <c r="G28" s="368">
        <f t="shared" si="35"/>
        <v>323230846</v>
      </c>
      <c r="H28" s="58">
        <v>323230846</v>
      </c>
      <c r="I28" s="210">
        <v>26715070.5</v>
      </c>
      <c r="J28" s="210">
        <v>27665070.5</v>
      </c>
      <c r="K28" s="210">
        <v>26765070.5</v>
      </c>
      <c r="L28" s="210">
        <v>26765070.5</v>
      </c>
      <c r="M28" s="210">
        <v>26765070.5</v>
      </c>
      <c r="N28" s="210">
        <v>26765070.5</v>
      </c>
      <c r="O28" s="210">
        <v>26765070.5</v>
      </c>
      <c r="P28" s="210">
        <v>27965070.5</v>
      </c>
      <c r="Q28" s="210">
        <v>26765070.5</v>
      </c>
      <c r="R28" s="210">
        <v>26765070.5</v>
      </c>
      <c r="S28" s="210">
        <v>26765070.5</v>
      </c>
      <c r="T28" s="210">
        <v>26765070.5</v>
      </c>
      <c r="U28" s="412">
        <f t="shared" si="22"/>
        <v>269700705</v>
      </c>
      <c r="V28" s="58">
        <f t="shared" si="20"/>
        <v>323230846</v>
      </c>
      <c r="W28" s="396">
        <f t="shared" si="18"/>
        <v>323230846</v>
      </c>
      <c r="X28" s="396">
        <f t="shared" si="19"/>
        <v>0</v>
      </c>
      <c r="Y28" s="396"/>
      <c r="AA28" s="210">
        <v>23932400</v>
      </c>
      <c r="AB28" s="210">
        <v>25169900</v>
      </c>
      <c r="AC28" s="210">
        <v>30954700</v>
      </c>
      <c r="AD28" s="210">
        <v>24185700</v>
      </c>
      <c r="AE28" s="210">
        <v>24741200</v>
      </c>
      <c r="AF28" s="210">
        <v>24319400</v>
      </c>
      <c r="AG28" s="210">
        <v>29265500</v>
      </c>
      <c r="AH28" s="368">
        <v>23787000</v>
      </c>
      <c r="AI28" s="368">
        <v>28129100</v>
      </c>
      <c r="AJ28" s="368">
        <v>26261900</v>
      </c>
      <c r="AK28" s="210">
        <f t="shared" si="21"/>
        <v>260746800</v>
      </c>
      <c r="AL28" s="387"/>
      <c r="AM28" s="404">
        <f t="shared" si="1"/>
        <v>-0.10416107642313727</v>
      </c>
      <c r="AN28" s="404">
        <f t="shared" si="2"/>
        <v>-9.0192088973711448E-2</v>
      </c>
      <c r="AO28" s="404">
        <f t="shared" si="3"/>
        <v>0.15653347522473368</v>
      </c>
      <c r="AP28" s="404">
        <f t="shared" si="4"/>
        <v>-9.6370771748947939E-2</v>
      </c>
      <c r="AQ28" s="404">
        <f t="shared" si="5"/>
        <v>-7.5616109436364085E-2</v>
      </c>
      <c r="AR28" s="404">
        <f t="shared" si="6"/>
        <v>-9.137545518514513E-2</v>
      </c>
      <c r="AS28" s="404">
        <f t="shared" si="7"/>
        <v>9.3421367972858507E-2</v>
      </c>
      <c r="AT28" s="404">
        <f t="shared" si="8"/>
        <v>-0.14940318137227654</v>
      </c>
      <c r="AU28" s="404">
        <f t="shared" si="9"/>
        <v>5.0963045286953383E-2</v>
      </c>
      <c r="AV28" s="404">
        <f t="shared" si="10"/>
        <v>-1.8799520815758732E-2</v>
      </c>
      <c r="AW28" s="404">
        <f t="shared" si="11"/>
        <v>8.7420554150978234</v>
      </c>
    </row>
    <row r="29" spans="1:49" x14ac:dyDescent="0.25">
      <c r="A29" s="341">
        <v>211126</v>
      </c>
      <c r="B29" s="342" t="s">
        <v>633</v>
      </c>
      <c r="C29" s="368">
        <v>1649372431</v>
      </c>
      <c r="D29" s="368">
        <v>0</v>
      </c>
      <c r="E29" s="368">
        <v>250000000</v>
      </c>
      <c r="F29" s="368">
        <v>0</v>
      </c>
      <c r="G29" s="368">
        <f t="shared" si="35"/>
        <v>1399372431</v>
      </c>
      <c r="H29" s="58">
        <v>1649372431</v>
      </c>
      <c r="I29" s="210">
        <v>116614369.25</v>
      </c>
      <c r="J29" s="210">
        <v>116614369.25</v>
      </c>
      <c r="K29" s="210">
        <v>116614369.25</v>
      </c>
      <c r="L29" s="210">
        <v>116614369.25</v>
      </c>
      <c r="M29" s="210">
        <v>116614369.25</v>
      </c>
      <c r="N29" s="210">
        <v>116614369.25</v>
      </c>
      <c r="O29" s="210">
        <v>116614369.25</v>
      </c>
      <c r="P29" s="210">
        <v>116614369.25</v>
      </c>
      <c r="Q29" s="210">
        <v>116614369.25</v>
      </c>
      <c r="R29" s="210">
        <v>116614369.25</v>
      </c>
      <c r="S29" s="210">
        <v>116614369.25</v>
      </c>
      <c r="T29" s="210">
        <v>116614369.25</v>
      </c>
      <c r="U29" s="412">
        <f t="shared" si="22"/>
        <v>1166143692.5</v>
      </c>
      <c r="V29" s="58">
        <f t="shared" si="20"/>
        <v>1399372431</v>
      </c>
      <c r="W29" s="396">
        <f t="shared" si="18"/>
        <v>1399372431</v>
      </c>
      <c r="X29" s="396">
        <f t="shared" si="19"/>
        <v>0</v>
      </c>
      <c r="Y29" s="396">
        <f t="shared" si="36"/>
        <v>116614369.25</v>
      </c>
      <c r="AA29" s="210">
        <v>120305860</v>
      </c>
      <c r="AB29" s="210">
        <v>117768453</v>
      </c>
      <c r="AC29" s="210">
        <v>134731347</v>
      </c>
      <c r="AD29" s="210">
        <v>106892003.27999997</v>
      </c>
      <c r="AE29" s="210">
        <v>100755598</v>
      </c>
      <c r="AF29" s="210">
        <v>98937612</v>
      </c>
      <c r="AG29" s="210">
        <v>128729565</v>
      </c>
      <c r="AH29" s="368">
        <v>108462852</v>
      </c>
      <c r="AI29" s="368">
        <v>121287360.40000001</v>
      </c>
      <c r="AJ29" s="368">
        <v>229460835.31999999</v>
      </c>
      <c r="AK29" s="210">
        <f t="shared" si="21"/>
        <v>1267331486</v>
      </c>
      <c r="AL29" s="387"/>
      <c r="AM29" s="404">
        <f t="shared" si="1"/>
        <v>3.1655539310821254E-2</v>
      </c>
      <c r="AN29" s="404">
        <f t="shared" si="2"/>
        <v>9.8965827060801936E-3</v>
      </c>
      <c r="AO29" s="404">
        <f t="shared" si="3"/>
        <v>0.15535802205610266</v>
      </c>
      <c r="AP29" s="404">
        <f t="shared" si="4"/>
        <v>-8.3371938059854739E-2</v>
      </c>
      <c r="AQ29" s="404">
        <f t="shared" si="5"/>
        <v>-0.13599328583599915</v>
      </c>
      <c r="AR29" s="404">
        <f t="shared" si="6"/>
        <v>-0.15158301128486359</v>
      </c>
      <c r="AS29" s="404">
        <f t="shared" si="7"/>
        <v>0.10389110559803504</v>
      </c>
      <c r="AT29" s="404">
        <f t="shared" si="8"/>
        <v>-6.9901482145177399E-2</v>
      </c>
      <c r="AU29" s="404">
        <f t="shared" si="9"/>
        <v>4.0072172752415806E-2</v>
      </c>
      <c r="AV29" s="404">
        <f t="shared" si="10"/>
        <v>0.96768920327543595</v>
      </c>
      <c r="AW29" s="404">
        <f t="shared" si="11"/>
        <v>9.8677129083729955</v>
      </c>
    </row>
    <row r="30" spans="1:49" s="70" customFormat="1" x14ac:dyDescent="0.25">
      <c r="A30" s="337">
        <v>21113</v>
      </c>
      <c r="B30" s="337" t="s">
        <v>15</v>
      </c>
      <c r="C30" s="366">
        <f>+C31</f>
        <v>1123702148</v>
      </c>
      <c r="D30" s="366">
        <f t="shared" ref="D30:G30" si="37">+D31</f>
        <v>150000000</v>
      </c>
      <c r="E30" s="366">
        <f t="shared" si="37"/>
        <v>0</v>
      </c>
      <c r="F30" s="366">
        <f t="shared" si="37"/>
        <v>0</v>
      </c>
      <c r="G30" s="366">
        <f t="shared" si="37"/>
        <v>1273702148</v>
      </c>
      <c r="H30" s="57">
        <f>+H31</f>
        <v>1123702149.2</v>
      </c>
      <c r="I30" s="206">
        <f t="shared" ref="I30:V30" si="38">+I31</f>
        <v>106141845.69333333</v>
      </c>
      <c r="J30" s="206">
        <f t="shared" si="38"/>
        <v>106141845.69333333</v>
      </c>
      <c r="K30" s="206">
        <f t="shared" si="38"/>
        <v>106141845.69333333</v>
      </c>
      <c r="L30" s="206">
        <f t="shared" si="38"/>
        <v>106141845.69333333</v>
      </c>
      <c r="M30" s="206">
        <f t="shared" si="38"/>
        <v>106141845.69333333</v>
      </c>
      <c r="N30" s="206">
        <f t="shared" si="38"/>
        <v>106141845.69333333</v>
      </c>
      <c r="O30" s="206">
        <f t="shared" si="38"/>
        <v>106141845.69333333</v>
      </c>
      <c r="P30" s="206">
        <f t="shared" si="38"/>
        <v>106141845.69333333</v>
      </c>
      <c r="Q30" s="206">
        <f t="shared" si="38"/>
        <v>106141845.69333333</v>
      </c>
      <c r="R30" s="206">
        <f t="shared" si="38"/>
        <v>106141845.69333333</v>
      </c>
      <c r="S30" s="206">
        <f t="shared" si="38"/>
        <v>106141845.69333333</v>
      </c>
      <c r="T30" s="206">
        <f t="shared" si="38"/>
        <v>106141846.57333332</v>
      </c>
      <c r="U30" s="414">
        <f t="shared" si="22"/>
        <v>1061418456.9333334</v>
      </c>
      <c r="V30" s="57">
        <f t="shared" si="38"/>
        <v>1273702149.2</v>
      </c>
      <c r="W30" s="396">
        <f t="shared" si="18"/>
        <v>1273702148</v>
      </c>
      <c r="X30" s="396">
        <f t="shared" si="19"/>
        <v>-1.2000000476837158</v>
      </c>
      <c r="Y30" s="396"/>
      <c r="Z30" s="55"/>
      <c r="AA30" s="207">
        <f>+AA31</f>
        <v>35918424</v>
      </c>
      <c r="AB30" s="207">
        <f t="shared" ref="AB30:AG30" si="39">+AB31</f>
        <v>85042940</v>
      </c>
      <c r="AC30" s="207">
        <f t="shared" si="39"/>
        <v>253964388</v>
      </c>
      <c r="AD30" s="207">
        <f t="shared" si="39"/>
        <v>115455641</v>
      </c>
      <c r="AE30" s="207">
        <f t="shared" si="39"/>
        <v>39913211</v>
      </c>
      <c r="AF30" s="207">
        <f t="shared" si="39"/>
        <v>117812242</v>
      </c>
      <c r="AG30" s="207">
        <f t="shared" si="39"/>
        <v>140547458</v>
      </c>
      <c r="AH30" s="366">
        <v>139777688</v>
      </c>
      <c r="AI30" s="366">
        <v>120613094</v>
      </c>
      <c r="AJ30" s="366">
        <v>71025123</v>
      </c>
      <c r="AK30" s="207">
        <f t="shared" si="21"/>
        <v>1120070209</v>
      </c>
      <c r="AL30" s="388"/>
      <c r="AM30" s="406">
        <f t="shared" si="1"/>
        <v>-0.66159977937658943</v>
      </c>
      <c r="AN30" s="406">
        <f t="shared" si="2"/>
        <v>-0.19878027893252032</v>
      </c>
      <c r="AO30" s="406">
        <f t="shared" si="3"/>
        <v>1.3926886360517778</v>
      </c>
      <c r="AP30" s="406">
        <f t="shared" si="4"/>
        <v>8.7748571223984884E-2</v>
      </c>
      <c r="AQ30" s="406">
        <f t="shared" si="5"/>
        <v>-0.62396347322508527</v>
      </c>
      <c r="AR30" s="406">
        <f t="shared" si="6"/>
        <v>0.10995094564668645</v>
      </c>
      <c r="AS30" s="406">
        <f t="shared" si="7"/>
        <v>0.3241474847353974</v>
      </c>
      <c r="AT30" s="406">
        <f t="shared" si="8"/>
        <v>0.3168952083596499</v>
      </c>
      <c r="AU30" s="406">
        <f t="shared" si="9"/>
        <v>0.13633876641336376</v>
      </c>
      <c r="AV30" s="406">
        <f t="shared" si="10"/>
        <v>-0.33084710807453932</v>
      </c>
      <c r="AW30" s="406">
        <f t="shared" si="11"/>
        <v>9.5525789728221255</v>
      </c>
    </row>
    <row r="31" spans="1:49" x14ac:dyDescent="0.25">
      <c r="A31" s="337">
        <v>211131</v>
      </c>
      <c r="B31" s="337" t="s">
        <v>12</v>
      </c>
      <c r="C31" s="366">
        <f>+C32+C35</f>
        <v>1123702148</v>
      </c>
      <c r="D31" s="366">
        <f t="shared" ref="D31:G31" si="40">+D32+D35</f>
        <v>150000000</v>
      </c>
      <c r="E31" s="366">
        <f t="shared" si="40"/>
        <v>0</v>
      </c>
      <c r="F31" s="366">
        <f t="shared" si="40"/>
        <v>0</v>
      </c>
      <c r="G31" s="366">
        <f t="shared" si="40"/>
        <v>1273702148</v>
      </c>
      <c r="H31" s="56">
        <f>+H32+H35</f>
        <v>1123702149.2</v>
      </c>
      <c r="I31" s="206">
        <f t="shared" ref="I31:V31" si="41">+I32+I35</f>
        <v>106141845.69333333</v>
      </c>
      <c r="J31" s="206">
        <f t="shared" si="41"/>
        <v>106141845.69333333</v>
      </c>
      <c r="K31" s="206">
        <f t="shared" si="41"/>
        <v>106141845.69333333</v>
      </c>
      <c r="L31" s="206">
        <f t="shared" si="41"/>
        <v>106141845.69333333</v>
      </c>
      <c r="M31" s="206">
        <f t="shared" si="41"/>
        <v>106141845.69333333</v>
      </c>
      <c r="N31" s="206">
        <f t="shared" si="41"/>
        <v>106141845.69333333</v>
      </c>
      <c r="O31" s="206">
        <f t="shared" si="41"/>
        <v>106141845.69333333</v>
      </c>
      <c r="P31" s="206">
        <f t="shared" si="41"/>
        <v>106141845.69333333</v>
      </c>
      <c r="Q31" s="206">
        <f t="shared" si="41"/>
        <v>106141845.69333333</v>
      </c>
      <c r="R31" s="206">
        <f t="shared" si="41"/>
        <v>106141845.69333333</v>
      </c>
      <c r="S31" s="206">
        <f t="shared" si="41"/>
        <v>106141845.69333333</v>
      </c>
      <c r="T31" s="206">
        <f t="shared" si="41"/>
        <v>106141846.57333332</v>
      </c>
      <c r="U31" s="414">
        <f t="shared" si="22"/>
        <v>1061418456.9333334</v>
      </c>
      <c r="V31" s="56">
        <f t="shared" si="41"/>
        <v>1273702149.2</v>
      </c>
      <c r="W31" s="396">
        <f t="shared" si="18"/>
        <v>1273702148</v>
      </c>
      <c r="X31" s="396">
        <f t="shared" si="19"/>
        <v>-1.2000000476837158</v>
      </c>
      <c r="Y31" s="396"/>
      <c r="AA31" s="207">
        <f>+AA32+AA35</f>
        <v>35918424</v>
      </c>
      <c r="AB31" s="207">
        <f t="shared" ref="AB31:AG31" si="42">+AB32+AB35</f>
        <v>85042940</v>
      </c>
      <c r="AC31" s="207">
        <f t="shared" si="42"/>
        <v>253964388</v>
      </c>
      <c r="AD31" s="207">
        <f t="shared" si="42"/>
        <v>115455641</v>
      </c>
      <c r="AE31" s="207">
        <f t="shared" si="42"/>
        <v>39913211</v>
      </c>
      <c r="AF31" s="207">
        <f t="shared" si="42"/>
        <v>117812242</v>
      </c>
      <c r="AG31" s="207">
        <f t="shared" si="42"/>
        <v>140547458</v>
      </c>
      <c r="AH31" s="366">
        <v>139777688</v>
      </c>
      <c r="AI31" s="366">
        <v>120613094</v>
      </c>
      <c r="AJ31" s="366">
        <v>71025123</v>
      </c>
      <c r="AK31" s="207">
        <f t="shared" si="21"/>
        <v>1120070209</v>
      </c>
      <c r="AL31" s="388"/>
      <c r="AM31" s="406">
        <f t="shared" si="1"/>
        <v>-0.66159977937658943</v>
      </c>
      <c r="AN31" s="406">
        <f t="shared" si="2"/>
        <v>-0.19878027893252032</v>
      </c>
      <c r="AO31" s="406">
        <f t="shared" si="3"/>
        <v>1.3926886360517778</v>
      </c>
      <c r="AP31" s="406">
        <f t="shared" si="4"/>
        <v>8.7748571223984884E-2</v>
      </c>
      <c r="AQ31" s="406">
        <f t="shared" si="5"/>
        <v>-0.62396347322508527</v>
      </c>
      <c r="AR31" s="406">
        <f t="shared" si="6"/>
        <v>0.10995094564668645</v>
      </c>
      <c r="AS31" s="406">
        <f t="shared" si="7"/>
        <v>0.3241474847353974</v>
      </c>
      <c r="AT31" s="406">
        <f t="shared" si="8"/>
        <v>0.3168952083596499</v>
      </c>
      <c r="AU31" s="406">
        <f t="shared" si="9"/>
        <v>0.13633876641336376</v>
      </c>
      <c r="AV31" s="406">
        <f t="shared" si="10"/>
        <v>-0.33084710807453932</v>
      </c>
      <c r="AW31" s="406">
        <f t="shared" si="11"/>
        <v>9.5525789728221255</v>
      </c>
    </row>
    <row r="32" spans="1:49" x14ac:dyDescent="0.25">
      <c r="A32" s="339">
        <v>2111313</v>
      </c>
      <c r="B32" s="339" t="s">
        <v>16</v>
      </c>
      <c r="C32" s="367">
        <f>+C33+C34</f>
        <v>771955345</v>
      </c>
      <c r="D32" s="367">
        <f t="shared" ref="D32:G32" si="43">+D33+D34</f>
        <v>0</v>
      </c>
      <c r="E32" s="367">
        <f t="shared" si="43"/>
        <v>0</v>
      </c>
      <c r="F32" s="367">
        <f t="shared" si="43"/>
        <v>0</v>
      </c>
      <c r="G32" s="367">
        <f t="shared" si="43"/>
        <v>771955345</v>
      </c>
      <c r="H32" s="57">
        <f>+H33+H34</f>
        <v>771955345.39999998</v>
      </c>
      <c r="I32" s="208">
        <f t="shared" ref="I32:V32" si="44">+I33+I34</f>
        <v>64329612.049999997</v>
      </c>
      <c r="J32" s="208">
        <f t="shared" si="44"/>
        <v>64329612.049999997</v>
      </c>
      <c r="K32" s="208">
        <f t="shared" si="44"/>
        <v>64329612.049999997</v>
      </c>
      <c r="L32" s="208">
        <f t="shared" si="44"/>
        <v>64329612.049999997</v>
      </c>
      <c r="M32" s="208">
        <f t="shared" si="44"/>
        <v>64329612.049999997</v>
      </c>
      <c r="N32" s="208">
        <f t="shared" si="44"/>
        <v>64329612.049999997</v>
      </c>
      <c r="O32" s="208">
        <f t="shared" si="44"/>
        <v>64329612.049999997</v>
      </c>
      <c r="P32" s="208">
        <f t="shared" si="44"/>
        <v>64329612.049999997</v>
      </c>
      <c r="Q32" s="208">
        <f t="shared" si="44"/>
        <v>64329612.049999997</v>
      </c>
      <c r="R32" s="208">
        <f t="shared" si="44"/>
        <v>64329612.049999997</v>
      </c>
      <c r="S32" s="208">
        <f t="shared" si="44"/>
        <v>64329612.049999997</v>
      </c>
      <c r="T32" s="208">
        <f t="shared" si="44"/>
        <v>64329612.849999994</v>
      </c>
      <c r="U32" s="413">
        <f t="shared" si="22"/>
        <v>643296120.5</v>
      </c>
      <c r="V32" s="57">
        <f t="shared" si="44"/>
        <v>771955345.39999998</v>
      </c>
      <c r="W32" s="396">
        <f t="shared" si="18"/>
        <v>771955345</v>
      </c>
      <c r="X32" s="396">
        <f t="shared" si="19"/>
        <v>-0.39999997615814209</v>
      </c>
      <c r="Y32" s="396"/>
      <c r="AA32" s="209">
        <f>+AA33+AA34</f>
        <v>6142348</v>
      </c>
      <c r="AB32" s="209">
        <f t="shared" ref="AB32:AG32" si="45">+AB33+AB34</f>
        <v>60625</v>
      </c>
      <c r="AC32" s="209">
        <f t="shared" si="45"/>
        <v>185942441</v>
      </c>
      <c r="AD32" s="209">
        <f t="shared" si="45"/>
        <v>65197745</v>
      </c>
      <c r="AE32" s="209">
        <f t="shared" si="45"/>
        <v>60625</v>
      </c>
      <c r="AF32" s="209">
        <f t="shared" si="45"/>
        <v>86558998</v>
      </c>
      <c r="AG32" s="209">
        <f t="shared" si="45"/>
        <v>110060105</v>
      </c>
      <c r="AH32" s="367">
        <v>21016101</v>
      </c>
      <c r="AI32" s="367">
        <v>116317351</v>
      </c>
      <c r="AJ32" s="367">
        <v>30827620</v>
      </c>
      <c r="AK32" s="209">
        <f t="shared" si="21"/>
        <v>622183959</v>
      </c>
      <c r="AL32" s="388"/>
      <c r="AM32" s="405">
        <f t="shared" si="1"/>
        <v>-0.90451756501771097</v>
      </c>
      <c r="AN32" s="405">
        <f t="shared" si="2"/>
        <v>-0.9990575879743705</v>
      </c>
      <c r="AO32" s="405">
        <f t="shared" si="3"/>
        <v>1.8904642057451986</v>
      </c>
      <c r="AP32" s="405">
        <f t="shared" si="4"/>
        <v>1.3495075165776676E-2</v>
      </c>
      <c r="AQ32" s="405">
        <f t="shared" si="5"/>
        <v>-0.9990575879743705</v>
      </c>
      <c r="AR32" s="405">
        <f t="shared" si="6"/>
        <v>0.3455544848105454</v>
      </c>
      <c r="AS32" s="405">
        <f t="shared" si="7"/>
        <v>0.71087779783991412</v>
      </c>
      <c r="AT32" s="405">
        <f t="shared" si="8"/>
        <v>-0.67330595770319124</v>
      </c>
      <c r="AU32" s="405">
        <f t="shared" si="9"/>
        <v>0.80814631541058712</v>
      </c>
      <c r="AV32" s="405">
        <f t="shared" si="10"/>
        <v>-0.52078647736847339</v>
      </c>
      <c r="AW32" s="405">
        <f t="shared" si="11"/>
        <v>8.6718127029339058</v>
      </c>
    </row>
    <row r="33" spans="1:49" s="70" customFormat="1" x14ac:dyDescent="0.25">
      <c r="A33" s="341">
        <v>21113131</v>
      </c>
      <c r="B33" s="341" t="s">
        <v>634</v>
      </c>
      <c r="C33" s="368">
        <v>1310595</v>
      </c>
      <c r="D33" s="368">
        <v>0</v>
      </c>
      <c r="E33" s="368">
        <v>0</v>
      </c>
      <c r="F33" s="368">
        <v>0</v>
      </c>
      <c r="G33" s="368">
        <f t="shared" ref="G33:G34" si="46">+C33+D33-E33+F33</f>
        <v>1310595</v>
      </c>
      <c r="H33" s="58">
        <v>1310595.3999999999</v>
      </c>
      <c r="I33" s="210">
        <v>109216.25</v>
      </c>
      <c r="J33" s="210">
        <v>109216.25</v>
      </c>
      <c r="K33" s="210">
        <v>109216.25</v>
      </c>
      <c r="L33" s="210">
        <v>109216.25</v>
      </c>
      <c r="M33" s="210">
        <v>109216.25</v>
      </c>
      <c r="N33" s="210">
        <v>109216.25</v>
      </c>
      <c r="O33" s="210">
        <v>109216.25</v>
      </c>
      <c r="P33" s="210">
        <v>109216.25</v>
      </c>
      <c r="Q33" s="210">
        <v>109216.25</v>
      </c>
      <c r="R33" s="210">
        <v>109216.25</v>
      </c>
      <c r="S33" s="210">
        <v>109216.25</v>
      </c>
      <c r="T33" s="210">
        <v>109216.65</v>
      </c>
      <c r="U33" s="412">
        <f t="shared" si="22"/>
        <v>1092162.5</v>
      </c>
      <c r="V33" s="58">
        <f t="shared" si="20"/>
        <v>1310595.3999999999</v>
      </c>
      <c r="W33" s="396">
        <f t="shared" si="18"/>
        <v>1310595</v>
      </c>
      <c r="X33" s="396">
        <f t="shared" si="19"/>
        <v>-0.39999999990686774</v>
      </c>
      <c r="Y33" s="396"/>
      <c r="Z33" s="55"/>
      <c r="AA33" s="210">
        <v>60625</v>
      </c>
      <c r="AB33" s="210">
        <v>60625</v>
      </c>
      <c r="AC33" s="210">
        <v>60625</v>
      </c>
      <c r="AD33" s="210">
        <v>60625</v>
      </c>
      <c r="AE33" s="210">
        <v>60625</v>
      </c>
      <c r="AF33" s="210">
        <v>60625</v>
      </c>
      <c r="AG33" s="210">
        <v>60625</v>
      </c>
      <c r="AH33" s="368">
        <v>60625</v>
      </c>
      <c r="AI33" s="368">
        <v>60625</v>
      </c>
      <c r="AJ33" s="368">
        <v>60625</v>
      </c>
      <c r="AK33" s="210">
        <f t="shared" si="21"/>
        <v>606250</v>
      </c>
      <c r="AL33" s="389"/>
      <c r="AM33" s="404">
        <f t="shared" si="1"/>
        <v>-0.44490861021139255</v>
      </c>
      <c r="AN33" s="404">
        <f t="shared" si="2"/>
        <v>-0.44490861021139255</v>
      </c>
      <c r="AO33" s="404">
        <f t="shared" si="3"/>
        <v>-0.44490861021139255</v>
      </c>
      <c r="AP33" s="404">
        <f t="shared" si="4"/>
        <v>-0.44490861021139255</v>
      </c>
      <c r="AQ33" s="404">
        <f t="shared" si="5"/>
        <v>-0.44490861021139255</v>
      </c>
      <c r="AR33" s="404">
        <f t="shared" si="6"/>
        <v>-0.44490861021139255</v>
      </c>
      <c r="AS33" s="404">
        <f t="shared" si="7"/>
        <v>-0.44490861021139255</v>
      </c>
      <c r="AT33" s="404">
        <f t="shared" si="8"/>
        <v>-0.44490861021139255</v>
      </c>
      <c r="AU33" s="404">
        <f t="shared" si="9"/>
        <v>-0.44490861021139255</v>
      </c>
      <c r="AV33" s="404">
        <f t="shared" si="10"/>
        <v>-0.44490861021139255</v>
      </c>
      <c r="AW33" s="404">
        <f t="shared" si="11"/>
        <v>4.5509138978860744</v>
      </c>
    </row>
    <row r="34" spans="1:49" x14ac:dyDescent="0.25">
      <c r="A34" s="341">
        <v>21113132</v>
      </c>
      <c r="B34" s="341" t="s">
        <v>528</v>
      </c>
      <c r="C34" s="368">
        <v>770644750</v>
      </c>
      <c r="D34" s="368">
        <v>0</v>
      </c>
      <c r="E34" s="368">
        <v>0</v>
      </c>
      <c r="F34" s="368">
        <v>0</v>
      </c>
      <c r="G34" s="368">
        <f t="shared" si="46"/>
        <v>770644750</v>
      </c>
      <c r="H34" s="58">
        <v>770644750</v>
      </c>
      <c r="I34" s="210">
        <v>64220395.799999997</v>
      </c>
      <c r="J34" s="210">
        <v>64220395.799999997</v>
      </c>
      <c r="K34" s="210">
        <v>64220395.799999997</v>
      </c>
      <c r="L34" s="210">
        <v>64220395.799999997</v>
      </c>
      <c r="M34" s="210">
        <v>64220395.799999997</v>
      </c>
      <c r="N34" s="210">
        <v>64220395.799999997</v>
      </c>
      <c r="O34" s="210">
        <v>64220395.799999997</v>
      </c>
      <c r="P34" s="210">
        <v>64220395.799999997</v>
      </c>
      <c r="Q34" s="210">
        <v>64220395.799999997</v>
      </c>
      <c r="R34" s="210">
        <v>64220395.799999997</v>
      </c>
      <c r="S34" s="210">
        <v>64220395.799999997</v>
      </c>
      <c r="T34" s="210">
        <f>64220395.8+0.4</f>
        <v>64220396.199999996</v>
      </c>
      <c r="U34" s="412">
        <f t="shared" si="22"/>
        <v>642203958</v>
      </c>
      <c r="V34" s="58">
        <f t="shared" si="20"/>
        <v>770644750</v>
      </c>
      <c r="W34" s="396">
        <f t="shared" si="18"/>
        <v>770644750</v>
      </c>
      <c r="X34" s="396">
        <f t="shared" si="19"/>
        <v>0</v>
      </c>
      <c r="Y34" s="396"/>
      <c r="AA34" s="210">
        <v>6081723</v>
      </c>
      <c r="AB34" s="210">
        <v>0</v>
      </c>
      <c r="AC34" s="210">
        <v>185881816</v>
      </c>
      <c r="AD34" s="210">
        <v>65137120</v>
      </c>
      <c r="AE34" s="210">
        <v>0</v>
      </c>
      <c r="AF34" s="210">
        <v>86498373</v>
      </c>
      <c r="AG34" s="210">
        <v>109999480</v>
      </c>
      <c r="AH34" s="368">
        <v>20955476</v>
      </c>
      <c r="AI34" s="368">
        <v>116256726</v>
      </c>
      <c r="AJ34" s="368">
        <v>30766995</v>
      </c>
      <c r="AK34" s="210">
        <f t="shared" si="21"/>
        <v>621577709</v>
      </c>
      <c r="AL34" s="389"/>
      <c r="AM34" s="404">
        <f t="shared" si="1"/>
        <v>-0.90529919779784351</v>
      </c>
      <c r="AN34" s="404">
        <f t="shared" si="2"/>
        <v>-1</v>
      </c>
      <c r="AO34" s="404">
        <f t="shared" si="3"/>
        <v>1.8944358514838056</v>
      </c>
      <c r="AP34" s="404">
        <f t="shared" si="4"/>
        <v>1.4274658207572165E-2</v>
      </c>
      <c r="AQ34" s="404">
        <f t="shared" si="5"/>
        <v>-1</v>
      </c>
      <c r="AR34" s="404">
        <f t="shared" si="6"/>
        <v>0.3468987838284236</v>
      </c>
      <c r="AS34" s="404">
        <f t="shared" si="7"/>
        <v>0.71284338300512318</v>
      </c>
      <c r="AT34" s="404">
        <f t="shared" si="8"/>
        <v>-0.67369438106141355</v>
      </c>
      <c r="AU34" s="404">
        <f t="shared" si="9"/>
        <v>0.81027732002860076</v>
      </c>
      <c r="AV34" s="404">
        <f t="shared" si="10"/>
        <v>-0.52091551886698273</v>
      </c>
      <c r="AW34" s="404">
        <f t="shared" si="11"/>
        <v>8.6788208988272864</v>
      </c>
    </row>
    <row r="35" spans="1:49" x14ac:dyDescent="0.25">
      <c r="A35" s="339">
        <v>2111314</v>
      </c>
      <c r="B35" s="339" t="s">
        <v>17</v>
      </c>
      <c r="C35" s="367">
        <f>+C36+C37+C38</f>
        <v>351746803</v>
      </c>
      <c r="D35" s="367">
        <f t="shared" ref="D35:G35" si="47">+D36+D37+D38</f>
        <v>150000000</v>
      </c>
      <c r="E35" s="367">
        <f t="shared" si="47"/>
        <v>0</v>
      </c>
      <c r="F35" s="367">
        <f t="shared" si="47"/>
        <v>0</v>
      </c>
      <c r="G35" s="367">
        <f t="shared" si="47"/>
        <v>501746803</v>
      </c>
      <c r="H35" s="57">
        <f>+H36+H37+H38</f>
        <v>351746803.80000001</v>
      </c>
      <c r="I35" s="208">
        <f t="shared" ref="I35:V35" si="48">+I36+I37+I38</f>
        <v>41812233.643333331</v>
      </c>
      <c r="J35" s="208">
        <f t="shared" si="48"/>
        <v>41812233.643333331</v>
      </c>
      <c r="K35" s="208">
        <f t="shared" si="48"/>
        <v>41812233.643333331</v>
      </c>
      <c r="L35" s="208">
        <f t="shared" si="48"/>
        <v>41812233.643333331</v>
      </c>
      <c r="M35" s="208">
        <f t="shared" si="48"/>
        <v>41812233.643333331</v>
      </c>
      <c r="N35" s="208">
        <f t="shared" si="48"/>
        <v>41812233.643333331</v>
      </c>
      <c r="O35" s="208">
        <f t="shared" si="48"/>
        <v>41812233.643333331</v>
      </c>
      <c r="P35" s="208">
        <f t="shared" si="48"/>
        <v>41812233.643333331</v>
      </c>
      <c r="Q35" s="208">
        <f t="shared" si="48"/>
        <v>41812233.643333331</v>
      </c>
      <c r="R35" s="208">
        <f t="shared" si="48"/>
        <v>41812233.643333331</v>
      </c>
      <c r="S35" s="208">
        <f t="shared" si="48"/>
        <v>41812233.643333331</v>
      </c>
      <c r="T35" s="208">
        <f t="shared" si="48"/>
        <v>41812233.723333336</v>
      </c>
      <c r="U35" s="413">
        <f t="shared" si="22"/>
        <v>418122336.43333322</v>
      </c>
      <c r="V35" s="57">
        <f t="shared" si="48"/>
        <v>501746803.80000001</v>
      </c>
      <c r="W35" s="396">
        <f t="shared" si="18"/>
        <v>501746803</v>
      </c>
      <c r="X35" s="396">
        <f t="shared" si="19"/>
        <v>-0.80000001192092896</v>
      </c>
      <c r="Y35" s="396"/>
      <c r="AA35" s="209">
        <f>+AA36+AA37+AA38</f>
        <v>29776076</v>
      </c>
      <c r="AB35" s="209">
        <f t="shared" ref="AB35:AG35" si="49">+AB36+AB37+AB38</f>
        <v>84982315</v>
      </c>
      <c r="AC35" s="209">
        <f t="shared" si="49"/>
        <v>68021947</v>
      </c>
      <c r="AD35" s="209">
        <f t="shared" si="49"/>
        <v>50257896</v>
      </c>
      <c r="AE35" s="209">
        <f t="shared" si="49"/>
        <v>39852586</v>
      </c>
      <c r="AF35" s="209">
        <f t="shared" si="49"/>
        <v>31253244</v>
      </c>
      <c r="AG35" s="209">
        <f t="shared" si="49"/>
        <v>30487353</v>
      </c>
      <c r="AH35" s="367">
        <v>118761587</v>
      </c>
      <c r="AI35" s="367">
        <v>4295743</v>
      </c>
      <c r="AJ35" s="367">
        <v>40197503</v>
      </c>
      <c r="AK35" s="209">
        <f t="shared" si="21"/>
        <v>497886250</v>
      </c>
      <c r="AL35" s="388"/>
      <c r="AM35" s="405">
        <f t="shared" si="1"/>
        <v>-0.2878621062439321</v>
      </c>
      <c r="AN35" s="405">
        <f t="shared" si="2"/>
        <v>1.0324748906005847</v>
      </c>
      <c r="AO35" s="405">
        <f t="shared" si="3"/>
        <v>0.62684317657460586</v>
      </c>
      <c r="AP35" s="405">
        <f t="shared" si="4"/>
        <v>0.20199022201755229</v>
      </c>
      <c r="AQ35" s="405">
        <f t="shared" si="5"/>
        <v>-4.6867805725221832E-2</v>
      </c>
      <c r="AR35" s="405">
        <f t="shared" si="6"/>
        <v>-0.25253349853068391</v>
      </c>
      <c r="AS35" s="405">
        <f t="shared" si="7"/>
        <v>-0.27085088875989777</v>
      </c>
      <c r="AT35" s="405">
        <f t="shared" si="8"/>
        <v>1.8403550026305688</v>
      </c>
      <c r="AU35" s="405">
        <f t="shared" si="9"/>
        <v>-0.89726109739451998</v>
      </c>
      <c r="AV35" s="405">
        <f t="shared" si="10"/>
        <v>-3.8618617151795917E-2</v>
      </c>
      <c r="AW35" s="405">
        <f t="shared" si="11"/>
        <v>10.907669278017261</v>
      </c>
    </row>
    <row r="36" spans="1:49" x14ac:dyDescent="0.25">
      <c r="A36" s="341">
        <v>21113141</v>
      </c>
      <c r="B36" s="363" t="s">
        <v>520</v>
      </c>
      <c r="C36" s="368">
        <v>98148934</v>
      </c>
      <c r="D36" s="368">
        <v>150000000</v>
      </c>
      <c r="E36" s="368">
        <v>0</v>
      </c>
      <c r="F36" s="368">
        <v>0</v>
      </c>
      <c r="G36" s="368">
        <f t="shared" ref="G36:G38" si="50">+C36+D36-E36+F36</f>
        <v>248148934</v>
      </c>
      <c r="H36" s="58">
        <v>98148934</v>
      </c>
      <c r="I36" s="210">
        <v>20679077.833333332</v>
      </c>
      <c r="J36" s="210">
        <v>20679077.833333332</v>
      </c>
      <c r="K36" s="210">
        <v>20679077.833333332</v>
      </c>
      <c r="L36" s="210">
        <v>20679077.833333332</v>
      </c>
      <c r="M36" s="210">
        <v>20679077.833333332</v>
      </c>
      <c r="N36" s="210">
        <v>20679077.833333332</v>
      </c>
      <c r="O36" s="210">
        <v>20679077.833333332</v>
      </c>
      <c r="P36" s="210">
        <v>20679077.833333332</v>
      </c>
      <c r="Q36" s="210">
        <v>20679077.833333332</v>
      </c>
      <c r="R36" s="210">
        <v>20679077.833333332</v>
      </c>
      <c r="S36" s="210">
        <v>20679077.833333332</v>
      </c>
      <c r="T36" s="210">
        <v>20679077.833333332</v>
      </c>
      <c r="U36" s="412">
        <f t="shared" si="22"/>
        <v>206790778.33333334</v>
      </c>
      <c r="V36" s="58">
        <f t="shared" si="20"/>
        <v>248148934.00000003</v>
      </c>
      <c r="W36" s="396">
        <f t="shared" si="18"/>
        <v>248148934</v>
      </c>
      <c r="X36" s="396">
        <f t="shared" si="19"/>
        <v>0</v>
      </c>
      <c r="Y36" s="396">
        <f t="shared" ref="Y36" si="51">+W36/12</f>
        <v>20679077.833333332</v>
      </c>
      <c r="AA36" s="210">
        <v>0</v>
      </c>
      <c r="AB36" s="210">
        <v>0</v>
      </c>
      <c r="AC36" s="210">
        <v>0</v>
      </c>
      <c r="AD36" s="210">
        <v>0</v>
      </c>
      <c r="AE36" s="210">
        <v>39589246</v>
      </c>
      <c r="AF36" s="210">
        <v>22966404</v>
      </c>
      <c r="AG36" s="210">
        <v>30355683</v>
      </c>
      <c r="AH36" s="368">
        <v>118761587</v>
      </c>
      <c r="AI36" s="368">
        <v>4295743</v>
      </c>
      <c r="AJ36" s="368">
        <v>30424664</v>
      </c>
      <c r="AK36" s="210">
        <f t="shared" si="21"/>
        <v>246393327</v>
      </c>
      <c r="AL36" s="389"/>
      <c r="AM36" s="404">
        <f t="shared" si="1"/>
        <v>-1</v>
      </c>
      <c r="AN36" s="404">
        <f t="shared" si="2"/>
        <v>-1</v>
      </c>
      <c r="AO36" s="404">
        <f t="shared" si="3"/>
        <v>-1</v>
      </c>
      <c r="AP36" s="404">
        <f t="shared" si="4"/>
        <v>-1</v>
      </c>
      <c r="AQ36" s="404">
        <f t="shared" si="5"/>
        <v>0.91445896761337697</v>
      </c>
      <c r="AR36" s="404">
        <f t="shared" si="6"/>
        <v>0.11061064642735889</v>
      </c>
      <c r="AS36" s="404">
        <f t="shared" si="7"/>
        <v>0.46794181271800273</v>
      </c>
      <c r="AT36" s="404">
        <f t="shared" si="8"/>
        <v>4.7430794524388329</v>
      </c>
      <c r="AU36" s="404">
        <f t="shared" si="9"/>
        <v>-0.79226622025303561</v>
      </c>
      <c r="AV36" s="404">
        <f t="shared" si="10"/>
        <v>0.47127759976595357</v>
      </c>
      <c r="AW36" s="404">
        <f t="shared" si="11"/>
        <v>10.915102258710489</v>
      </c>
    </row>
    <row r="37" spans="1:49" s="70" customFormat="1" x14ac:dyDescent="0.25">
      <c r="A37" s="341">
        <v>21113142</v>
      </c>
      <c r="B37" s="363" t="s">
        <v>529</v>
      </c>
      <c r="C37" s="368">
        <v>235801530</v>
      </c>
      <c r="D37" s="368">
        <v>0</v>
      </c>
      <c r="E37" s="368">
        <v>0</v>
      </c>
      <c r="F37" s="368">
        <v>0</v>
      </c>
      <c r="G37" s="368">
        <f t="shared" si="50"/>
        <v>235801530</v>
      </c>
      <c r="H37" s="58">
        <v>235801530.37</v>
      </c>
      <c r="I37" s="210">
        <v>19650127.530000001</v>
      </c>
      <c r="J37" s="210">
        <v>19650127.530000001</v>
      </c>
      <c r="K37" s="210">
        <v>19650127.530000001</v>
      </c>
      <c r="L37" s="210">
        <v>19650127.530000001</v>
      </c>
      <c r="M37" s="210">
        <v>19650127.530000001</v>
      </c>
      <c r="N37" s="210">
        <v>19650127.530000001</v>
      </c>
      <c r="O37" s="210">
        <v>19650127.530000001</v>
      </c>
      <c r="P37" s="210">
        <v>19650127.530000001</v>
      </c>
      <c r="Q37" s="210">
        <v>19650127.530000001</v>
      </c>
      <c r="R37" s="210">
        <v>19650127.530000001</v>
      </c>
      <c r="S37" s="210">
        <v>19650127.530000001</v>
      </c>
      <c r="T37" s="210">
        <v>19650127.539999999</v>
      </c>
      <c r="U37" s="412">
        <f t="shared" si="22"/>
        <v>196501275.30000001</v>
      </c>
      <c r="V37" s="58">
        <f t="shared" si="20"/>
        <v>235801530.37</v>
      </c>
      <c r="W37" s="396">
        <f t="shared" si="18"/>
        <v>235801530</v>
      </c>
      <c r="X37" s="396">
        <f t="shared" si="19"/>
        <v>-0.37000000476837158</v>
      </c>
      <c r="Y37" s="396"/>
      <c r="Z37" s="55"/>
      <c r="AA37" s="210">
        <v>29776076</v>
      </c>
      <c r="AB37" s="210">
        <v>84982315</v>
      </c>
      <c r="AC37" s="210">
        <v>68021947</v>
      </c>
      <c r="AD37" s="210">
        <v>50257896</v>
      </c>
      <c r="AE37" s="210">
        <v>263340</v>
      </c>
      <c r="AF37" s="210">
        <v>131670</v>
      </c>
      <c r="AG37" s="210">
        <v>131670</v>
      </c>
      <c r="AH37" s="368">
        <v>0</v>
      </c>
      <c r="AI37" s="368">
        <v>0</v>
      </c>
      <c r="AJ37" s="368">
        <v>131670</v>
      </c>
      <c r="AK37" s="210">
        <f t="shared" si="21"/>
        <v>233696584</v>
      </c>
      <c r="AL37" s="389"/>
      <c r="AM37" s="404">
        <f t="shared" si="1"/>
        <v>0.51531209935104161</v>
      </c>
      <c r="AN37" s="404">
        <f t="shared" si="2"/>
        <v>3.3247716774487515</v>
      </c>
      <c r="AO37" s="404">
        <f t="shared" si="3"/>
        <v>2.4616542257117859</v>
      </c>
      <c r="AP37" s="404">
        <f t="shared" si="4"/>
        <v>1.5576371411977292</v>
      </c>
      <c r="AQ37" s="404">
        <f t="shared" si="5"/>
        <v>-0.98659856025880965</v>
      </c>
      <c r="AR37" s="404">
        <f t="shared" si="6"/>
        <v>-0.99329928012940483</v>
      </c>
      <c r="AS37" s="404">
        <f t="shared" si="7"/>
        <v>-0.99329928012940483</v>
      </c>
      <c r="AT37" s="404">
        <f t="shared" si="8"/>
        <v>-1</v>
      </c>
      <c r="AU37" s="404">
        <f t="shared" si="9"/>
        <v>-1</v>
      </c>
      <c r="AV37" s="404">
        <f t="shared" si="10"/>
        <v>-0.99329928012940483</v>
      </c>
      <c r="AW37" s="404">
        <f t="shared" si="11"/>
        <v>10.892878743062283</v>
      </c>
    </row>
    <row r="38" spans="1:49" s="70" customFormat="1" x14ac:dyDescent="0.25">
      <c r="A38" s="341">
        <v>21113143</v>
      </c>
      <c r="B38" s="363" t="s">
        <v>530</v>
      </c>
      <c r="C38" s="368">
        <v>17796339</v>
      </c>
      <c r="D38" s="368">
        <v>0</v>
      </c>
      <c r="E38" s="368">
        <v>0</v>
      </c>
      <c r="F38" s="368">
        <v>0</v>
      </c>
      <c r="G38" s="368">
        <f t="shared" si="50"/>
        <v>17796339</v>
      </c>
      <c r="H38" s="58">
        <v>17796339.43</v>
      </c>
      <c r="I38" s="210">
        <v>1483028.28</v>
      </c>
      <c r="J38" s="210">
        <v>1483028.28</v>
      </c>
      <c r="K38" s="210">
        <v>1483028.28</v>
      </c>
      <c r="L38" s="210">
        <v>1483028.28</v>
      </c>
      <c r="M38" s="210">
        <v>1483028.28</v>
      </c>
      <c r="N38" s="210">
        <v>1483028.28</v>
      </c>
      <c r="O38" s="210">
        <v>1483028.28</v>
      </c>
      <c r="P38" s="210">
        <v>1483028.28</v>
      </c>
      <c r="Q38" s="210">
        <v>1483028.28</v>
      </c>
      <c r="R38" s="210">
        <v>1483028.28</v>
      </c>
      <c r="S38" s="210">
        <v>1483028.28</v>
      </c>
      <c r="T38" s="210">
        <v>1483028.35</v>
      </c>
      <c r="U38" s="412">
        <f t="shared" si="22"/>
        <v>14830282.799999997</v>
      </c>
      <c r="V38" s="58">
        <f t="shared" si="20"/>
        <v>17796339.429999996</v>
      </c>
      <c r="W38" s="396">
        <f t="shared" si="18"/>
        <v>17796339</v>
      </c>
      <c r="X38" s="396">
        <f t="shared" si="19"/>
        <v>-0.42999999597668648</v>
      </c>
      <c r="Y38" s="396"/>
      <c r="Z38" s="55"/>
      <c r="AA38" s="210">
        <v>0</v>
      </c>
      <c r="AB38" s="210">
        <v>0</v>
      </c>
      <c r="AC38" s="210">
        <v>0</v>
      </c>
      <c r="AD38" s="210">
        <v>0</v>
      </c>
      <c r="AE38" s="210">
        <v>0</v>
      </c>
      <c r="AF38" s="210">
        <v>8155170</v>
      </c>
      <c r="AG38" s="210">
        <v>0</v>
      </c>
      <c r="AH38" s="368">
        <v>0</v>
      </c>
      <c r="AI38" s="368">
        <v>0</v>
      </c>
      <c r="AJ38" s="368">
        <v>9641169</v>
      </c>
      <c r="AK38" s="210">
        <f t="shared" si="21"/>
        <v>17796339</v>
      </c>
      <c r="AL38" s="389"/>
      <c r="AM38" s="404">
        <f t="shared" si="1"/>
        <v>-1</v>
      </c>
      <c r="AN38" s="404">
        <f t="shared" si="2"/>
        <v>-1</v>
      </c>
      <c r="AO38" s="404">
        <f t="shared" si="3"/>
        <v>-1</v>
      </c>
      <c r="AP38" s="404">
        <f t="shared" si="4"/>
        <v>-1</v>
      </c>
      <c r="AQ38" s="404">
        <f t="shared" si="5"/>
        <v>-1</v>
      </c>
      <c r="AR38" s="404">
        <f t="shared" si="6"/>
        <v>4.4989983063573131</v>
      </c>
      <c r="AS38" s="404">
        <f t="shared" si="7"/>
        <v>-1</v>
      </c>
      <c r="AT38" s="404">
        <f t="shared" si="8"/>
        <v>-1</v>
      </c>
      <c r="AU38" s="404">
        <f t="shared" si="9"/>
        <v>-1</v>
      </c>
      <c r="AV38" s="404">
        <f t="shared" si="10"/>
        <v>5.5010014508961351</v>
      </c>
      <c r="AW38" s="404">
        <f t="shared" si="11"/>
        <v>10.99999975725345</v>
      </c>
    </row>
    <row r="39" spans="1:49" s="70" customFormat="1" x14ac:dyDescent="0.25">
      <c r="A39" s="335">
        <v>2112</v>
      </c>
      <c r="B39" s="335" t="s">
        <v>18</v>
      </c>
      <c r="C39" s="365">
        <f>+C40+C52</f>
        <v>27473344553</v>
      </c>
      <c r="D39" s="365">
        <f t="shared" ref="D39:G39" si="52">+D40+D52</f>
        <v>379867209</v>
      </c>
      <c r="E39" s="365">
        <f t="shared" si="52"/>
        <v>365000000</v>
      </c>
      <c r="F39" s="365">
        <f t="shared" si="52"/>
        <v>1771870902</v>
      </c>
      <c r="G39" s="365">
        <f t="shared" si="52"/>
        <v>29260082664</v>
      </c>
      <c r="H39" s="56">
        <f>+H40+H52</f>
        <v>29245215454.979996</v>
      </c>
      <c r="I39" s="204">
        <f t="shared" ref="I39:V39" si="53">+I40+I52</f>
        <v>1973436828.6316671</v>
      </c>
      <c r="J39" s="204">
        <f t="shared" si="53"/>
        <v>2405853828.6316671</v>
      </c>
      <c r="K39" s="204">
        <f t="shared" si="53"/>
        <v>2638192882.5316668</v>
      </c>
      <c r="L39" s="204">
        <f t="shared" si="53"/>
        <v>2337344455.6616669</v>
      </c>
      <c r="M39" s="204">
        <f t="shared" si="53"/>
        <v>2456386807.1616669</v>
      </c>
      <c r="N39" s="204">
        <f t="shared" si="53"/>
        <v>2366381784.1616669</v>
      </c>
      <c r="O39" s="204">
        <f t="shared" si="53"/>
        <v>2146623945.6316671</v>
      </c>
      <c r="P39" s="204">
        <f t="shared" si="53"/>
        <v>2777410092.5316672</v>
      </c>
      <c r="Q39" s="204">
        <f t="shared" si="53"/>
        <v>2507495701.1616669</v>
      </c>
      <c r="R39" s="204">
        <f t="shared" si="53"/>
        <v>2387903353.6616669</v>
      </c>
      <c r="S39" s="204">
        <f t="shared" si="53"/>
        <v>2347461845.8316669</v>
      </c>
      <c r="T39" s="204">
        <f t="shared" si="53"/>
        <v>2915591138.3816633</v>
      </c>
      <c r="U39" s="415">
        <f t="shared" si="22"/>
        <v>23997029679.76667</v>
      </c>
      <c r="V39" s="56">
        <f t="shared" si="53"/>
        <v>29260082663.979996</v>
      </c>
      <c r="W39" s="396">
        <f t="shared" si="18"/>
        <v>29260082664</v>
      </c>
      <c r="X39" s="396">
        <f t="shared" si="19"/>
        <v>2.00042724609375E-2</v>
      </c>
      <c r="Y39" s="396"/>
      <c r="Z39" s="55"/>
      <c r="AA39" s="205">
        <f>+AA40+AA52</f>
        <v>251271217</v>
      </c>
      <c r="AB39" s="205">
        <f t="shared" ref="AB39:AG39" si="54">+AB40+AB52</f>
        <v>1345703321</v>
      </c>
      <c r="AC39" s="205">
        <f t="shared" si="54"/>
        <v>1792897179.2</v>
      </c>
      <c r="AD39" s="205">
        <f t="shared" si="54"/>
        <v>1956291886</v>
      </c>
      <c r="AE39" s="205">
        <f t="shared" si="54"/>
        <v>3458325660</v>
      </c>
      <c r="AF39" s="205">
        <f t="shared" si="54"/>
        <v>3093420168.2799997</v>
      </c>
      <c r="AG39" s="205">
        <f t="shared" si="54"/>
        <v>1632660294</v>
      </c>
      <c r="AH39" s="365">
        <v>2508441230</v>
      </c>
      <c r="AI39" s="365">
        <v>1476619772.4000001</v>
      </c>
      <c r="AJ39" s="365">
        <v>1669823152</v>
      </c>
      <c r="AK39" s="205">
        <f t="shared" si="21"/>
        <v>19185453879.880001</v>
      </c>
      <c r="AL39" s="388"/>
      <c r="AM39" s="407">
        <f t="shared" si="1"/>
        <v>-0.87267329090324852</v>
      </c>
      <c r="AN39" s="407">
        <f t="shared" si="2"/>
        <v>-0.44065457968185429</v>
      </c>
      <c r="AO39" s="407">
        <f t="shared" si="3"/>
        <v>-0.32040708961374453</v>
      </c>
      <c r="AP39" s="407">
        <f t="shared" si="4"/>
        <v>-0.1630279904781072</v>
      </c>
      <c r="AQ39" s="407">
        <f t="shared" si="5"/>
        <v>0.40789131822282687</v>
      </c>
      <c r="AR39" s="407">
        <f t="shared" si="6"/>
        <v>0.30723630015428777</v>
      </c>
      <c r="AS39" s="407">
        <f t="shared" si="7"/>
        <v>-0.23942882621689371</v>
      </c>
      <c r="AT39" s="407">
        <f t="shared" si="8"/>
        <v>-9.6841609114517363E-2</v>
      </c>
      <c r="AU39" s="407">
        <f t="shared" si="9"/>
        <v>-0.41111772526034041</v>
      </c>
      <c r="AV39" s="407">
        <f t="shared" si="10"/>
        <v>-0.3007157725041702</v>
      </c>
      <c r="AW39" s="407">
        <f t="shared" si="11"/>
        <v>7.1728501419297457</v>
      </c>
    </row>
    <row r="40" spans="1:49" x14ac:dyDescent="0.25">
      <c r="A40" s="343">
        <v>21121</v>
      </c>
      <c r="B40" s="343" t="s">
        <v>19</v>
      </c>
      <c r="C40" s="369">
        <f>+C41</f>
        <v>22678383399</v>
      </c>
      <c r="D40" s="369">
        <f t="shared" ref="D40:G40" si="55">+D41</f>
        <v>379867209</v>
      </c>
      <c r="E40" s="369">
        <f t="shared" si="55"/>
        <v>365000000</v>
      </c>
      <c r="F40" s="369">
        <f t="shared" si="55"/>
        <v>1771870902</v>
      </c>
      <c r="G40" s="369">
        <f t="shared" si="55"/>
        <v>24465121510</v>
      </c>
      <c r="H40" s="56">
        <f>+H41</f>
        <v>24450254300.979996</v>
      </c>
      <c r="I40" s="206">
        <f t="shared" ref="I40:V40" si="56">+I41</f>
        <v>1609653987.9416671</v>
      </c>
      <c r="J40" s="206">
        <f t="shared" si="56"/>
        <v>2038470987.9416671</v>
      </c>
      <c r="K40" s="206">
        <f t="shared" si="56"/>
        <v>2242684869.8416667</v>
      </c>
      <c r="L40" s="206">
        <f t="shared" si="56"/>
        <v>1943336442.9716668</v>
      </c>
      <c r="M40" s="206">
        <f t="shared" si="56"/>
        <v>2062378794.4716668</v>
      </c>
      <c r="N40" s="206">
        <f t="shared" si="56"/>
        <v>1966835576.4716668</v>
      </c>
      <c r="O40" s="206">
        <f t="shared" si="56"/>
        <v>1781041104.9416671</v>
      </c>
      <c r="P40" s="206">
        <f t="shared" si="56"/>
        <v>2379802079.8416672</v>
      </c>
      <c r="Q40" s="206">
        <f t="shared" si="56"/>
        <v>2113487688.4716668</v>
      </c>
      <c r="R40" s="206">
        <f t="shared" si="56"/>
        <v>1993895340.9716668</v>
      </c>
      <c r="S40" s="206">
        <f t="shared" si="56"/>
        <v>1945129856.1416669</v>
      </c>
      <c r="T40" s="206">
        <f t="shared" si="56"/>
        <v>2388404779.9716635</v>
      </c>
      <c r="U40" s="414">
        <f t="shared" si="22"/>
        <v>20131586873.866669</v>
      </c>
      <c r="V40" s="56">
        <f t="shared" si="56"/>
        <v>24465121509.979996</v>
      </c>
      <c r="W40" s="396">
        <f t="shared" si="18"/>
        <v>24465121510</v>
      </c>
      <c r="X40" s="396">
        <f t="shared" si="19"/>
        <v>2.00042724609375E-2</v>
      </c>
      <c r="Y40" s="396"/>
      <c r="AA40" s="207">
        <f>+AA41</f>
        <v>112195092</v>
      </c>
      <c r="AB40" s="207">
        <f t="shared" ref="AB40:AG40" si="57">+AB41</f>
        <v>1337471993</v>
      </c>
      <c r="AC40" s="207">
        <f t="shared" si="57"/>
        <v>1772668172.2</v>
      </c>
      <c r="AD40" s="207">
        <f t="shared" si="57"/>
        <v>1789008635</v>
      </c>
      <c r="AE40" s="207">
        <f t="shared" si="57"/>
        <v>2940555783</v>
      </c>
      <c r="AF40" s="207">
        <f t="shared" si="57"/>
        <v>2425990279.2799997</v>
      </c>
      <c r="AG40" s="207">
        <f t="shared" si="57"/>
        <v>1560327235</v>
      </c>
      <c r="AH40" s="369">
        <v>2508441230</v>
      </c>
      <c r="AI40" s="369">
        <v>1159614636.4000001</v>
      </c>
      <c r="AJ40" s="369">
        <v>1432999398</v>
      </c>
      <c r="AK40" s="207">
        <f t="shared" si="21"/>
        <v>17039272453.879999</v>
      </c>
      <c r="AL40" s="389"/>
      <c r="AM40" s="406">
        <f t="shared" si="1"/>
        <v>-0.93029862763023463</v>
      </c>
      <c r="AN40" s="406">
        <f t="shared" si="2"/>
        <v>-0.34388470529546084</v>
      </c>
      <c r="AO40" s="406">
        <f t="shared" si="3"/>
        <v>-0.20957768251892198</v>
      </c>
      <c r="AP40" s="406">
        <f t="shared" si="4"/>
        <v>-7.9413839291602714E-2</v>
      </c>
      <c r="AQ40" s="406">
        <f t="shared" si="5"/>
        <v>0.42580780547314617</v>
      </c>
      <c r="AR40" s="406">
        <f t="shared" si="6"/>
        <v>0.23344844292069233</v>
      </c>
      <c r="AS40" s="406">
        <f t="shared" si="7"/>
        <v>-0.12392407414364304</v>
      </c>
      <c r="AT40" s="406">
        <f t="shared" si="8"/>
        <v>5.4054558254227357E-2</v>
      </c>
      <c r="AU40" s="406">
        <f t="shared" si="9"/>
        <v>-0.45132652405533719</v>
      </c>
      <c r="AV40" s="406">
        <f t="shared" si="10"/>
        <v>-0.28130661196004925</v>
      </c>
      <c r="AW40" s="406">
        <f t="shared" si="11"/>
        <v>7.7599665390355321</v>
      </c>
    </row>
    <row r="41" spans="1:49" x14ac:dyDescent="0.25">
      <c r="A41" s="339">
        <v>211211</v>
      </c>
      <c r="B41" s="339" t="s">
        <v>11</v>
      </c>
      <c r="C41" s="367">
        <f>+C42+C43+C44+C45+C46+C47+C48+C51</f>
        <v>22678383399</v>
      </c>
      <c r="D41" s="367">
        <f t="shared" ref="D41:G41" si="58">+D42+D43+D44+D45+D46+D47+D48+D51</f>
        <v>379867209</v>
      </c>
      <c r="E41" s="367">
        <f t="shared" si="58"/>
        <v>365000000</v>
      </c>
      <c r="F41" s="367">
        <f t="shared" si="58"/>
        <v>1771870902</v>
      </c>
      <c r="G41" s="367">
        <f t="shared" si="58"/>
        <v>24465121510</v>
      </c>
      <c r="H41" s="57">
        <f>+H42+H43+H44+H45+H46+H47+H48+H51</f>
        <v>24450254300.979996</v>
      </c>
      <c r="I41" s="208">
        <f t="shared" ref="I41:V41" si="59">+I42+I43+I44+I45+I46+I47+I48+I51</f>
        <v>1609653987.9416671</v>
      </c>
      <c r="J41" s="208">
        <f t="shared" si="59"/>
        <v>2038470987.9416671</v>
      </c>
      <c r="K41" s="208">
        <f t="shared" si="59"/>
        <v>2242684869.8416667</v>
      </c>
      <c r="L41" s="208">
        <f t="shared" si="59"/>
        <v>1943336442.9716668</v>
      </c>
      <c r="M41" s="208">
        <f t="shared" si="59"/>
        <v>2062378794.4716668</v>
      </c>
      <c r="N41" s="208">
        <f t="shared" si="59"/>
        <v>1966835576.4716668</v>
      </c>
      <c r="O41" s="208">
        <f t="shared" si="59"/>
        <v>1781041104.9416671</v>
      </c>
      <c r="P41" s="208">
        <f t="shared" si="59"/>
        <v>2379802079.8416672</v>
      </c>
      <c r="Q41" s="208">
        <f t="shared" si="59"/>
        <v>2113487688.4716668</v>
      </c>
      <c r="R41" s="208">
        <f t="shared" si="59"/>
        <v>1993895340.9716668</v>
      </c>
      <c r="S41" s="208">
        <f t="shared" si="59"/>
        <v>1945129856.1416669</v>
      </c>
      <c r="T41" s="208">
        <f t="shared" si="59"/>
        <v>2388404779.9716635</v>
      </c>
      <c r="U41" s="413">
        <f t="shared" si="22"/>
        <v>20131586873.866669</v>
      </c>
      <c r="V41" s="57">
        <f t="shared" si="59"/>
        <v>24465121509.979996</v>
      </c>
      <c r="W41" s="396">
        <f t="shared" si="18"/>
        <v>24465121510</v>
      </c>
      <c r="X41" s="396">
        <f t="shared" si="19"/>
        <v>2.00042724609375E-2</v>
      </c>
      <c r="Y41" s="396"/>
      <c r="AA41" s="209">
        <f>+AA42+AA43+AA44+AA45+AA46+AA47+AA48+AA51</f>
        <v>112195092</v>
      </c>
      <c r="AB41" s="209">
        <f t="shared" ref="AB41:AG41" si="60">+AB42+AB43+AB44+AB45+AB46+AB47+AB48+AB51</f>
        <v>1337471993</v>
      </c>
      <c r="AC41" s="209">
        <f t="shared" si="60"/>
        <v>1772668172.2</v>
      </c>
      <c r="AD41" s="209">
        <f t="shared" si="60"/>
        <v>1789008635</v>
      </c>
      <c r="AE41" s="209">
        <f t="shared" si="60"/>
        <v>2940555783</v>
      </c>
      <c r="AF41" s="209">
        <f t="shared" si="60"/>
        <v>2425990279.2799997</v>
      </c>
      <c r="AG41" s="209">
        <f t="shared" si="60"/>
        <v>1560327235</v>
      </c>
      <c r="AH41" s="367">
        <v>2508441230</v>
      </c>
      <c r="AI41" s="367">
        <v>1159614636.4000001</v>
      </c>
      <c r="AJ41" s="367">
        <v>1432999398</v>
      </c>
      <c r="AK41" s="209">
        <f t="shared" si="21"/>
        <v>17039272453.879999</v>
      </c>
      <c r="AL41" s="388"/>
      <c r="AM41" s="405">
        <f t="shared" si="1"/>
        <v>-0.93029862763023463</v>
      </c>
      <c r="AN41" s="405">
        <f t="shared" si="2"/>
        <v>-0.34388470529546084</v>
      </c>
      <c r="AO41" s="405">
        <f t="shared" si="3"/>
        <v>-0.20957768251892198</v>
      </c>
      <c r="AP41" s="405">
        <f t="shared" si="4"/>
        <v>-7.9413839291602714E-2</v>
      </c>
      <c r="AQ41" s="405">
        <f t="shared" si="5"/>
        <v>0.42580780547314617</v>
      </c>
      <c r="AR41" s="405">
        <f t="shared" si="6"/>
        <v>0.23344844292069233</v>
      </c>
      <c r="AS41" s="405">
        <f t="shared" si="7"/>
        <v>-0.12392407414364304</v>
      </c>
      <c r="AT41" s="405">
        <f t="shared" si="8"/>
        <v>5.4054558254227357E-2</v>
      </c>
      <c r="AU41" s="405">
        <f t="shared" si="9"/>
        <v>-0.45132652405533719</v>
      </c>
      <c r="AV41" s="405">
        <f t="shared" si="10"/>
        <v>-0.28130661196004925</v>
      </c>
      <c r="AW41" s="405">
        <f t="shared" si="11"/>
        <v>7.7599665390355321</v>
      </c>
    </row>
    <row r="42" spans="1:49" x14ac:dyDescent="0.25">
      <c r="A42" s="341">
        <v>2112111</v>
      </c>
      <c r="B42" s="341" t="s">
        <v>510</v>
      </c>
      <c r="C42" s="368">
        <v>20052276642</v>
      </c>
      <c r="D42" s="368">
        <v>379867209</v>
      </c>
      <c r="E42" s="368">
        <v>365000000</v>
      </c>
      <c r="F42" s="368">
        <v>1771870902</v>
      </c>
      <c r="G42" s="368">
        <f t="shared" ref="G42:G47" si="61">+C42+D42-E42+F42</f>
        <v>21839014753</v>
      </c>
      <c r="H42" s="58">
        <v>21824147544.649998</v>
      </c>
      <c r="I42" s="210">
        <v>1455638106.7383337</v>
      </c>
      <c r="J42" s="210">
        <v>1884455106.7383337</v>
      </c>
      <c r="K42" s="210">
        <v>2088668988.6383333</v>
      </c>
      <c r="L42" s="210">
        <v>1789320561.7683334</v>
      </c>
      <c r="M42" s="210">
        <v>1908362913.2683334</v>
      </c>
      <c r="N42" s="210">
        <v>1807203395.2683334</v>
      </c>
      <c r="O42" s="210">
        <v>1627025223.7383337</v>
      </c>
      <c r="P42" s="210">
        <v>2225786198.6383333</v>
      </c>
      <c r="Q42" s="210">
        <v>1959471807.2683334</v>
      </c>
      <c r="R42" s="210">
        <v>1839879459.7683334</v>
      </c>
      <c r="S42" s="210">
        <v>1785497674.9383335</v>
      </c>
      <c r="T42" s="210">
        <f>1452838107.87833-365000000+379867209</f>
        <v>1467705316.87833</v>
      </c>
      <c r="U42" s="412">
        <f t="shared" si="22"/>
        <v>18585811761.833336</v>
      </c>
      <c r="V42" s="58">
        <f t="shared" si="20"/>
        <v>21839014753.649998</v>
      </c>
      <c r="W42" s="396">
        <f t="shared" si="18"/>
        <v>21839014753</v>
      </c>
      <c r="X42" s="396">
        <f t="shared" si="19"/>
        <v>-0.64999771118164063</v>
      </c>
      <c r="Y42" s="396">
        <f t="shared" ref="Y42" si="62">+W42/12</f>
        <v>1819917896.0833333</v>
      </c>
      <c r="AA42" s="210">
        <v>106210711</v>
      </c>
      <c r="AB42" s="210">
        <f>934039243+399432750</f>
        <v>1333471993</v>
      </c>
      <c r="AC42" s="210">
        <v>1751587762.2</v>
      </c>
      <c r="AD42" s="210">
        <v>1788929791</v>
      </c>
      <c r="AE42" s="210">
        <v>2940555783</v>
      </c>
      <c r="AF42" s="210">
        <v>1478426158.28</v>
      </c>
      <c r="AG42" s="210">
        <f>1176204735+366191948</f>
        <v>1542396683</v>
      </c>
      <c r="AH42" s="368">
        <v>2458441230</v>
      </c>
      <c r="AI42" s="368">
        <v>1106864636.4000001</v>
      </c>
      <c r="AJ42" s="368">
        <v>1352999398</v>
      </c>
      <c r="AK42" s="210">
        <f t="shared" si="21"/>
        <v>15859884145.879999</v>
      </c>
      <c r="AL42" s="389"/>
      <c r="AM42" s="404">
        <f t="shared" si="1"/>
        <v>-0.927034947416987</v>
      </c>
      <c r="AN42" s="404">
        <f t="shared" si="2"/>
        <v>-0.29238325273346005</v>
      </c>
      <c r="AO42" s="404">
        <f t="shared" si="3"/>
        <v>-0.16138566152508768</v>
      </c>
      <c r="AP42" s="404">
        <f t="shared" si="4"/>
        <v>-2.1839058728931595E-4</v>
      </c>
      <c r="AQ42" s="404">
        <f t="shared" si="5"/>
        <v>0.54087870947140482</v>
      </c>
      <c r="AR42" s="404">
        <f t="shared" si="6"/>
        <v>-0.18192597349537218</v>
      </c>
      <c r="AS42" s="404">
        <f t="shared" si="7"/>
        <v>-5.2014277039840219E-2</v>
      </c>
      <c r="AT42" s="404">
        <f t="shared" si="8"/>
        <v>0.10452712461960532</v>
      </c>
      <c r="AU42" s="404">
        <f t="shared" si="9"/>
        <v>-0.4351209176400137</v>
      </c>
      <c r="AV42" s="404">
        <f t="shared" si="10"/>
        <v>-0.26462606513887516</v>
      </c>
      <c r="AW42" s="404">
        <f t="shared" si="11"/>
        <v>7.882612600673232</v>
      </c>
    </row>
    <row r="43" spans="1:49" x14ac:dyDescent="0.25">
      <c r="A43" s="341">
        <v>2112112</v>
      </c>
      <c r="B43" s="341" t="s">
        <v>511</v>
      </c>
      <c r="C43" s="368">
        <v>137214482</v>
      </c>
      <c r="D43" s="368">
        <v>0</v>
      </c>
      <c r="E43" s="368">
        <v>0</v>
      </c>
      <c r="F43" s="368">
        <v>0</v>
      </c>
      <c r="G43" s="368">
        <f t="shared" si="61"/>
        <v>137214482</v>
      </c>
      <c r="H43" s="58">
        <v>137214482</v>
      </c>
      <c r="I43" s="210">
        <v>11434540.17</v>
      </c>
      <c r="J43" s="210">
        <v>11434540.17</v>
      </c>
      <c r="K43" s="210">
        <v>11434540.17</v>
      </c>
      <c r="L43" s="210">
        <v>11434540.17</v>
      </c>
      <c r="M43" s="210">
        <v>11434540.17</v>
      </c>
      <c r="N43" s="210">
        <v>11434540.17</v>
      </c>
      <c r="O43" s="210">
        <v>11434540.17</v>
      </c>
      <c r="P43" s="210">
        <v>11434540.17</v>
      </c>
      <c r="Q43" s="210">
        <v>11434540.17</v>
      </c>
      <c r="R43" s="210">
        <v>11434540.17</v>
      </c>
      <c r="S43" s="210">
        <v>11434540.17</v>
      </c>
      <c r="T43" s="210">
        <v>11434540.130000001</v>
      </c>
      <c r="U43" s="412">
        <f t="shared" si="22"/>
        <v>114345401.7</v>
      </c>
      <c r="V43" s="58">
        <f t="shared" si="20"/>
        <v>137214482</v>
      </c>
      <c r="W43" s="396">
        <f t="shared" si="18"/>
        <v>137214482</v>
      </c>
      <c r="X43" s="396">
        <f t="shared" si="19"/>
        <v>0</v>
      </c>
      <c r="Y43" s="396"/>
      <c r="AA43" s="210">
        <v>0</v>
      </c>
      <c r="AB43" s="210">
        <v>0</v>
      </c>
      <c r="AC43" s="210">
        <v>0</v>
      </c>
      <c r="AD43" s="210">
        <v>0</v>
      </c>
      <c r="AE43" s="210">
        <v>0</v>
      </c>
      <c r="AF43" s="210">
        <v>22407125</v>
      </c>
      <c r="AG43" s="210">
        <v>0</v>
      </c>
      <c r="AH43" s="368">
        <v>0</v>
      </c>
      <c r="AI43" s="368">
        <v>0</v>
      </c>
      <c r="AJ43" s="368">
        <v>0</v>
      </c>
      <c r="AK43" s="210">
        <f t="shared" si="21"/>
        <v>22407125</v>
      </c>
      <c r="AL43" s="389"/>
      <c r="AM43" s="404">
        <f t="shared" si="1"/>
        <v>-1</v>
      </c>
      <c r="AN43" s="404">
        <f t="shared" si="2"/>
        <v>-1</v>
      </c>
      <c r="AO43" s="404">
        <f t="shared" si="3"/>
        <v>-1</v>
      </c>
      <c r="AP43" s="404">
        <f t="shared" si="4"/>
        <v>-1</v>
      </c>
      <c r="AQ43" s="404">
        <f t="shared" si="5"/>
        <v>-1</v>
      </c>
      <c r="AR43" s="404">
        <f t="shared" si="6"/>
        <v>0.9596000072471651</v>
      </c>
      <c r="AS43" s="404">
        <f t="shared" si="7"/>
        <v>-1</v>
      </c>
      <c r="AT43" s="404">
        <f t="shared" si="8"/>
        <v>-1</v>
      </c>
      <c r="AU43" s="404">
        <f t="shared" si="9"/>
        <v>-1</v>
      </c>
      <c r="AV43" s="404">
        <f t="shared" si="10"/>
        <v>-1</v>
      </c>
      <c r="AW43" s="404">
        <f t="shared" si="11"/>
        <v>0.9596000072471651</v>
      </c>
    </row>
    <row r="44" spans="1:49" x14ac:dyDescent="0.25">
      <c r="A44" s="341">
        <v>2112114</v>
      </c>
      <c r="B44" s="341" t="s">
        <v>513</v>
      </c>
      <c r="C44" s="368">
        <v>419208140</v>
      </c>
      <c r="D44" s="368">
        <v>0</v>
      </c>
      <c r="E44" s="368">
        <v>0</v>
      </c>
      <c r="F44" s="368">
        <v>0</v>
      </c>
      <c r="G44" s="368">
        <f t="shared" si="61"/>
        <v>419208140</v>
      </c>
      <c r="H44" s="58">
        <v>419208141</v>
      </c>
      <c r="I44" s="210">
        <v>34934011.75</v>
      </c>
      <c r="J44" s="210">
        <v>34934011.75</v>
      </c>
      <c r="K44" s="210">
        <v>34934011.75</v>
      </c>
      <c r="L44" s="210">
        <v>34934011.75</v>
      </c>
      <c r="M44" s="210">
        <v>34934011.75</v>
      </c>
      <c r="N44" s="210">
        <v>34934011.75</v>
      </c>
      <c r="O44" s="210">
        <v>34934011.75</v>
      </c>
      <c r="P44" s="210">
        <v>34934011.75</v>
      </c>
      <c r="Q44" s="210">
        <v>34934011.75</v>
      </c>
      <c r="R44" s="210">
        <v>34934011.75</v>
      </c>
      <c r="S44" s="210">
        <v>34934011.75</v>
      </c>
      <c r="T44" s="210">
        <v>34934011.75</v>
      </c>
      <c r="U44" s="412">
        <f t="shared" si="22"/>
        <v>349340117.5</v>
      </c>
      <c r="V44" s="58">
        <f t="shared" si="20"/>
        <v>419208141</v>
      </c>
      <c r="W44" s="396">
        <f t="shared" si="18"/>
        <v>419208140</v>
      </c>
      <c r="X44" s="396">
        <f t="shared" si="19"/>
        <v>-1</v>
      </c>
      <c r="Y44" s="396"/>
      <c r="AA44" s="210">
        <v>0</v>
      </c>
      <c r="AB44" s="210">
        <v>0</v>
      </c>
      <c r="AC44" s="210">
        <v>0</v>
      </c>
      <c r="AD44" s="210">
        <v>30846</v>
      </c>
      <c r="AE44" s="210">
        <v>0</v>
      </c>
      <c r="AF44" s="210">
        <v>0</v>
      </c>
      <c r="AG44" s="210">
        <v>0</v>
      </c>
      <c r="AH44" s="368">
        <v>0</v>
      </c>
      <c r="AI44" s="368">
        <v>0</v>
      </c>
      <c r="AJ44" s="368">
        <v>0</v>
      </c>
      <c r="AK44" s="210">
        <f t="shared" si="21"/>
        <v>30846</v>
      </c>
      <c r="AL44" s="389"/>
      <c r="AM44" s="404">
        <f t="shared" si="1"/>
        <v>-1</v>
      </c>
      <c r="AN44" s="404">
        <f t="shared" si="2"/>
        <v>-1</v>
      </c>
      <c r="AO44" s="404">
        <f t="shared" si="3"/>
        <v>-1</v>
      </c>
      <c r="AP44" s="404">
        <f t="shared" si="4"/>
        <v>-0.99911702096453325</v>
      </c>
      <c r="AQ44" s="404">
        <f t="shared" si="5"/>
        <v>-1</v>
      </c>
      <c r="AR44" s="404">
        <f t="shared" si="6"/>
        <v>-1</v>
      </c>
      <c r="AS44" s="404">
        <f t="shared" si="7"/>
        <v>-1</v>
      </c>
      <c r="AT44" s="404">
        <f t="shared" si="8"/>
        <v>-1</v>
      </c>
      <c r="AU44" s="404">
        <f t="shared" si="9"/>
        <v>-1</v>
      </c>
      <c r="AV44" s="404">
        <f t="shared" si="10"/>
        <v>-1</v>
      </c>
      <c r="AW44" s="404">
        <f t="shared" si="11"/>
        <v>-0.99911702096453325</v>
      </c>
    </row>
    <row r="45" spans="1:49" x14ac:dyDescent="0.25">
      <c r="A45" s="341">
        <v>2112115</v>
      </c>
      <c r="B45" s="341" t="s">
        <v>514</v>
      </c>
      <c r="C45" s="368">
        <v>60763988</v>
      </c>
      <c r="D45" s="368">
        <v>0</v>
      </c>
      <c r="E45" s="368">
        <v>0</v>
      </c>
      <c r="F45" s="368">
        <v>0</v>
      </c>
      <c r="G45" s="368">
        <f t="shared" si="61"/>
        <v>60763988</v>
      </c>
      <c r="H45" s="58">
        <v>60763987.439999998</v>
      </c>
      <c r="I45" s="210">
        <v>5063665.6100000003</v>
      </c>
      <c r="J45" s="210">
        <v>5063665.6100000003</v>
      </c>
      <c r="K45" s="210">
        <v>5063665.6100000003</v>
      </c>
      <c r="L45" s="210">
        <v>5063665.6100000003</v>
      </c>
      <c r="M45" s="210">
        <v>5063665.6100000003</v>
      </c>
      <c r="N45" s="210">
        <v>5063665.6100000003</v>
      </c>
      <c r="O45" s="210">
        <v>5063665.6100000003</v>
      </c>
      <c r="P45" s="210">
        <v>5063665.6100000003</v>
      </c>
      <c r="Q45" s="210">
        <v>5063665.6100000003</v>
      </c>
      <c r="R45" s="210">
        <v>5063665.6100000003</v>
      </c>
      <c r="S45" s="210">
        <v>5063665.6100000003</v>
      </c>
      <c r="T45" s="210">
        <v>5063665.7300000004</v>
      </c>
      <c r="U45" s="412">
        <f t="shared" si="22"/>
        <v>50636656.100000001</v>
      </c>
      <c r="V45" s="58">
        <f t="shared" si="20"/>
        <v>60763987.439999998</v>
      </c>
      <c r="W45" s="396">
        <f t="shared" si="18"/>
        <v>60763988</v>
      </c>
      <c r="X45" s="396">
        <f t="shared" si="19"/>
        <v>0.56000000238418579</v>
      </c>
      <c r="Y45" s="396"/>
      <c r="AA45" s="210">
        <v>0</v>
      </c>
      <c r="AB45" s="210">
        <v>0</v>
      </c>
      <c r="AC45" s="210">
        <v>0</v>
      </c>
      <c r="AD45" s="210">
        <v>47998</v>
      </c>
      <c r="AE45" s="210">
        <v>0</v>
      </c>
      <c r="AF45" s="210">
        <v>0</v>
      </c>
      <c r="AG45" s="210">
        <v>0</v>
      </c>
      <c r="AH45" s="368">
        <v>0</v>
      </c>
      <c r="AI45" s="368">
        <v>0</v>
      </c>
      <c r="AJ45" s="368">
        <v>0</v>
      </c>
      <c r="AK45" s="210">
        <f t="shared" si="21"/>
        <v>47998</v>
      </c>
      <c r="AL45" s="389"/>
      <c r="AM45" s="404">
        <f t="shared" si="1"/>
        <v>-1</v>
      </c>
      <c r="AN45" s="404">
        <f t="shared" si="2"/>
        <v>-1</v>
      </c>
      <c r="AO45" s="404">
        <f t="shared" si="3"/>
        <v>-1</v>
      </c>
      <c r="AP45" s="404">
        <f t="shared" si="4"/>
        <v>-0.99052109604054206</v>
      </c>
      <c r="AQ45" s="404">
        <f t="shared" si="5"/>
        <v>-1</v>
      </c>
      <c r="AR45" s="404">
        <f t="shared" si="6"/>
        <v>-1</v>
      </c>
      <c r="AS45" s="404">
        <f t="shared" si="7"/>
        <v>-1</v>
      </c>
      <c r="AT45" s="404">
        <f t="shared" si="8"/>
        <v>-1</v>
      </c>
      <c r="AU45" s="404">
        <f t="shared" si="9"/>
        <v>-1</v>
      </c>
      <c r="AV45" s="404">
        <f t="shared" si="10"/>
        <v>-1</v>
      </c>
      <c r="AW45" s="404">
        <f t="shared" si="11"/>
        <v>-0.99052109604054206</v>
      </c>
    </row>
    <row r="46" spans="1:49" s="70" customFormat="1" x14ac:dyDescent="0.25">
      <c r="A46" s="341">
        <v>2112116</v>
      </c>
      <c r="B46" s="341" t="s">
        <v>515</v>
      </c>
      <c r="C46" s="368">
        <v>146760056</v>
      </c>
      <c r="D46" s="368">
        <v>0</v>
      </c>
      <c r="E46" s="368">
        <v>0</v>
      </c>
      <c r="F46" s="368">
        <v>0</v>
      </c>
      <c r="G46" s="368">
        <f t="shared" si="61"/>
        <v>146760056</v>
      </c>
      <c r="H46" s="58">
        <v>146760055.84999999</v>
      </c>
      <c r="I46" s="210">
        <v>10278874.75</v>
      </c>
      <c r="J46" s="210">
        <v>10278874.75</v>
      </c>
      <c r="K46" s="210">
        <v>10278874.75</v>
      </c>
      <c r="L46" s="210">
        <v>10278874.75</v>
      </c>
      <c r="M46" s="210">
        <v>10278874.75</v>
      </c>
      <c r="N46" s="210">
        <v>10278874.75</v>
      </c>
      <c r="O46" s="210">
        <v>10278874.75</v>
      </c>
      <c r="P46" s="210">
        <v>10278874.75</v>
      </c>
      <c r="Q46" s="210">
        <v>10278874.75</v>
      </c>
      <c r="R46" s="210">
        <v>10278874.75</v>
      </c>
      <c r="S46" s="210">
        <v>10278874.75</v>
      </c>
      <c r="T46" s="210">
        <v>33692433.600000001</v>
      </c>
      <c r="U46" s="412">
        <f t="shared" si="22"/>
        <v>102788747.5</v>
      </c>
      <c r="V46" s="58">
        <f t="shared" si="20"/>
        <v>146760055.84999999</v>
      </c>
      <c r="W46" s="396">
        <f t="shared" si="18"/>
        <v>146760056</v>
      </c>
      <c r="X46" s="396">
        <f t="shared" si="19"/>
        <v>0.15000000596046448</v>
      </c>
      <c r="Y46" s="396"/>
      <c r="Z46" s="55"/>
      <c r="AA46" s="210">
        <v>0</v>
      </c>
      <c r="AB46" s="210">
        <v>0</v>
      </c>
      <c r="AC46" s="210">
        <v>0</v>
      </c>
      <c r="AD46" s="210">
        <v>0</v>
      </c>
      <c r="AE46" s="210">
        <v>0</v>
      </c>
      <c r="AF46" s="210">
        <v>98743962</v>
      </c>
      <c r="AG46" s="210">
        <v>17930552</v>
      </c>
      <c r="AH46" s="368">
        <v>0</v>
      </c>
      <c r="AI46" s="368">
        <v>0</v>
      </c>
      <c r="AJ46" s="368">
        <v>0</v>
      </c>
      <c r="AK46" s="210">
        <f t="shared" si="21"/>
        <v>116674514</v>
      </c>
      <c r="AL46" s="389"/>
      <c r="AM46" s="404">
        <f t="shared" si="1"/>
        <v>-1</v>
      </c>
      <c r="AN46" s="404">
        <f t="shared" si="2"/>
        <v>-1</v>
      </c>
      <c r="AO46" s="404">
        <f t="shared" si="3"/>
        <v>-1</v>
      </c>
      <c r="AP46" s="404">
        <f t="shared" si="4"/>
        <v>-1</v>
      </c>
      <c r="AQ46" s="404">
        <f t="shared" si="5"/>
        <v>-1</v>
      </c>
      <c r="AR46" s="404">
        <f t="shared" si="6"/>
        <v>8.6064953024162492</v>
      </c>
      <c r="AS46" s="404">
        <f t="shared" si="7"/>
        <v>0.74440806373285173</v>
      </c>
      <c r="AT46" s="404">
        <f t="shared" si="8"/>
        <v>-1</v>
      </c>
      <c r="AU46" s="404">
        <f t="shared" si="9"/>
        <v>-1</v>
      </c>
      <c r="AV46" s="404">
        <f t="shared" si="10"/>
        <v>-1</v>
      </c>
      <c r="AW46" s="404">
        <f t="shared" si="11"/>
        <v>10.350903366149101</v>
      </c>
    </row>
    <row r="47" spans="1:49" x14ac:dyDescent="0.25">
      <c r="A47" s="341">
        <v>2112117</v>
      </c>
      <c r="B47" s="341" t="s">
        <v>516</v>
      </c>
      <c r="C47" s="368">
        <v>80449599</v>
      </c>
      <c r="D47" s="368">
        <v>0</v>
      </c>
      <c r="E47" s="368">
        <v>0</v>
      </c>
      <c r="F47" s="368">
        <v>0</v>
      </c>
      <c r="G47" s="368">
        <f t="shared" si="61"/>
        <v>80449599</v>
      </c>
      <c r="H47" s="58">
        <v>80449598.769999996</v>
      </c>
      <c r="I47" s="210">
        <v>5609033.9199999999</v>
      </c>
      <c r="J47" s="210">
        <v>5609033.9199999999</v>
      </c>
      <c r="K47" s="210">
        <v>5609033.9199999999</v>
      </c>
      <c r="L47" s="210">
        <v>5609033.9199999999</v>
      </c>
      <c r="M47" s="210">
        <v>5609033.9199999999</v>
      </c>
      <c r="N47" s="210">
        <v>5609033.9199999999</v>
      </c>
      <c r="O47" s="210">
        <v>5609033.9199999999</v>
      </c>
      <c r="P47" s="210">
        <v>5609033.9199999999</v>
      </c>
      <c r="Q47" s="210">
        <v>5609033.9199999999</v>
      </c>
      <c r="R47" s="210">
        <v>5609033.9199999999</v>
      </c>
      <c r="S47" s="210">
        <v>5609033.9199999999</v>
      </c>
      <c r="T47" s="210">
        <v>18750225.649999999</v>
      </c>
      <c r="U47" s="412">
        <f t="shared" si="22"/>
        <v>56090339.20000001</v>
      </c>
      <c r="V47" s="58">
        <f t="shared" si="20"/>
        <v>80449598.770000011</v>
      </c>
      <c r="W47" s="396">
        <f t="shared" si="18"/>
        <v>80449599</v>
      </c>
      <c r="X47" s="396">
        <f t="shared" si="19"/>
        <v>0.22999998927116394</v>
      </c>
      <c r="Y47" s="396"/>
      <c r="AA47" s="210">
        <v>1280818</v>
      </c>
      <c r="AB47" s="210">
        <v>0</v>
      </c>
      <c r="AC47" s="210">
        <v>0</v>
      </c>
      <c r="AD47" s="210">
        <v>0</v>
      </c>
      <c r="AE47" s="210">
        <v>0</v>
      </c>
      <c r="AF47" s="210">
        <v>11856602</v>
      </c>
      <c r="AG47" s="210">
        <v>0</v>
      </c>
      <c r="AH47" s="368">
        <v>0</v>
      </c>
      <c r="AI47" s="368">
        <v>0</v>
      </c>
      <c r="AJ47" s="368">
        <v>0</v>
      </c>
      <c r="AK47" s="210">
        <f t="shared" si="21"/>
        <v>13137420</v>
      </c>
      <c r="AL47" s="389"/>
      <c r="AM47" s="404">
        <f t="shared" si="1"/>
        <v>-0.77165087281197975</v>
      </c>
      <c r="AN47" s="404">
        <f t="shared" si="2"/>
        <v>-1</v>
      </c>
      <c r="AO47" s="404">
        <f t="shared" si="3"/>
        <v>-1</v>
      </c>
      <c r="AP47" s="404">
        <f t="shared" si="4"/>
        <v>-1</v>
      </c>
      <c r="AQ47" s="404">
        <f t="shared" si="5"/>
        <v>-1</v>
      </c>
      <c r="AR47" s="404">
        <f t="shared" si="6"/>
        <v>1.113840309954838</v>
      </c>
      <c r="AS47" s="404">
        <f t="shared" si="7"/>
        <v>-1</v>
      </c>
      <c r="AT47" s="404">
        <f t="shared" si="8"/>
        <v>-1</v>
      </c>
      <c r="AU47" s="404">
        <f t="shared" si="9"/>
        <v>-1</v>
      </c>
      <c r="AV47" s="404">
        <f t="shared" si="10"/>
        <v>-1</v>
      </c>
      <c r="AW47" s="404">
        <f t="shared" si="11"/>
        <v>1.3421894371428582</v>
      </c>
    </row>
    <row r="48" spans="1:49" x14ac:dyDescent="0.25">
      <c r="A48" s="339">
        <v>2112118</v>
      </c>
      <c r="B48" s="339" t="s">
        <v>12</v>
      </c>
      <c r="C48" s="367">
        <f>+C49+C50</f>
        <v>1716486018</v>
      </c>
      <c r="D48" s="367">
        <f t="shared" ref="D48:G48" si="63">+D49+D50</f>
        <v>0</v>
      </c>
      <c r="E48" s="367">
        <f t="shared" si="63"/>
        <v>0</v>
      </c>
      <c r="F48" s="367">
        <f t="shared" si="63"/>
        <v>0</v>
      </c>
      <c r="G48" s="367">
        <f t="shared" si="63"/>
        <v>1716486018</v>
      </c>
      <c r="H48" s="57">
        <f>+H49+H50</f>
        <v>1716486017.27</v>
      </c>
      <c r="I48" s="208">
        <f t="shared" ref="I48:V48" si="64">+I49+I50</f>
        <v>81260382.170000002</v>
      </c>
      <c r="J48" s="208">
        <f t="shared" si="64"/>
        <v>81260382.170000002</v>
      </c>
      <c r="K48" s="208">
        <f t="shared" si="64"/>
        <v>81260382.170000002</v>
      </c>
      <c r="L48" s="208">
        <f t="shared" si="64"/>
        <v>81260382.170000002</v>
      </c>
      <c r="M48" s="208">
        <f t="shared" si="64"/>
        <v>81260382.170000002</v>
      </c>
      <c r="N48" s="208">
        <f t="shared" si="64"/>
        <v>86876682.170000002</v>
      </c>
      <c r="O48" s="208">
        <f t="shared" si="64"/>
        <v>81260382.170000002</v>
      </c>
      <c r="P48" s="208">
        <f t="shared" si="64"/>
        <v>81260382.170000002</v>
      </c>
      <c r="Q48" s="208">
        <f t="shared" si="64"/>
        <v>81260382.170000002</v>
      </c>
      <c r="R48" s="208">
        <f t="shared" si="64"/>
        <v>81260382.170000002</v>
      </c>
      <c r="S48" s="208">
        <f t="shared" si="64"/>
        <v>86876682.170000002</v>
      </c>
      <c r="T48" s="208">
        <f t="shared" si="64"/>
        <v>811389213.39999998</v>
      </c>
      <c r="U48" s="413">
        <f t="shared" si="22"/>
        <v>818220121.69999993</v>
      </c>
      <c r="V48" s="57">
        <f t="shared" si="64"/>
        <v>1716486017.27</v>
      </c>
      <c r="W48" s="396">
        <f t="shared" si="18"/>
        <v>1716486018</v>
      </c>
      <c r="X48" s="396">
        <f t="shared" si="19"/>
        <v>0.73000001907348633</v>
      </c>
      <c r="Y48" s="396"/>
      <c r="AA48" s="209">
        <f>+AA49+AA50</f>
        <v>4703563</v>
      </c>
      <c r="AB48" s="209">
        <f t="shared" ref="AB48:AG48" si="65">+AB49+AB50</f>
        <v>4000000</v>
      </c>
      <c r="AC48" s="209">
        <f t="shared" si="65"/>
        <v>21080410</v>
      </c>
      <c r="AD48" s="209">
        <f t="shared" si="65"/>
        <v>0</v>
      </c>
      <c r="AE48" s="209">
        <f t="shared" si="65"/>
        <v>0</v>
      </c>
      <c r="AF48" s="209">
        <f t="shared" si="65"/>
        <v>812292274</v>
      </c>
      <c r="AG48" s="209">
        <f t="shared" si="65"/>
        <v>0</v>
      </c>
      <c r="AH48" s="367">
        <v>50000000</v>
      </c>
      <c r="AI48" s="367">
        <v>52750000</v>
      </c>
      <c r="AJ48" s="367">
        <v>80000000</v>
      </c>
      <c r="AK48" s="209">
        <f t="shared" si="21"/>
        <v>1024826247</v>
      </c>
      <c r="AL48" s="388"/>
      <c r="AM48" s="405">
        <f t="shared" si="1"/>
        <v>-0.94211739011810258</v>
      </c>
      <c r="AN48" s="405">
        <f t="shared" si="2"/>
        <v>-0.95077552070045845</v>
      </c>
      <c r="AO48" s="405">
        <f t="shared" si="3"/>
        <v>-0.74058194858228787</v>
      </c>
      <c r="AP48" s="405">
        <f t="shared" si="4"/>
        <v>-1</v>
      </c>
      <c r="AQ48" s="405">
        <f t="shared" si="5"/>
        <v>-1</v>
      </c>
      <c r="AR48" s="405">
        <f t="shared" si="6"/>
        <v>8.3499458509535298</v>
      </c>
      <c r="AS48" s="405">
        <f t="shared" si="7"/>
        <v>-1</v>
      </c>
      <c r="AT48" s="405">
        <f t="shared" si="8"/>
        <v>-0.38469400875573068</v>
      </c>
      <c r="AU48" s="405">
        <f t="shared" si="9"/>
        <v>-0.35085217923729589</v>
      </c>
      <c r="AV48" s="405">
        <f t="shared" si="10"/>
        <v>-1.5510414009169086E-2</v>
      </c>
      <c r="AW48" s="405">
        <f t="shared" si="11"/>
        <v>10.796332702883651</v>
      </c>
    </row>
    <row r="49" spans="1:49" x14ac:dyDescent="0.25">
      <c r="A49" s="341">
        <v>21121181</v>
      </c>
      <c r="B49" s="342" t="s">
        <v>517</v>
      </c>
      <c r="C49" s="368">
        <v>740067090</v>
      </c>
      <c r="D49" s="368">
        <v>0</v>
      </c>
      <c r="E49" s="368">
        <v>0</v>
      </c>
      <c r="F49" s="368">
        <v>0</v>
      </c>
      <c r="G49" s="368">
        <f t="shared" ref="G49:G51" si="66">+C49+D49-E49+F49</f>
        <v>740067090</v>
      </c>
      <c r="H49" s="58">
        <v>740067089.26999998</v>
      </c>
      <c r="I49" s="210">
        <v>0</v>
      </c>
      <c r="J49" s="210">
        <v>0</v>
      </c>
      <c r="K49" s="210">
        <v>0</v>
      </c>
      <c r="L49" s="210">
        <v>0</v>
      </c>
      <c r="M49" s="210">
        <v>0</v>
      </c>
      <c r="N49" s="210">
        <v>0</v>
      </c>
      <c r="O49" s="210">
        <v>0</v>
      </c>
      <c r="P49" s="210">
        <v>0</v>
      </c>
      <c r="Q49" s="210">
        <v>0</v>
      </c>
      <c r="R49" s="210">
        <v>0</v>
      </c>
      <c r="S49" s="210">
        <v>0</v>
      </c>
      <c r="T49" s="210">
        <v>740067089.26999998</v>
      </c>
      <c r="U49" s="412">
        <f t="shared" si="22"/>
        <v>0</v>
      </c>
      <c r="V49" s="58">
        <f t="shared" si="20"/>
        <v>740067089.26999998</v>
      </c>
      <c r="W49" s="396">
        <f t="shared" si="18"/>
        <v>740067090</v>
      </c>
      <c r="X49" s="396">
        <f t="shared" si="19"/>
        <v>0.73000001907348633</v>
      </c>
      <c r="Y49" s="396"/>
      <c r="AA49" s="210">
        <v>0</v>
      </c>
      <c r="AB49" s="210">
        <v>0</v>
      </c>
      <c r="AC49" s="210">
        <v>0</v>
      </c>
      <c r="AD49" s="210">
        <v>0</v>
      </c>
      <c r="AE49" s="210">
        <v>0</v>
      </c>
      <c r="AF49" s="210">
        <v>371634604.5</v>
      </c>
      <c r="AG49" s="210">
        <v>0</v>
      </c>
      <c r="AH49" s="368">
        <v>25000000</v>
      </c>
      <c r="AI49" s="368">
        <v>25900000</v>
      </c>
      <c r="AJ49" s="368">
        <v>0</v>
      </c>
      <c r="AK49" s="210">
        <f t="shared" si="21"/>
        <v>422534604.5</v>
      </c>
      <c r="AL49" s="387"/>
      <c r="AM49" s="404" t="e">
        <f t="shared" si="1"/>
        <v>#DIV/0!</v>
      </c>
      <c r="AN49" s="404" t="e">
        <f t="shared" si="2"/>
        <v>#DIV/0!</v>
      </c>
      <c r="AO49" s="404" t="e">
        <f t="shared" si="3"/>
        <v>#DIV/0!</v>
      </c>
      <c r="AP49" s="404" t="e">
        <f t="shared" si="4"/>
        <v>#DIV/0!</v>
      </c>
      <c r="AQ49" s="404" t="e">
        <f t="shared" si="5"/>
        <v>#DIV/0!</v>
      </c>
      <c r="AR49" s="404" t="e">
        <f t="shared" si="6"/>
        <v>#DIV/0!</v>
      </c>
      <c r="AS49" s="404" t="e">
        <f t="shared" si="7"/>
        <v>#DIV/0!</v>
      </c>
      <c r="AT49" s="404" t="e">
        <f t="shared" si="8"/>
        <v>#DIV/0!</v>
      </c>
      <c r="AU49" s="404" t="e">
        <f t="shared" si="9"/>
        <v>#DIV/0!</v>
      </c>
      <c r="AV49" s="404" t="e">
        <f t="shared" si="10"/>
        <v>#DIV/0!</v>
      </c>
      <c r="AW49" s="404" t="e">
        <f t="shared" si="11"/>
        <v>#DIV/0!</v>
      </c>
    </row>
    <row r="50" spans="1:49" s="70" customFormat="1" x14ac:dyDescent="0.25">
      <c r="A50" s="341">
        <v>21121182</v>
      </c>
      <c r="B50" s="342" t="s">
        <v>518</v>
      </c>
      <c r="C50" s="368">
        <v>976418928</v>
      </c>
      <c r="D50" s="368">
        <v>0</v>
      </c>
      <c r="E50" s="368">
        <v>0</v>
      </c>
      <c r="F50" s="368">
        <v>0</v>
      </c>
      <c r="G50" s="368">
        <f t="shared" si="66"/>
        <v>976418928</v>
      </c>
      <c r="H50" s="58">
        <f>1143909900.42-167490972.42</f>
        <v>976418928.00000012</v>
      </c>
      <c r="I50" s="210">
        <v>81260382.170000002</v>
      </c>
      <c r="J50" s="210">
        <v>81260382.170000002</v>
      </c>
      <c r="K50" s="210">
        <v>81260382.170000002</v>
      </c>
      <c r="L50" s="210">
        <v>81260382.170000002</v>
      </c>
      <c r="M50" s="210">
        <v>81260382.170000002</v>
      </c>
      <c r="N50" s="210">
        <v>86876682.170000002</v>
      </c>
      <c r="O50" s="210">
        <v>81260382.170000002</v>
      </c>
      <c r="P50" s="210">
        <v>81260382.170000002</v>
      </c>
      <c r="Q50" s="210">
        <v>81260382.170000002</v>
      </c>
      <c r="R50" s="210">
        <v>81260382.170000002</v>
      </c>
      <c r="S50" s="210">
        <v>86876682.170000002</v>
      </c>
      <c r="T50" s="210">
        <f>238813096.55-167490972.42</f>
        <v>71322124.130000025</v>
      </c>
      <c r="U50" s="412">
        <f t="shared" si="22"/>
        <v>818220121.69999993</v>
      </c>
      <c r="V50" s="58">
        <f t="shared" si="20"/>
        <v>976418927.99999988</v>
      </c>
      <c r="W50" s="396">
        <f t="shared" si="18"/>
        <v>976418928</v>
      </c>
      <c r="X50" s="396">
        <f t="shared" si="19"/>
        <v>0</v>
      </c>
      <c r="Y50" s="396"/>
      <c r="Z50" s="55"/>
      <c r="AA50" s="210">
        <v>4703563</v>
      </c>
      <c r="AB50" s="210">
        <v>4000000</v>
      </c>
      <c r="AC50" s="210">
        <v>21080410</v>
      </c>
      <c r="AD50" s="210">
        <v>0</v>
      </c>
      <c r="AE50" s="210">
        <v>0</v>
      </c>
      <c r="AF50" s="210">
        <v>440657669.5</v>
      </c>
      <c r="AG50" s="210">
        <v>0</v>
      </c>
      <c r="AH50" s="368">
        <v>25000000</v>
      </c>
      <c r="AI50" s="368">
        <v>26850000</v>
      </c>
      <c r="AJ50" s="368">
        <v>80000000</v>
      </c>
      <c r="AK50" s="210">
        <f t="shared" si="21"/>
        <v>602291642.5</v>
      </c>
      <c r="AL50" s="387"/>
      <c r="AM50" s="404">
        <f t="shared" si="1"/>
        <v>-0.94211739011810258</v>
      </c>
      <c r="AN50" s="404">
        <f t="shared" si="2"/>
        <v>-0.95077552070045845</v>
      </c>
      <c r="AO50" s="404">
        <f t="shared" si="3"/>
        <v>-0.74058194858228787</v>
      </c>
      <c r="AP50" s="404">
        <f t="shared" si="4"/>
        <v>-1</v>
      </c>
      <c r="AQ50" s="404">
        <f t="shared" si="5"/>
        <v>-1</v>
      </c>
      <c r="AR50" s="404">
        <f t="shared" si="6"/>
        <v>4.0722202838930075</v>
      </c>
      <c r="AS50" s="404">
        <f t="shared" si="7"/>
        <v>-1</v>
      </c>
      <c r="AT50" s="404">
        <f t="shared" si="8"/>
        <v>-0.69234700437786534</v>
      </c>
      <c r="AU50" s="404">
        <f t="shared" si="9"/>
        <v>-0.66958068270182736</v>
      </c>
      <c r="AV50" s="404">
        <f t="shared" si="10"/>
        <v>-1.5510414009169086E-2</v>
      </c>
      <c r="AW50" s="404">
        <f t="shared" si="11"/>
        <v>5.9327191998589184</v>
      </c>
    </row>
    <row r="51" spans="1:49" x14ac:dyDescent="0.25">
      <c r="A51" s="341">
        <v>2112119</v>
      </c>
      <c r="B51" s="342" t="s">
        <v>531</v>
      </c>
      <c r="C51" s="368">
        <v>65224474</v>
      </c>
      <c r="D51" s="368">
        <v>0</v>
      </c>
      <c r="E51" s="368">
        <v>0</v>
      </c>
      <c r="F51" s="368">
        <v>0</v>
      </c>
      <c r="G51" s="368">
        <f t="shared" si="66"/>
        <v>65224474</v>
      </c>
      <c r="H51" s="59">
        <v>65224474</v>
      </c>
      <c r="I51" s="210">
        <v>5435372.833333333</v>
      </c>
      <c r="J51" s="210">
        <v>5435372.833333333</v>
      </c>
      <c r="K51" s="210">
        <v>5435372.833333333</v>
      </c>
      <c r="L51" s="210">
        <v>5435372.833333333</v>
      </c>
      <c r="M51" s="210">
        <v>5435372.833333333</v>
      </c>
      <c r="N51" s="210">
        <v>5435372.833333333</v>
      </c>
      <c r="O51" s="210">
        <v>5435372.833333333</v>
      </c>
      <c r="P51" s="210">
        <v>5435372.833333333</v>
      </c>
      <c r="Q51" s="210">
        <v>5435372.833333333</v>
      </c>
      <c r="R51" s="210">
        <v>5435372.833333333</v>
      </c>
      <c r="S51" s="210">
        <v>5435372.833333333</v>
      </c>
      <c r="T51" s="210">
        <v>5435372.833333333</v>
      </c>
      <c r="U51" s="412">
        <f t="shared" si="22"/>
        <v>54353728.333333336</v>
      </c>
      <c r="V51" s="58">
        <f t="shared" si="20"/>
        <v>65224474.000000007</v>
      </c>
      <c r="W51" s="396">
        <f t="shared" si="18"/>
        <v>65224474</v>
      </c>
      <c r="X51" s="396">
        <f t="shared" si="19"/>
        <v>0</v>
      </c>
      <c r="Y51" s="396"/>
      <c r="AA51" s="210">
        <v>0</v>
      </c>
      <c r="AB51" s="210">
        <v>0</v>
      </c>
      <c r="AC51" s="210">
        <v>0</v>
      </c>
      <c r="AD51" s="210">
        <v>0</v>
      </c>
      <c r="AE51" s="210">
        <v>0</v>
      </c>
      <c r="AF51" s="210">
        <v>2264158</v>
      </c>
      <c r="AG51" s="210">
        <v>0</v>
      </c>
      <c r="AH51" s="368">
        <v>0</v>
      </c>
      <c r="AI51" s="368">
        <v>0</v>
      </c>
      <c r="AJ51" s="368">
        <v>0</v>
      </c>
      <c r="AK51" s="210">
        <f t="shared" si="21"/>
        <v>2264158</v>
      </c>
      <c r="AL51" s="387"/>
      <c r="AM51" s="404">
        <f t="shared" si="1"/>
        <v>-1</v>
      </c>
      <c r="AN51" s="404">
        <f t="shared" si="2"/>
        <v>-1</v>
      </c>
      <c r="AO51" s="404">
        <f t="shared" si="3"/>
        <v>-1</v>
      </c>
      <c r="AP51" s="404">
        <f t="shared" si="4"/>
        <v>-1</v>
      </c>
      <c r="AQ51" s="404">
        <f t="shared" si="5"/>
        <v>-1</v>
      </c>
      <c r="AR51" s="404">
        <f t="shared" si="6"/>
        <v>-0.58344016695328194</v>
      </c>
      <c r="AS51" s="404">
        <f t="shared" si="7"/>
        <v>-1</v>
      </c>
      <c r="AT51" s="404">
        <f t="shared" si="8"/>
        <v>-1</v>
      </c>
      <c r="AU51" s="404">
        <f t="shared" si="9"/>
        <v>-1</v>
      </c>
      <c r="AV51" s="404">
        <f t="shared" si="10"/>
        <v>-1</v>
      </c>
      <c r="AW51" s="404">
        <f t="shared" si="11"/>
        <v>-0.58344016695328194</v>
      </c>
    </row>
    <row r="52" spans="1:49" ht="30" x14ac:dyDescent="0.25">
      <c r="A52" s="339">
        <v>21122</v>
      </c>
      <c r="B52" s="340" t="s">
        <v>14</v>
      </c>
      <c r="C52" s="367">
        <f>SUM(C53:C58)</f>
        <v>4794961154</v>
      </c>
      <c r="D52" s="367">
        <f t="shared" ref="D52:G52" si="67">SUM(D53:D58)</f>
        <v>0</v>
      </c>
      <c r="E52" s="367">
        <f t="shared" si="67"/>
        <v>0</v>
      </c>
      <c r="F52" s="367">
        <f t="shared" si="67"/>
        <v>0</v>
      </c>
      <c r="G52" s="367">
        <f t="shared" si="67"/>
        <v>4794961154</v>
      </c>
      <c r="H52" s="57">
        <f>SUM(H53:H58)</f>
        <v>4794961154</v>
      </c>
      <c r="I52" s="208">
        <f t="shared" ref="I52:V52" si="68">SUM(I53:I58)</f>
        <v>363782840.69</v>
      </c>
      <c r="J52" s="208">
        <f t="shared" si="68"/>
        <v>367382840.69</v>
      </c>
      <c r="K52" s="208">
        <f t="shared" si="68"/>
        <v>395508012.69</v>
      </c>
      <c r="L52" s="208">
        <f t="shared" si="68"/>
        <v>394008012.69</v>
      </c>
      <c r="M52" s="208">
        <f t="shared" si="68"/>
        <v>394008012.69</v>
      </c>
      <c r="N52" s="208">
        <f t="shared" si="68"/>
        <v>399546207.69</v>
      </c>
      <c r="O52" s="208">
        <f t="shared" si="68"/>
        <v>365582840.69</v>
      </c>
      <c r="P52" s="208">
        <f t="shared" si="68"/>
        <v>397608012.69</v>
      </c>
      <c r="Q52" s="208">
        <f t="shared" si="68"/>
        <v>394008012.69</v>
      </c>
      <c r="R52" s="208">
        <f t="shared" si="68"/>
        <v>394008012.69</v>
      </c>
      <c r="S52" s="208">
        <f t="shared" si="68"/>
        <v>402331989.69</v>
      </c>
      <c r="T52" s="208">
        <f t="shared" si="68"/>
        <v>527186358.41000003</v>
      </c>
      <c r="U52" s="413">
        <f t="shared" si="22"/>
        <v>3865442805.9000001</v>
      </c>
      <c r="V52" s="57">
        <f t="shared" si="68"/>
        <v>4794961154</v>
      </c>
      <c r="W52" s="396">
        <f t="shared" si="18"/>
        <v>4794961154</v>
      </c>
      <c r="X52" s="396">
        <f t="shared" si="19"/>
        <v>0</v>
      </c>
      <c r="Y52" s="396"/>
      <c r="AA52" s="209">
        <f>SUM(AA53:AA58)</f>
        <v>139076125</v>
      </c>
      <c r="AB52" s="209">
        <f t="shared" ref="AB52:AG52" si="69">SUM(AB53:AB58)</f>
        <v>8231328</v>
      </c>
      <c r="AC52" s="209">
        <f t="shared" si="69"/>
        <v>20229007</v>
      </c>
      <c r="AD52" s="209">
        <f t="shared" si="69"/>
        <v>167283251</v>
      </c>
      <c r="AE52" s="209">
        <f t="shared" si="69"/>
        <v>517769877</v>
      </c>
      <c r="AF52" s="209">
        <f t="shared" si="69"/>
        <v>667429889</v>
      </c>
      <c r="AG52" s="209">
        <f t="shared" si="69"/>
        <v>72333059</v>
      </c>
      <c r="AH52" s="367">
        <v>0</v>
      </c>
      <c r="AI52" s="367">
        <v>317005136</v>
      </c>
      <c r="AJ52" s="367">
        <v>236823754</v>
      </c>
      <c r="AK52" s="209">
        <f t="shared" si="21"/>
        <v>2146181426</v>
      </c>
      <c r="AL52" s="386"/>
      <c r="AM52" s="405">
        <f t="shared" si="1"/>
        <v>-0.61769465339209151</v>
      </c>
      <c r="AN52" s="405">
        <f t="shared" si="2"/>
        <v>-0.97759468573834218</v>
      </c>
      <c r="AO52" s="405">
        <f t="shared" si="3"/>
        <v>-0.94885310448601323</v>
      </c>
      <c r="AP52" s="405">
        <f t="shared" si="4"/>
        <v>-0.57543185515971695</v>
      </c>
      <c r="AQ52" s="405">
        <f t="shared" si="5"/>
        <v>0.31411001889287493</v>
      </c>
      <c r="AR52" s="405">
        <f t="shared" si="6"/>
        <v>0.67046983841690133</v>
      </c>
      <c r="AS52" s="405">
        <f t="shared" si="7"/>
        <v>-0.80214317810026647</v>
      </c>
      <c r="AT52" s="405">
        <f t="shared" si="8"/>
        <v>-1</v>
      </c>
      <c r="AU52" s="405">
        <f t="shared" si="9"/>
        <v>-0.19543479881102008</v>
      </c>
      <c r="AV52" s="405">
        <f t="shared" si="10"/>
        <v>-0.39893670592346653</v>
      </c>
      <c r="AW52" s="405">
        <f t="shared" si="11"/>
        <v>4.3343544162462688</v>
      </c>
    </row>
    <row r="53" spans="1:49" x14ac:dyDescent="0.25">
      <c r="A53" s="341">
        <v>211221</v>
      </c>
      <c r="B53" s="342" t="s">
        <v>532</v>
      </c>
      <c r="C53" s="368">
        <v>1515268362</v>
      </c>
      <c r="D53" s="368">
        <v>0</v>
      </c>
      <c r="E53" s="368">
        <v>0</v>
      </c>
      <c r="F53" s="368">
        <v>0</v>
      </c>
      <c r="G53" s="368">
        <f t="shared" ref="G53:G58" si="70">+C53+D53-E53+F53</f>
        <v>1515268362</v>
      </c>
      <c r="H53" s="58">
        <v>1515268362</v>
      </c>
      <c r="I53" s="210">
        <v>117788104.16000001</v>
      </c>
      <c r="J53" s="210">
        <v>117788104.16000001</v>
      </c>
      <c r="K53" s="210">
        <v>130514493.16000001</v>
      </c>
      <c r="L53" s="210">
        <v>130514493.16000001</v>
      </c>
      <c r="M53" s="210">
        <v>130514493.16000001</v>
      </c>
      <c r="N53" s="210">
        <v>130514493.16000001</v>
      </c>
      <c r="O53" s="210">
        <v>117788104.16000001</v>
      </c>
      <c r="P53" s="210">
        <v>130514493.16000001</v>
      </c>
      <c r="Q53" s="210">
        <v>130514493.16000001</v>
      </c>
      <c r="R53" s="210">
        <v>130514493.16000001</v>
      </c>
      <c r="S53" s="210">
        <v>130514493.16000001</v>
      </c>
      <c r="T53" s="210">
        <v>117788104.24000001</v>
      </c>
      <c r="U53" s="412">
        <f t="shared" si="22"/>
        <v>1266965764.6000001</v>
      </c>
      <c r="V53" s="58">
        <f t="shared" si="20"/>
        <v>1515268362.0000002</v>
      </c>
      <c r="W53" s="396">
        <f t="shared" si="18"/>
        <v>1515268362</v>
      </c>
      <c r="X53" s="396">
        <f t="shared" si="19"/>
        <v>0</v>
      </c>
      <c r="Y53" s="396"/>
      <c r="AA53" s="210">
        <v>0</v>
      </c>
      <c r="AB53" s="210">
        <v>4115664</v>
      </c>
      <c r="AC53" s="210">
        <v>10114503.5</v>
      </c>
      <c r="AD53" s="210">
        <v>83641626</v>
      </c>
      <c r="AE53" s="210">
        <v>258884939</v>
      </c>
      <c r="AF53" s="210">
        <v>286803607.5</v>
      </c>
      <c r="AG53" s="210">
        <v>35000000</v>
      </c>
      <c r="AH53" s="368">
        <v>0</v>
      </c>
      <c r="AI53" s="368">
        <v>120252828</v>
      </c>
      <c r="AJ53" s="368">
        <v>35000000</v>
      </c>
      <c r="AK53" s="210">
        <f t="shared" si="21"/>
        <v>833813168</v>
      </c>
      <c r="AL53" s="387"/>
      <c r="AM53" s="404">
        <f t="shared" si="1"/>
        <v>-1</v>
      </c>
      <c r="AN53" s="404">
        <f t="shared" si="2"/>
        <v>-0.96505874655721258</v>
      </c>
      <c r="AO53" s="404">
        <f t="shared" si="3"/>
        <v>-0.92250283278807621</v>
      </c>
      <c r="AP53" s="404">
        <f t="shared" si="4"/>
        <v>-0.35913917316859012</v>
      </c>
      <c r="AQ53" s="404">
        <f t="shared" si="5"/>
        <v>0.98357234305486985</v>
      </c>
      <c r="AR53" s="404">
        <f t="shared" si="6"/>
        <v>1.1974847433104796</v>
      </c>
      <c r="AS53" s="404">
        <f t="shared" si="7"/>
        <v>-0.70285624130211832</v>
      </c>
      <c r="AT53" s="404">
        <f t="shared" si="8"/>
        <v>-1</v>
      </c>
      <c r="AU53" s="404">
        <f t="shared" si="9"/>
        <v>-7.8624717543208447E-2</v>
      </c>
      <c r="AV53" s="404">
        <f t="shared" si="10"/>
        <v>-0.73183054883343202</v>
      </c>
      <c r="AW53" s="404">
        <f t="shared" si="11"/>
        <v>5.3886634182290685</v>
      </c>
    </row>
    <row r="54" spans="1:49" x14ac:dyDescent="0.25">
      <c r="A54" s="341">
        <v>211222</v>
      </c>
      <c r="B54" s="342" t="s">
        <v>533</v>
      </c>
      <c r="C54" s="368">
        <v>1129786699</v>
      </c>
      <c r="D54" s="368">
        <v>0</v>
      </c>
      <c r="E54" s="368">
        <v>0</v>
      </c>
      <c r="F54" s="368">
        <v>0</v>
      </c>
      <c r="G54" s="368">
        <f t="shared" si="70"/>
        <v>1129786699</v>
      </c>
      <c r="H54" s="58">
        <v>1129786699</v>
      </c>
      <c r="I54" s="210">
        <v>88139208.239999995</v>
      </c>
      <c r="J54" s="210">
        <v>88139208.239999995</v>
      </c>
      <c r="K54" s="210">
        <v>97153733.239999995</v>
      </c>
      <c r="L54" s="210">
        <v>97153733.239999995</v>
      </c>
      <c r="M54" s="210">
        <v>97153733.239999995</v>
      </c>
      <c r="N54" s="210">
        <v>97153733.239999995</v>
      </c>
      <c r="O54" s="210">
        <v>88139208.239999995</v>
      </c>
      <c r="P54" s="210">
        <v>97153733.239999995</v>
      </c>
      <c r="Q54" s="210">
        <v>97153733.239999995</v>
      </c>
      <c r="R54" s="210">
        <v>97153733.239999995</v>
      </c>
      <c r="S54" s="210">
        <v>97153733.239999995</v>
      </c>
      <c r="T54" s="210">
        <v>88139208.359999999</v>
      </c>
      <c r="U54" s="412">
        <f t="shared" si="22"/>
        <v>944493757.39999998</v>
      </c>
      <c r="V54" s="58">
        <f t="shared" si="20"/>
        <v>1129786699</v>
      </c>
      <c r="W54" s="396">
        <f t="shared" si="18"/>
        <v>1129786699</v>
      </c>
      <c r="X54" s="396">
        <f t="shared" si="19"/>
        <v>0</v>
      </c>
      <c r="Y54" s="396"/>
      <c r="AA54" s="210">
        <v>0</v>
      </c>
      <c r="AB54" s="210">
        <v>4115664</v>
      </c>
      <c r="AC54" s="210">
        <v>10114503.5</v>
      </c>
      <c r="AD54" s="210">
        <v>83641625</v>
      </c>
      <c r="AE54" s="210">
        <v>258884938</v>
      </c>
      <c r="AF54" s="210">
        <v>261397301.5</v>
      </c>
      <c r="AG54" s="210">
        <v>32000000</v>
      </c>
      <c r="AH54" s="368">
        <v>0</v>
      </c>
      <c r="AI54" s="368">
        <v>71752308</v>
      </c>
      <c r="AJ54" s="368">
        <v>61823754</v>
      </c>
      <c r="AK54" s="210">
        <f t="shared" si="21"/>
        <v>783730094</v>
      </c>
      <c r="AL54" s="387"/>
      <c r="AM54" s="404">
        <f t="shared" si="1"/>
        <v>-1</v>
      </c>
      <c r="AN54" s="404">
        <f t="shared" si="2"/>
        <v>-0.95330495834733175</v>
      </c>
      <c r="AO54" s="404">
        <f t="shared" si="3"/>
        <v>-0.8958917669688099</v>
      </c>
      <c r="AP54" s="404">
        <f t="shared" si="4"/>
        <v>-0.13907966054810139</v>
      </c>
      <c r="AQ54" s="404">
        <f t="shared" si="5"/>
        <v>1.6646936701904549</v>
      </c>
      <c r="AR54" s="404">
        <f t="shared" si="6"/>
        <v>1.6905533403875197</v>
      </c>
      <c r="AS54" s="404">
        <f t="shared" si="7"/>
        <v>-0.63693796848202777</v>
      </c>
      <c r="AT54" s="404">
        <f t="shared" si="8"/>
        <v>-1</v>
      </c>
      <c r="AU54" s="404">
        <f t="shared" si="9"/>
        <v>-0.26145598725733532</v>
      </c>
      <c r="AV54" s="404">
        <f t="shared" si="10"/>
        <v>-0.36365024854705208</v>
      </c>
      <c r="AW54" s="404">
        <f t="shared" si="11"/>
        <v>7.066906621734673</v>
      </c>
    </row>
    <row r="55" spans="1:49" x14ac:dyDescent="0.25">
      <c r="A55" s="341">
        <v>211223</v>
      </c>
      <c r="B55" s="342" t="s">
        <v>525</v>
      </c>
      <c r="C55" s="368">
        <v>1018047988</v>
      </c>
      <c r="D55" s="368">
        <v>0</v>
      </c>
      <c r="E55" s="368">
        <v>0</v>
      </c>
      <c r="F55" s="368">
        <v>0</v>
      </c>
      <c r="G55" s="368">
        <f t="shared" si="70"/>
        <v>1018047988</v>
      </c>
      <c r="H55" s="58">
        <v>1018047988</v>
      </c>
      <c r="I55" s="210">
        <v>69833043.049999997</v>
      </c>
      <c r="J55" s="210">
        <v>69833043.049999997</v>
      </c>
      <c r="K55" s="210">
        <v>69833043.049999997</v>
      </c>
      <c r="L55" s="210">
        <v>69833043.049999997</v>
      </c>
      <c r="M55" s="210">
        <v>69833043.049999997</v>
      </c>
      <c r="N55" s="210">
        <v>78157020.049999997</v>
      </c>
      <c r="O55" s="210">
        <v>69833043.049999997</v>
      </c>
      <c r="P55" s="210">
        <v>69833043.049999997</v>
      </c>
      <c r="Q55" s="210">
        <v>69833043.049999997</v>
      </c>
      <c r="R55" s="210">
        <v>69833043.049999997</v>
      </c>
      <c r="S55" s="210">
        <v>78157020.049999997</v>
      </c>
      <c r="T55" s="210">
        <v>233236560.44999999</v>
      </c>
      <c r="U55" s="412">
        <f t="shared" si="22"/>
        <v>706654407.49999988</v>
      </c>
      <c r="V55" s="58">
        <f t="shared" si="20"/>
        <v>1018047987.9999998</v>
      </c>
      <c r="W55" s="396">
        <f t="shared" si="18"/>
        <v>1018047988</v>
      </c>
      <c r="X55" s="396">
        <f t="shared" si="19"/>
        <v>0</v>
      </c>
      <c r="Y55" s="396"/>
      <c r="AA55" s="210">
        <v>139076125</v>
      </c>
      <c r="AB55" s="210">
        <v>0</v>
      </c>
      <c r="AC55" s="210">
        <v>0</v>
      </c>
      <c r="AD55" s="210">
        <v>0</v>
      </c>
      <c r="AE55" s="210">
        <v>0</v>
      </c>
      <c r="AF55" s="210">
        <v>60306885</v>
      </c>
      <c r="AG55" s="210">
        <v>5333059</v>
      </c>
      <c r="AH55" s="368">
        <v>0</v>
      </c>
      <c r="AI55" s="368">
        <v>125000000</v>
      </c>
      <c r="AJ55" s="368">
        <v>10000000</v>
      </c>
      <c r="AK55" s="210">
        <f t="shared" si="21"/>
        <v>339716069</v>
      </c>
      <c r="AL55" s="387"/>
      <c r="AM55" s="404">
        <f t="shared" si="1"/>
        <v>0.99155183457238738</v>
      </c>
      <c r="AN55" s="404">
        <f t="shared" si="2"/>
        <v>-1</v>
      </c>
      <c r="AO55" s="404">
        <f t="shared" si="3"/>
        <v>-1</v>
      </c>
      <c r="AP55" s="404">
        <f t="shared" si="4"/>
        <v>-1</v>
      </c>
      <c r="AQ55" s="404">
        <f t="shared" si="5"/>
        <v>-1</v>
      </c>
      <c r="AR55" s="404">
        <f t="shared" si="6"/>
        <v>-0.22838812225159802</v>
      </c>
      <c r="AS55" s="404">
        <f t="shared" si="7"/>
        <v>-0.92363129591558013</v>
      </c>
      <c r="AT55" s="404">
        <f t="shared" si="8"/>
        <v>-1</v>
      </c>
      <c r="AU55" s="404">
        <f t="shared" si="9"/>
        <v>0.78998357425869048</v>
      </c>
      <c r="AV55" s="404">
        <f t="shared" si="10"/>
        <v>-0.85680131405930471</v>
      </c>
      <c r="AW55" s="404">
        <f t="shared" si="11"/>
        <v>3.346584206801523</v>
      </c>
    </row>
    <row r="56" spans="1:49" x14ac:dyDescent="0.25">
      <c r="A56" s="341">
        <v>211224</v>
      </c>
      <c r="B56" s="342" t="s">
        <v>534</v>
      </c>
      <c r="C56" s="368">
        <v>502767364</v>
      </c>
      <c r="D56" s="368">
        <v>0</v>
      </c>
      <c r="E56" s="368">
        <v>0</v>
      </c>
      <c r="F56" s="368">
        <v>0</v>
      </c>
      <c r="G56" s="368">
        <f t="shared" si="70"/>
        <v>502767364</v>
      </c>
      <c r="H56" s="58">
        <v>502767364</v>
      </c>
      <c r="I56" s="210">
        <v>39301342.159999996</v>
      </c>
      <c r="J56" s="210">
        <v>39301342.159999996</v>
      </c>
      <c r="K56" s="210">
        <v>43543472.159999996</v>
      </c>
      <c r="L56" s="210">
        <v>43543472.159999996</v>
      </c>
      <c r="M56" s="210">
        <v>43543472.159999996</v>
      </c>
      <c r="N56" s="210">
        <v>40757690.159999996</v>
      </c>
      <c r="O56" s="210">
        <v>39301342.159999996</v>
      </c>
      <c r="P56" s="210">
        <v>43543472.159999996</v>
      </c>
      <c r="Q56" s="210">
        <v>43543472.159999996</v>
      </c>
      <c r="R56" s="210">
        <v>43543472.159999996</v>
      </c>
      <c r="S56" s="210">
        <v>43543472.159999996</v>
      </c>
      <c r="T56" s="210">
        <v>39301342.239999995</v>
      </c>
      <c r="U56" s="412">
        <f t="shared" si="22"/>
        <v>419922549.5999999</v>
      </c>
      <c r="V56" s="58">
        <f t="shared" si="20"/>
        <v>502767363.99999988</v>
      </c>
      <c r="W56" s="396">
        <f t="shared" si="18"/>
        <v>502767364</v>
      </c>
      <c r="X56" s="396">
        <f t="shared" si="19"/>
        <v>0</v>
      </c>
      <c r="Y56" s="396"/>
      <c r="AA56" s="210">
        <v>0</v>
      </c>
      <c r="AB56" s="210">
        <v>0</v>
      </c>
      <c r="AC56" s="210">
        <v>0</v>
      </c>
      <c r="AD56" s="210">
        <v>0</v>
      </c>
      <c r="AE56" s="210">
        <v>0</v>
      </c>
      <c r="AF56" s="210">
        <v>58922095</v>
      </c>
      <c r="AG56" s="210">
        <v>0</v>
      </c>
      <c r="AH56" s="368">
        <v>0</v>
      </c>
      <c r="AI56" s="368">
        <v>0</v>
      </c>
      <c r="AJ56" s="368">
        <v>25000000</v>
      </c>
      <c r="AK56" s="210">
        <f t="shared" si="21"/>
        <v>83922095</v>
      </c>
      <c r="AL56" s="387"/>
      <c r="AM56" s="404">
        <f t="shared" si="1"/>
        <v>-1</v>
      </c>
      <c r="AN56" s="404">
        <f t="shared" si="2"/>
        <v>-1</v>
      </c>
      <c r="AO56" s="404">
        <f t="shared" si="3"/>
        <v>-1</v>
      </c>
      <c r="AP56" s="404">
        <f t="shared" si="4"/>
        <v>-1</v>
      </c>
      <c r="AQ56" s="404">
        <f t="shared" si="5"/>
        <v>-1</v>
      </c>
      <c r="AR56" s="404">
        <f t="shared" si="6"/>
        <v>0.44566816148543009</v>
      </c>
      <c r="AS56" s="404">
        <f t="shared" si="7"/>
        <v>-1</v>
      </c>
      <c r="AT56" s="404">
        <f t="shared" si="8"/>
        <v>-1</v>
      </c>
      <c r="AU56" s="404">
        <f t="shared" si="9"/>
        <v>-1</v>
      </c>
      <c r="AV56" s="404">
        <f t="shared" si="10"/>
        <v>-0.42586112774521556</v>
      </c>
      <c r="AW56" s="404">
        <f t="shared" si="11"/>
        <v>0.9273174792223553</v>
      </c>
    </row>
    <row r="57" spans="1:49" s="70" customFormat="1" ht="30" x14ac:dyDescent="0.25">
      <c r="A57" s="341">
        <v>211225</v>
      </c>
      <c r="B57" s="342" t="s">
        <v>527</v>
      </c>
      <c r="C57" s="368">
        <v>252015215</v>
      </c>
      <c r="D57" s="368">
        <v>0</v>
      </c>
      <c r="E57" s="368">
        <v>0</v>
      </c>
      <c r="F57" s="368">
        <v>0</v>
      </c>
      <c r="G57" s="368">
        <f t="shared" si="70"/>
        <v>252015215</v>
      </c>
      <c r="H57" s="58">
        <v>252015215</v>
      </c>
      <c r="I57" s="210">
        <v>19419247.25</v>
      </c>
      <c r="J57" s="210">
        <v>23019247.25</v>
      </c>
      <c r="K57" s="210">
        <v>21979778.25</v>
      </c>
      <c r="L57" s="210">
        <v>20479778.25</v>
      </c>
      <c r="M57" s="210">
        <v>20479778.25</v>
      </c>
      <c r="N57" s="210">
        <v>20479778.25</v>
      </c>
      <c r="O57" s="210">
        <v>21219247.25</v>
      </c>
      <c r="P57" s="210">
        <v>24079778.25</v>
      </c>
      <c r="Q57" s="210">
        <v>20479778.25</v>
      </c>
      <c r="R57" s="210">
        <v>20479778.25</v>
      </c>
      <c r="S57" s="210">
        <v>20479778.25</v>
      </c>
      <c r="T57" s="210">
        <v>19419247.25</v>
      </c>
      <c r="U57" s="412">
        <f t="shared" si="22"/>
        <v>212116189.5</v>
      </c>
      <c r="V57" s="58">
        <f t="shared" si="20"/>
        <v>252015215</v>
      </c>
      <c r="W57" s="396">
        <f t="shared" si="18"/>
        <v>252015215</v>
      </c>
      <c r="X57" s="396">
        <f t="shared" si="19"/>
        <v>0</v>
      </c>
      <c r="Y57" s="396"/>
      <c r="Z57" s="55"/>
      <c r="AA57" s="210">
        <v>0</v>
      </c>
      <c r="AB57" s="210">
        <v>0</v>
      </c>
      <c r="AC57" s="210">
        <v>0</v>
      </c>
      <c r="AD57" s="210">
        <v>0</v>
      </c>
      <c r="AE57" s="210">
        <v>0</v>
      </c>
      <c r="AF57" s="210">
        <v>0</v>
      </c>
      <c r="AG57" s="210">
        <v>0</v>
      </c>
      <c r="AH57" s="368">
        <v>0</v>
      </c>
      <c r="AI57" s="368">
        <v>0</v>
      </c>
      <c r="AJ57" s="368">
        <v>0</v>
      </c>
      <c r="AK57" s="210">
        <f t="shared" si="21"/>
        <v>0</v>
      </c>
      <c r="AL57" s="387"/>
      <c r="AM57" s="404">
        <f t="shared" si="1"/>
        <v>-1</v>
      </c>
      <c r="AN57" s="404">
        <f t="shared" si="2"/>
        <v>-1</v>
      </c>
      <c r="AO57" s="404">
        <f t="shared" si="3"/>
        <v>-1</v>
      </c>
      <c r="AP57" s="404">
        <f t="shared" si="4"/>
        <v>-1</v>
      </c>
      <c r="AQ57" s="404">
        <f t="shared" si="5"/>
        <v>-1</v>
      </c>
      <c r="AR57" s="404">
        <f t="shared" si="6"/>
        <v>-1</v>
      </c>
      <c r="AS57" s="404">
        <f t="shared" si="7"/>
        <v>-1</v>
      </c>
      <c r="AT57" s="404">
        <f t="shared" si="8"/>
        <v>-1</v>
      </c>
      <c r="AU57" s="404">
        <f t="shared" si="9"/>
        <v>-1</v>
      </c>
      <c r="AV57" s="404">
        <f t="shared" si="10"/>
        <v>-1</v>
      </c>
      <c r="AW57" s="404">
        <f t="shared" si="11"/>
        <v>-1</v>
      </c>
    </row>
    <row r="58" spans="1:49" s="70" customFormat="1" x14ac:dyDescent="0.25">
      <c r="A58" s="341">
        <v>211226</v>
      </c>
      <c r="B58" s="342" t="s">
        <v>633</v>
      </c>
      <c r="C58" s="368">
        <v>377075526</v>
      </c>
      <c r="D58" s="368">
        <v>0</v>
      </c>
      <c r="E58" s="368">
        <v>0</v>
      </c>
      <c r="F58" s="368">
        <v>0</v>
      </c>
      <c r="G58" s="368">
        <f t="shared" si="70"/>
        <v>377075526</v>
      </c>
      <c r="H58" s="58">
        <v>377075526</v>
      </c>
      <c r="I58" s="210">
        <v>29301895.830000002</v>
      </c>
      <c r="J58" s="210">
        <v>29301895.830000002</v>
      </c>
      <c r="K58" s="210">
        <v>32483492.830000002</v>
      </c>
      <c r="L58" s="210">
        <v>32483492.830000002</v>
      </c>
      <c r="M58" s="210">
        <v>32483492.830000002</v>
      </c>
      <c r="N58" s="210">
        <v>32483492.830000002</v>
      </c>
      <c r="O58" s="210">
        <v>29301895.830000002</v>
      </c>
      <c r="P58" s="210">
        <v>32483492.830000002</v>
      </c>
      <c r="Q58" s="210">
        <v>32483492.830000002</v>
      </c>
      <c r="R58" s="210">
        <v>32483492.830000002</v>
      </c>
      <c r="S58" s="210">
        <v>32483492.830000002</v>
      </c>
      <c r="T58" s="210">
        <v>29301895.870000001</v>
      </c>
      <c r="U58" s="412">
        <f t="shared" si="22"/>
        <v>315290137.30000001</v>
      </c>
      <c r="V58" s="58">
        <f t="shared" si="20"/>
        <v>377075526</v>
      </c>
      <c r="W58" s="396">
        <f t="shared" si="18"/>
        <v>377075526</v>
      </c>
      <c r="X58" s="396">
        <f t="shared" si="19"/>
        <v>0</v>
      </c>
      <c r="Y58" s="396"/>
      <c r="Z58" s="55"/>
      <c r="AA58" s="210">
        <v>0</v>
      </c>
      <c r="AB58" s="210">
        <v>0</v>
      </c>
      <c r="AC58" s="210">
        <v>0</v>
      </c>
      <c r="AD58" s="210">
        <v>0</v>
      </c>
      <c r="AE58" s="210">
        <v>0</v>
      </c>
      <c r="AF58" s="210">
        <v>0</v>
      </c>
      <c r="AG58" s="210">
        <v>0</v>
      </c>
      <c r="AH58" s="368">
        <v>0</v>
      </c>
      <c r="AI58" s="368">
        <v>0</v>
      </c>
      <c r="AJ58" s="368">
        <v>105000000</v>
      </c>
      <c r="AK58" s="210">
        <f t="shared" si="21"/>
        <v>105000000</v>
      </c>
      <c r="AL58" s="387"/>
      <c r="AM58" s="404">
        <f t="shared" si="1"/>
        <v>-1</v>
      </c>
      <c r="AN58" s="404">
        <f t="shared" si="2"/>
        <v>-1</v>
      </c>
      <c r="AO58" s="404">
        <f t="shared" si="3"/>
        <v>-1</v>
      </c>
      <c r="AP58" s="404">
        <f t="shared" si="4"/>
        <v>-1</v>
      </c>
      <c r="AQ58" s="404">
        <f t="shared" si="5"/>
        <v>-1</v>
      </c>
      <c r="AR58" s="404">
        <f t="shared" si="6"/>
        <v>-1</v>
      </c>
      <c r="AS58" s="404">
        <f t="shared" si="7"/>
        <v>-1</v>
      </c>
      <c r="AT58" s="404">
        <f t="shared" si="8"/>
        <v>-1</v>
      </c>
      <c r="AU58" s="404">
        <f t="shared" si="9"/>
        <v>-1</v>
      </c>
      <c r="AV58" s="404">
        <f t="shared" si="10"/>
        <v>2.2324110140959861</v>
      </c>
      <c r="AW58" s="404">
        <f t="shared" si="11"/>
        <v>2.2324110140959861</v>
      </c>
    </row>
    <row r="59" spans="1:49" s="70" customFormat="1" x14ac:dyDescent="0.25">
      <c r="A59" s="335">
        <v>212</v>
      </c>
      <c r="B59" s="336" t="s">
        <v>21</v>
      </c>
      <c r="C59" s="365">
        <f>+C60+C105</f>
        <v>8555827773</v>
      </c>
      <c r="D59" s="365">
        <f t="shared" ref="D59:G59" si="71">+D60+D105</f>
        <v>3079745576</v>
      </c>
      <c r="E59" s="365">
        <f t="shared" si="71"/>
        <v>1320921145</v>
      </c>
      <c r="F59" s="365">
        <f t="shared" si="71"/>
        <v>1926138422</v>
      </c>
      <c r="G59" s="365">
        <f t="shared" si="71"/>
        <v>12240790626</v>
      </c>
      <c r="H59" s="365">
        <f t="shared" ref="H59:V59" si="72">+H60+H105</f>
        <v>10012097632.02</v>
      </c>
      <c r="I59" s="365">
        <f t="shared" si="72"/>
        <v>797087354.0580951</v>
      </c>
      <c r="J59" s="365">
        <f t="shared" si="72"/>
        <v>2158410312.5580955</v>
      </c>
      <c r="K59" s="365">
        <f t="shared" si="72"/>
        <v>1001196605.0580951</v>
      </c>
      <c r="L59" s="365">
        <f t="shared" si="72"/>
        <v>791079157.05809522</v>
      </c>
      <c r="M59" s="365">
        <f t="shared" si="72"/>
        <v>988794810.5580951</v>
      </c>
      <c r="N59" s="365">
        <f t="shared" si="72"/>
        <v>813243143.89142859</v>
      </c>
      <c r="O59" s="365">
        <f t="shared" si="72"/>
        <v>881600286.31999993</v>
      </c>
      <c r="P59" s="365">
        <f t="shared" si="72"/>
        <v>940635195.04857135</v>
      </c>
      <c r="Q59" s="365">
        <f t="shared" si="72"/>
        <v>891839687.04857135</v>
      </c>
      <c r="R59" s="365">
        <f t="shared" si="72"/>
        <v>903234384.04857135</v>
      </c>
      <c r="S59" s="365">
        <f t="shared" si="72"/>
        <v>1018880495.0485713</v>
      </c>
      <c r="T59" s="365">
        <f t="shared" si="72"/>
        <v>795378694.87523818</v>
      </c>
      <c r="U59" s="416">
        <f t="shared" si="22"/>
        <v>10167120935.647617</v>
      </c>
      <c r="V59" s="365">
        <f t="shared" si="72"/>
        <v>12240790625.581429</v>
      </c>
      <c r="W59" s="396">
        <f t="shared" si="18"/>
        <v>12240790626</v>
      </c>
      <c r="X59" s="396">
        <f t="shared" si="19"/>
        <v>0.41857147216796875</v>
      </c>
      <c r="Y59" s="396"/>
      <c r="Z59" s="55"/>
      <c r="AA59" s="205">
        <f t="shared" ref="AA59:AF59" si="73">+AA60+AA105</f>
        <v>464110801.54000002</v>
      </c>
      <c r="AB59" s="205">
        <f t="shared" si="73"/>
        <v>441391018.48000002</v>
      </c>
      <c r="AC59" s="205">
        <f t="shared" si="73"/>
        <v>861663215.3499999</v>
      </c>
      <c r="AD59" s="205">
        <f t="shared" si="73"/>
        <v>382015199.15999997</v>
      </c>
      <c r="AE59" s="205">
        <f t="shared" si="73"/>
        <v>546194152.05999994</v>
      </c>
      <c r="AF59" s="205">
        <f t="shared" si="73"/>
        <v>1095087026.6300001</v>
      </c>
      <c r="AG59" s="205">
        <f t="shared" ref="AG59:AI59" si="74">+AG60+AG105</f>
        <v>687137751.18999994</v>
      </c>
      <c r="AH59" s="205">
        <f t="shared" si="74"/>
        <v>615517445.98000002</v>
      </c>
      <c r="AI59" s="205">
        <f t="shared" si="74"/>
        <v>464878536.98999995</v>
      </c>
      <c r="AJ59" s="205">
        <v>577408726.5</v>
      </c>
      <c r="AK59" s="205">
        <f t="shared" si="21"/>
        <v>6135403873.8799992</v>
      </c>
      <c r="AL59" s="386"/>
      <c r="AM59" s="407">
        <f t="shared" si="1"/>
        <v>-0.41774160739454702</v>
      </c>
      <c r="AN59" s="407">
        <f t="shared" si="2"/>
        <v>-0.79550180245531066</v>
      </c>
      <c r="AO59" s="407">
        <f t="shared" si="3"/>
        <v>-0.13936662290220078</v>
      </c>
      <c r="AP59" s="407">
        <f t="shared" si="4"/>
        <v>-0.51709611389502763</v>
      </c>
      <c r="AQ59" s="407">
        <f t="shared" si="5"/>
        <v>-0.44761628375484969</v>
      </c>
      <c r="AR59" s="407">
        <f t="shared" si="6"/>
        <v>0.34656779446049518</v>
      </c>
      <c r="AS59" s="407">
        <f t="shared" si="7"/>
        <v>-0.22057902900840792</v>
      </c>
      <c r="AT59" s="407">
        <f t="shared" si="8"/>
        <v>-0.34563638568912286</v>
      </c>
      <c r="AU59" s="407">
        <f t="shared" si="9"/>
        <v>-0.47874203879796423</v>
      </c>
      <c r="AV59" s="407">
        <f t="shared" si="10"/>
        <v>-0.36073212369099766</v>
      </c>
      <c r="AW59" s="407">
        <f t="shared" si="11"/>
        <v>5.0217109893614325</v>
      </c>
    </row>
    <row r="60" spans="1:49" s="70" customFormat="1" x14ac:dyDescent="0.25">
      <c r="A60" s="335">
        <v>2121</v>
      </c>
      <c r="B60" s="336" t="s">
        <v>22</v>
      </c>
      <c r="C60" s="365">
        <f>+C61+C103</f>
        <v>351990348</v>
      </c>
      <c r="D60" s="365">
        <f t="shared" ref="D60:G60" si="75">+D61+D103</f>
        <v>764690000</v>
      </c>
      <c r="E60" s="365">
        <f t="shared" si="75"/>
        <v>247408159</v>
      </c>
      <c r="F60" s="365">
        <f t="shared" si="75"/>
        <v>521122658</v>
      </c>
      <c r="G60" s="365">
        <f t="shared" si="75"/>
        <v>1390394847</v>
      </c>
      <c r="H60" s="365">
        <f t="shared" ref="H60:V60" si="76">+H61+H103</f>
        <v>698990348</v>
      </c>
      <c r="I60" s="365">
        <f t="shared" si="76"/>
        <v>20416666.666666668</v>
      </c>
      <c r="J60" s="365">
        <f t="shared" si="76"/>
        <v>149024123.16666669</v>
      </c>
      <c r="K60" s="365">
        <f t="shared" si="76"/>
        <v>88801473.166666672</v>
      </c>
      <c r="L60" s="365">
        <f t="shared" si="76"/>
        <v>87701473.166666672</v>
      </c>
      <c r="M60" s="365">
        <f t="shared" si="76"/>
        <v>87924123.166666672</v>
      </c>
      <c r="N60" s="365">
        <f t="shared" si="76"/>
        <v>159072456.5</v>
      </c>
      <c r="O60" s="365">
        <f t="shared" si="76"/>
        <v>137429598.92857143</v>
      </c>
      <c r="P60" s="365">
        <f t="shared" si="76"/>
        <v>115646327.92857143</v>
      </c>
      <c r="Q60" s="365">
        <f t="shared" si="76"/>
        <v>116972833.92857143</v>
      </c>
      <c r="R60" s="365">
        <f t="shared" si="76"/>
        <v>135293571.42857143</v>
      </c>
      <c r="S60" s="365">
        <f t="shared" si="76"/>
        <v>245796786.4285714</v>
      </c>
      <c r="T60" s="365">
        <f t="shared" si="76"/>
        <v>46315412.095238097</v>
      </c>
      <c r="U60" s="416">
        <f t="shared" si="22"/>
        <v>1098282648.0476191</v>
      </c>
      <c r="V60" s="365">
        <f t="shared" si="76"/>
        <v>1390394846.5714285</v>
      </c>
      <c r="W60" s="396">
        <f t="shared" si="18"/>
        <v>1390394847</v>
      </c>
      <c r="X60" s="396">
        <f t="shared" si="19"/>
        <v>0.42857146263122559</v>
      </c>
      <c r="Y60" s="396"/>
      <c r="Z60" s="55"/>
      <c r="AA60" s="205">
        <f>+AA61</f>
        <v>16200000</v>
      </c>
      <c r="AB60" s="205">
        <f t="shared" ref="AB60:AI60" si="77">+AB61</f>
        <v>133479361</v>
      </c>
      <c r="AC60" s="205">
        <f t="shared" si="77"/>
        <v>169854914</v>
      </c>
      <c r="AD60" s="205">
        <f t="shared" si="77"/>
        <v>6109864</v>
      </c>
      <c r="AE60" s="205">
        <f t="shared" si="77"/>
        <v>168948742</v>
      </c>
      <c r="AF60" s="205">
        <f t="shared" si="77"/>
        <v>4429501</v>
      </c>
      <c r="AG60" s="205">
        <f t="shared" si="77"/>
        <v>7836896</v>
      </c>
      <c r="AH60" s="205">
        <f t="shared" si="77"/>
        <v>74786396</v>
      </c>
      <c r="AI60" s="205">
        <f t="shared" si="77"/>
        <v>9161550</v>
      </c>
      <c r="AJ60" s="205">
        <v>52234612</v>
      </c>
      <c r="AK60" s="205">
        <f t="shared" si="21"/>
        <v>643041836</v>
      </c>
      <c r="AL60" s="386"/>
      <c r="AM60" s="407">
        <f t="shared" si="1"/>
        <v>-0.20653061224489802</v>
      </c>
      <c r="AN60" s="407">
        <f t="shared" si="2"/>
        <v>-0.1043103749671563</v>
      </c>
      <c r="AO60" s="407">
        <f t="shared" si="3"/>
        <v>0.91274883110563398</v>
      </c>
      <c r="AP60" s="407">
        <f t="shared" si="4"/>
        <v>-0.93033339373457391</v>
      </c>
      <c r="AQ60" s="407">
        <f t="shared" si="5"/>
        <v>0.92152888098463237</v>
      </c>
      <c r="AR60" s="407">
        <f t="shared" si="6"/>
        <v>-0.97215419251415158</v>
      </c>
      <c r="AS60" s="407">
        <f t="shared" si="7"/>
        <v>-0.94297519558306209</v>
      </c>
      <c r="AT60" s="407">
        <f t="shared" si="8"/>
        <v>-0.35331802280664226</v>
      </c>
      <c r="AU60" s="407">
        <f t="shared" si="9"/>
        <v>-0.921677968359778</v>
      </c>
      <c r="AV60" s="407">
        <f t="shared" si="10"/>
        <v>-0.61391652649529327</v>
      </c>
      <c r="AW60" s="407">
        <f t="shared" si="11"/>
        <v>1.6161523319462441</v>
      </c>
    </row>
    <row r="61" spans="1:49" s="70" customFormat="1" x14ac:dyDescent="0.25">
      <c r="A61" s="337">
        <v>21211</v>
      </c>
      <c r="B61" s="338" t="s">
        <v>23</v>
      </c>
      <c r="C61" s="366">
        <f>+C62+C66+C91</f>
        <v>331990348</v>
      </c>
      <c r="D61" s="366">
        <f t="shared" ref="D61:G61" si="78">+D62+D66+D91</f>
        <v>764690000</v>
      </c>
      <c r="E61" s="366">
        <f t="shared" si="78"/>
        <v>227408159</v>
      </c>
      <c r="F61" s="366">
        <f t="shared" si="78"/>
        <v>521122658</v>
      </c>
      <c r="G61" s="366">
        <f t="shared" si="78"/>
        <v>1390394847</v>
      </c>
      <c r="H61" s="366">
        <f t="shared" ref="H61:V61" si="79">+H62+H66+H91</f>
        <v>678990348</v>
      </c>
      <c r="I61" s="366">
        <f t="shared" si="79"/>
        <v>20416666.666666668</v>
      </c>
      <c r="J61" s="366">
        <f t="shared" si="79"/>
        <v>149024123.16666669</v>
      </c>
      <c r="K61" s="366">
        <f t="shared" si="79"/>
        <v>88801473.166666672</v>
      </c>
      <c r="L61" s="366">
        <f t="shared" si="79"/>
        <v>87701473.166666672</v>
      </c>
      <c r="M61" s="366">
        <f t="shared" si="79"/>
        <v>87924123.166666672</v>
      </c>
      <c r="N61" s="366">
        <f t="shared" si="79"/>
        <v>159072456.5</v>
      </c>
      <c r="O61" s="366">
        <f t="shared" si="79"/>
        <v>137429598.92857143</v>
      </c>
      <c r="P61" s="366">
        <f t="shared" si="79"/>
        <v>115646327.92857143</v>
      </c>
      <c r="Q61" s="366">
        <f t="shared" si="79"/>
        <v>116972833.92857143</v>
      </c>
      <c r="R61" s="366">
        <f t="shared" si="79"/>
        <v>135293571.42857143</v>
      </c>
      <c r="S61" s="366">
        <f t="shared" si="79"/>
        <v>245796786.4285714</v>
      </c>
      <c r="T61" s="366">
        <f t="shared" si="79"/>
        <v>46315412.095238097</v>
      </c>
      <c r="U61" s="417">
        <f t="shared" si="22"/>
        <v>1098282648.0476191</v>
      </c>
      <c r="V61" s="366">
        <f t="shared" si="79"/>
        <v>1390394846.5714285</v>
      </c>
      <c r="W61" s="396">
        <f t="shared" si="18"/>
        <v>1390394847</v>
      </c>
      <c r="X61" s="396">
        <f t="shared" si="19"/>
        <v>0.42857146263122559</v>
      </c>
      <c r="Y61" s="396"/>
      <c r="Z61" s="55"/>
      <c r="AA61" s="207">
        <f>+AA62+AA66+AA91</f>
        <v>16200000</v>
      </c>
      <c r="AB61" s="207">
        <f t="shared" ref="AB61:AF61" si="80">+AB62+AB66+AB91</f>
        <v>133479361</v>
      </c>
      <c r="AC61" s="207">
        <f t="shared" si="80"/>
        <v>169854914</v>
      </c>
      <c r="AD61" s="207">
        <f t="shared" si="80"/>
        <v>6109864</v>
      </c>
      <c r="AE61" s="207">
        <f t="shared" si="80"/>
        <v>168948742</v>
      </c>
      <c r="AF61" s="207">
        <f t="shared" si="80"/>
        <v>4429501</v>
      </c>
      <c r="AG61" s="207">
        <f t="shared" ref="AG61:AI61" si="81">+AG62+AG66+AG91</f>
        <v>7836896</v>
      </c>
      <c r="AH61" s="207">
        <f t="shared" si="81"/>
        <v>74786396</v>
      </c>
      <c r="AI61" s="207">
        <f t="shared" si="81"/>
        <v>9161550</v>
      </c>
      <c r="AJ61" s="207">
        <v>52234612</v>
      </c>
      <c r="AK61" s="207">
        <f t="shared" si="21"/>
        <v>643041836</v>
      </c>
      <c r="AL61" s="386"/>
      <c r="AM61" s="406">
        <f t="shared" si="1"/>
        <v>-0.20653061224489802</v>
      </c>
      <c r="AN61" s="406">
        <f t="shared" si="2"/>
        <v>-0.1043103749671563</v>
      </c>
      <c r="AO61" s="406">
        <f t="shared" si="3"/>
        <v>0.91274883110563398</v>
      </c>
      <c r="AP61" s="406">
        <f t="shared" si="4"/>
        <v>-0.93033339373457391</v>
      </c>
      <c r="AQ61" s="406">
        <f t="shared" si="5"/>
        <v>0.92152888098463237</v>
      </c>
      <c r="AR61" s="406">
        <f t="shared" si="6"/>
        <v>-0.97215419251415158</v>
      </c>
      <c r="AS61" s="406">
        <f t="shared" si="7"/>
        <v>-0.94297519558306209</v>
      </c>
      <c r="AT61" s="406">
        <f t="shared" si="8"/>
        <v>-0.35331802280664226</v>
      </c>
      <c r="AU61" s="406">
        <f t="shared" si="9"/>
        <v>-0.921677968359778</v>
      </c>
      <c r="AV61" s="406">
        <f t="shared" si="10"/>
        <v>-0.61391652649529327</v>
      </c>
      <c r="AW61" s="406">
        <f t="shared" si="11"/>
        <v>1.6161523319462441</v>
      </c>
    </row>
    <row r="62" spans="1:49" s="70" customFormat="1" x14ac:dyDescent="0.25">
      <c r="A62" s="337">
        <v>212111</v>
      </c>
      <c r="B62" s="338" t="s">
        <v>24</v>
      </c>
      <c r="C62" s="366">
        <f>+C63</f>
        <v>10000000</v>
      </c>
      <c r="D62" s="366">
        <f t="shared" ref="D62:G62" si="82">+D63</f>
        <v>0</v>
      </c>
      <c r="E62" s="366">
        <f t="shared" si="82"/>
        <v>10000000</v>
      </c>
      <c r="F62" s="366">
        <f t="shared" si="82"/>
        <v>0</v>
      </c>
      <c r="G62" s="366">
        <f t="shared" si="82"/>
        <v>0</v>
      </c>
      <c r="H62" s="366">
        <f t="shared" ref="H62:V62" si="83">+H63</f>
        <v>10000000</v>
      </c>
      <c r="I62" s="366">
        <f t="shared" si="83"/>
        <v>0</v>
      </c>
      <c r="J62" s="366">
        <f t="shared" si="83"/>
        <v>0</v>
      </c>
      <c r="K62" s="366">
        <f t="shared" si="83"/>
        <v>0</v>
      </c>
      <c r="L62" s="366">
        <f t="shared" si="83"/>
        <v>0</v>
      </c>
      <c r="M62" s="366">
        <f t="shared" si="83"/>
        <v>0</v>
      </c>
      <c r="N62" s="366">
        <f t="shared" si="83"/>
        <v>0</v>
      </c>
      <c r="O62" s="366">
        <f t="shared" si="83"/>
        <v>0</v>
      </c>
      <c r="P62" s="366">
        <f t="shared" si="83"/>
        <v>0</v>
      </c>
      <c r="Q62" s="366">
        <f t="shared" si="83"/>
        <v>0</v>
      </c>
      <c r="R62" s="366">
        <f t="shared" si="83"/>
        <v>0</v>
      </c>
      <c r="S62" s="366">
        <f t="shared" si="83"/>
        <v>0</v>
      </c>
      <c r="T62" s="366">
        <f t="shared" si="83"/>
        <v>0</v>
      </c>
      <c r="U62" s="417">
        <f t="shared" si="22"/>
        <v>0</v>
      </c>
      <c r="V62" s="366">
        <f t="shared" si="83"/>
        <v>0</v>
      </c>
      <c r="W62" s="396">
        <f t="shared" si="18"/>
        <v>0</v>
      </c>
      <c r="X62" s="396">
        <f t="shared" si="19"/>
        <v>0</v>
      </c>
      <c r="Y62" s="396"/>
      <c r="Z62" s="55"/>
      <c r="AA62" s="206">
        <f>+AA63</f>
        <v>0</v>
      </c>
      <c r="AB62" s="206">
        <f t="shared" ref="AB62:AG62" si="84">+AB63</f>
        <v>0</v>
      </c>
      <c r="AC62" s="206">
        <f t="shared" si="84"/>
        <v>0</v>
      </c>
      <c r="AD62" s="206">
        <f t="shared" si="84"/>
        <v>0</v>
      </c>
      <c r="AE62" s="206">
        <f t="shared" si="84"/>
        <v>0</v>
      </c>
      <c r="AF62" s="206">
        <f t="shared" si="84"/>
        <v>0</v>
      </c>
      <c r="AG62" s="206">
        <f t="shared" si="84"/>
        <v>0</v>
      </c>
      <c r="AH62" s="366">
        <v>0</v>
      </c>
      <c r="AI62" s="366">
        <v>0</v>
      </c>
      <c r="AJ62" s="366">
        <v>0</v>
      </c>
      <c r="AK62" s="206">
        <f t="shared" si="21"/>
        <v>0</v>
      </c>
      <c r="AL62" s="386"/>
      <c r="AM62" s="408" t="e">
        <f t="shared" si="1"/>
        <v>#DIV/0!</v>
      </c>
      <c r="AN62" s="408" t="e">
        <f t="shared" si="2"/>
        <v>#DIV/0!</v>
      </c>
      <c r="AO62" s="408" t="e">
        <f t="shared" si="3"/>
        <v>#DIV/0!</v>
      </c>
      <c r="AP62" s="408" t="e">
        <f t="shared" si="4"/>
        <v>#DIV/0!</v>
      </c>
      <c r="AQ62" s="408" t="e">
        <f t="shared" si="5"/>
        <v>#DIV/0!</v>
      </c>
      <c r="AR62" s="408" t="e">
        <f t="shared" si="6"/>
        <v>#DIV/0!</v>
      </c>
      <c r="AS62" s="408" t="e">
        <f t="shared" si="7"/>
        <v>#DIV/0!</v>
      </c>
      <c r="AT62" s="408" t="e">
        <f t="shared" si="8"/>
        <v>#DIV/0!</v>
      </c>
      <c r="AU62" s="408" t="e">
        <f t="shared" si="9"/>
        <v>#DIV/0!</v>
      </c>
      <c r="AV62" s="408" t="e">
        <f t="shared" si="10"/>
        <v>#DIV/0!</v>
      </c>
      <c r="AW62" s="408" t="e">
        <f t="shared" si="11"/>
        <v>#DIV/0!</v>
      </c>
    </row>
    <row r="63" spans="1:49" s="70" customFormat="1" x14ac:dyDescent="0.25">
      <c r="A63" s="339">
        <v>2121113</v>
      </c>
      <c r="B63" s="340" t="s">
        <v>25</v>
      </c>
      <c r="C63" s="367">
        <f>+C64+C65</f>
        <v>10000000</v>
      </c>
      <c r="D63" s="367">
        <f t="shared" ref="D63:G63" si="85">+D64+D65</f>
        <v>0</v>
      </c>
      <c r="E63" s="367">
        <f t="shared" si="85"/>
        <v>10000000</v>
      </c>
      <c r="F63" s="367">
        <f t="shared" si="85"/>
        <v>0</v>
      </c>
      <c r="G63" s="367">
        <f t="shared" si="85"/>
        <v>0</v>
      </c>
      <c r="H63" s="367">
        <f t="shared" ref="H63:V63" si="86">+H64+H65</f>
        <v>10000000</v>
      </c>
      <c r="I63" s="367">
        <f t="shared" si="86"/>
        <v>0</v>
      </c>
      <c r="J63" s="367">
        <f t="shared" si="86"/>
        <v>0</v>
      </c>
      <c r="K63" s="367">
        <f t="shared" si="86"/>
        <v>0</v>
      </c>
      <c r="L63" s="367">
        <f t="shared" si="86"/>
        <v>0</v>
      </c>
      <c r="M63" s="367">
        <f t="shared" si="86"/>
        <v>0</v>
      </c>
      <c r="N63" s="367">
        <f t="shared" si="86"/>
        <v>0</v>
      </c>
      <c r="O63" s="367">
        <f t="shared" si="86"/>
        <v>0</v>
      </c>
      <c r="P63" s="367">
        <f t="shared" si="86"/>
        <v>0</v>
      </c>
      <c r="Q63" s="367">
        <f t="shared" si="86"/>
        <v>0</v>
      </c>
      <c r="R63" s="367">
        <f t="shared" si="86"/>
        <v>0</v>
      </c>
      <c r="S63" s="367">
        <f t="shared" si="86"/>
        <v>0</v>
      </c>
      <c r="T63" s="367">
        <f t="shared" si="86"/>
        <v>0</v>
      </c>
      <c r="U63" s="418">
        <f t="shared" si="22"/>
        <v>0</v>
      </c>
      <c r="V63" s="367">
        <f t="shared" si="86"/>
        <v>0</v>
      </c>
      <c r="W63" s="396">
        <f t="shared" si="18"/>
        <v>0</v>
      </c>
      <c r="X63" s="396">
        <f t="shared" si="19"/>
        <v>0</v>
      </c>
      <c r="Y63" s="396"/>
      <c r="Z63" s="55"/>
      <c r="AA63" s="208">
        <v>0</v>
      </c>
      <c r="AB63" s="209">
        <v>0</v>
      </c>
      <c r="AC63" s="209">
        <v>0</v>
      </c>
      <c r="AD63" s="209">
        <v>0</v>
      </c>
      <c r="AE63" s="209">
        <v>0</v>
      </c>
      <c r="AF63" s="209">
        <v>0</v>
      </c>
      <c r="AG63" s="209">
        <v>0</v>
      </c>
      <c r="AH63" s="367">
        <v>0</v>
      </c>
      <c r="AI63" s="367">
        <v>0</v>
      </c>
      <c r="AJ63" s="367">
        <v>0</v>
      </c>
      <c r="AK63" s="209">
        <f t="shared" si="21"/>
        <v>0</v>
      </c>
      <c r="AL63" s="386"/>
      <c r="AM63" s="405" t="e">
        <f t="shared" si="1"/>
        <v>#DIV/0!</v>
      </c>
      <c r="AN63" s="405" t="e">
        <f t="shared" si="2"/>
        <v>#DIV/0!</v>
      </c>
      <c r="AO63" s="405" t="e">
        <f t="shared" si="3"/>
        <v>#DIV/0!</v>
      </c>
      <c r="AP63" s="405" t="e">
        <f t="shared" si="4"/>
        <v>#DIV/0!</v>
      </c>
      <c r="AQ63" s="405" t="e">
        <f t="shared" si="5"/>
        <v>#DIV/0!</v>
      </c>
      <c r="AR63" s="405" t="e">
        <f t="shared" si="6"/>
        <v>#DIV/0!</v>
      </c>
      <c r="AS63" s="405" t="e">
        <f t="shared" si="7"/>
        <v>#DIV/0!</v>
      </c>
      <c r="AT63" s="405" t="e">
        <f t="shared" si="8"/>
        <v>#DIV/0!</v>
      </c>
      <c r="AU63" s="405" t="e">
        <f t="shared" si="9"/>
        <v>#DIV/0!</v>
      </c>
      <c r="AV63" s="405" t="e">
        <f t="shared" si="10"/>
        <v>#DIV/0!</v>
      </c>
      <c r="AW63" s="405" t="e">
        <f t="shared" si="11"/>
        <v>#DIV/0!</v>
      </c>
    </row>
    <row r="64" spans="1:49" ht="30" x14ac:dyDescent="0.25">
      <c r="A64" s="341">
        <v>212111313</v>
      </c>
      <c r="B64" s="342" t="s">
        <v>535</v>
      </c>
      <c r="C64" s="368">
        <v>5000000</v>
      </c>
      <c r="D64" s="368">
        <v>0</v>
      </c>
      <c r="E64" s="368">
        <v>5000000</v>
      </c>
      <c r="F64" s="368">
        <v>0</v>
      </c>
      <c r="G64" s="368">
        <f t="shared" ref="G64:G65" si="87">+C64+D64-E64+F64</f>
        <v>0</v>
      </c>
      <c r="H64" s="57">
        <v>5000000</v>
      </c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412">
        <f t="shared" si="22"/>
        <v>0</v>
      </c>
      <c r="V64" s="57">
        <f t="shared" si="20"/>
        <v>0</v>
      </c>
      <c r="W64" s="396">
        <f t="shared" si="18"/>
        <v>0</v>
      </c>
      <c r="X64" s="396">
        <f t="shared" si="19"/>
        <v>0</v>
      </c>
      <c r="Y64" s="396"/>
      <c r="AA64" s="210">
        <v>0</v>
      </c>
      <c r="AB64" s="210">
        <v>0</v>
      </c>
      <c r="AC64" s="210">
        <v>0</v>
      </c>
      <c r="AD64" s="210">
        <v>0</v>
      </c>
      <c r="AE64" s="210">
        <v>0</v>
      </c>
      <c r="AF64" s="210">
        <v>0</v>
      </c>
      <c r="AG64" s="210">
        <v>0</v>
      </c>
      <c r="AH64" s="368">
        <v>0</v>
      </c>
      <c r="AI64" s="368">
        <v>0</v>
      </c>
      <c r="AJ64" s="368">
        <v>0</v>
      </c>
      <c r="AK64" s="210">
        <f t="shared" si="21"/>
        <v>0</v>
      </c>
      <c r="AL64" s="387"/>
      <c r="AM64" s="404" t="e">
        <f t="shared" si="1"/>
        <v>#DIV/0!</v>
      </c>
      <c r="AN64" s="404" t="e">
        <f t="shared" si="2"/>
        <v>#DIV/0!</v>
      </c>
      <c r="AO64" s="404" t="e">
        <f t="shared" si="3"/>
        <v>#DIV/0!</v>
      </c>
      <c r="AP64" s="404" t="e">
        <f t="shared" si="4"/>
        <v>#DIV/0!</v>
      </c>
      <c r="AQ64" s="404" t="e">
        <f t="shared" si="5"/>
        <v>#DIV/0!</v>
      </c>
      <c r="AR64" s="404" t="e">
        <f t="shared" si="6"/>
        <v>#DIV/0!</v>
      </c>
      <c r="AS64" s="404" t="e">
        <f t="shared" si="7"/>
        <v>#DIV/0!</v>
      </c>
      <c r="AT64" s="404" t="e">
        <f t="shared" si="8"/>
        <v>#DIV/0!</v>
      </c>
      <c r="AU64" s="404" t="e">
        <f t="shared" si="9"/>
        <v>#DIV/0!</v>
      </c>
      <c r="AV64" s="404" t="e">
        <f t="shared" si="10"/>
        <v>#DIV/0!</v>
      </c>
      <c r="AW64" s="404" t="e">
        <f t="shared" si="11"/>
        <v>#DIV/0!</v>
      </c>
    </row>
    <row r="65" spans="1:49" s="70" customFormat="1" x14ac:dyDescent="0.25">
      <c r="A65" s="341">
        <v>212111314</v>
      </c>
      <c r="B65" s="342" t="s">
        <v>536</v>
      </c>
      <c r="C65" s="368">
        <v>5000000</v>
      </c>
      <c r="D65" s="368">
        <v>0</v>
      </c>
      <c r="E65" s="368">
        <v>5000000</v>
      </c>
      <c r="F65" s="368">
        <v>0</v>
      </c>
      <c r="G65" s="368">
        <f t="shared" si="87"/>
        <v>0</v>
      </c>
      <c r="H65" s="58">
        <v>5000000</v>
      </c>
      <c r="I65" s="210">
        <v>0</v>
      </c>
      <c r="J65" s="210">
        <v>0</v>
      </c>
      <c r="K65" s="210">
        <v>0</v>
      </c>
      <c r="L65" s="210">
        <v>0</v>
      </c>
      <c r="M65" s="210"/>
      <c r="N65" s="210">
        <v>0</v>
      </c>
      <c r="O65" s="210">
        <v>0</v>
      </c>
      <c r="P65" s="210">
        <v>0</v>
      </c>
      <c r="Q65" s="210">
        <v>0</v>
      </c>
      <c r="R65" s="210">
        <v>0</v>
      </c>
      <c r="S65" s="210">
        <v>0</v>
      </c>
      <c r="T65" s="210">
        <v>0</v>
      </c>
      <c r="U65" s="412">
        <f t="shared" si="22"/>
        <v>0</v>
      </c>
      <c r="V65" s="58">
        <f t="shared" si="20"/>
        <v>0</v>
      </c>
      <c r="W65" s="396">
        <f t="shared" si="18"/>
        <v>0</v>
      </c>
      <c r="X65" s="396">
        <f t="shared" si="19"/>
        <v>0</v>
      </c>
      <c r="Y65" s="396"/>
      <c r="Z65" s="55"/>
      <c r="AA65" s="210">
        <v>0</v>
      </c>
      <c r="AB65" s="210">
        <v>0</v>
      </c>
      <c r="AC65" s="210">
        <v>0</v>
      </c>
      <c r="AD65" s="210">
        <v>0</v>
      </c>
      <c r="AE65" s="210">
        <v>0</v>
      </c>
      <c r="AF65" s="210">
        <v>0</v>
      </c>
      <c r="AG65" s="210">
        <v>0</v>
      </c>
      <c r="AH65" s="368">
        <v>0</v>
      </c>
      <c r="AI65" s="368">
        <v>0</v>
      </c>
      <c r="AJ65" s="368">
        <v>0</v>
      </c>
      <c r="AK65" s="210">
        <f t="shared" si="21"/>
        <v>0</v>
      </c>
      <c r="AL65" s="387"/>
      <c r="AM65" s="404" t="e">
        <f t="shared" si="1"/>
        <v>#DIV/0!</v>
      </c>
      <c r="AN65" s="404" t="e">
        <f t="shared" si="2"/>
        <v>#DIV/0!</v>
      </c>
      <c r="AO65" s="404" t="e">
        <f t="shared" si="3"/>
        <v>#DIV/0!</v>
      </c>
      <c r="AP65" s="404" t="e">
        <f t="shared" si="4"/>
        <v>#DIV/0!</v>
      </c>
      <c r="AQ65" s="404" t="e">
        <f t="shared" si="5"/>
        <v>#DIV/0!</v>
      </c>
      <c r="AR65" s="404" t="e">
        <f t="shared" si="6"/>
        <v>#DIV/0!</v>
      </c>
      <c r="AS65" s="404" t="e">
        <f t="shared" si="7"/>
        <v>#DIV/0!</v>
      </c>
      <c r="AT65" s="404" t="e">
        <f t="shared" si="8"/>
        <v>#DIV/0!</v>
      </c>
      <c r="AU65" s="404" t="e">
        <f t="shared" si="9"/>
        <v>#DIV/0!</v>
      </c>
      <c r="AV65" s="404" t="e">
        <f t="shared" si="10"/>
        <v>#DIV/0!</v>
      </c>
      <c r="AW65" s="404" t="e">
        <f t="shared" si="11"/>
        <v>#DIV/0!</v>
      </c>
    </row>
    <row r="66" spans="1:49" s="70" customFormat="1" x14ac:dyDescent="0.25">
      <c r="A66" s="337">
        <v>212113</v>
      </c>
      <c r="B66" s="338" t="s">
        <v>26</v>
      </c>
      <c r="C66" s="366">
        <f>+C67</f>
        <v>243800000</v>
      </c>
      <c r="D66" s="366">
        <f t="shared" ref="D66:G66" si="88">+D67</f>
        <v>329000000</v>
      </c>
      <c r="E66" s="366">
        <f t="shared" si="88"/>
        <v>159217811</v>
      </c>
      <c r="F66" s="366">
        <f t="shared" si="88"/>
        <v>496122658</v>
      </c>
      <c r="G66" s="366">
        <f t="shared" si="88"/>
        <v>909704847</v>
      </c>
      <c r="H66" s="366">
        <f t="shared" ref="H66:V66" si="89">+H67</f>
        <v>565800000</v>
      </c>
      <c r="I66" s="366">
        <f t="shared" si="89"/>
        <v>20416666.666666668</v>
      </c>
      <c r="J66" s="366">
        <f t="shared" si="89"/>
        <v>132516666.66666667</v>
      </c>
      <c r="K66" s="366">
        <f t="shared" si="89"/>
        <v>79294016.666666672</v>
      </c>
      <c r="L66" s="366">
        <f t="shared" si="89"/>
        <v>77394016.666666672</v>
      </c>
      <c r="M66" s="366">
        <f t="shared" si="89"/>
        <v>78916666.666666672</v>
      </c>
      <c r="N66" s="366">
        <f t="shared" si="89"/>
        <v>85916666.666666672</v>
      </c>
      <c r="O66" s="366">
        <f t="shared" si="89"/>
        <v>64116666.666666672</v>
      </c>
      <c r="P66" s="366">
        <f t="shared" si="89"/>
        <v>43761966.666666672</v>
      </c>
      <c r="Q66" s="366">
        <f t="shared" si="89"/>
        <v>45088472.666666672</v>
      </c>
      <c r="R66" s="366">
        <f t="shared" si="89"/>
        <v>65416666.666666672</v>
      </c>
      <c r="S66" s="366">
        <f t="shared" si="89"/>
        <v>173949707.66666666</v>
      </c>
      <c r="T66" s="366">
        <f t="shared" si="89"/>
        <v>42916666.666666672</v>
      </c>
      <c r="U66" s="417">
        <f t="shared" si="22"/>
        <v>692838472.66666663</v>
      </c>
      <c r="V66" s="366">
        <f t="shared" si="89"/>
        <v>909704847</v>
      </c>
      <c r="W66" s="396">
        <f t="shared" si="18"/>
        <v>909704847</v>
      </c>
      <c r="X66" s="396">
        <f t="shared" si="19"/>
        <v>0</v>
      </c>
      <c r="Y66" s="396"/>
      <c r="Z66" s="55"/>
      <c r="AA66" s="207">
        <f>+AA67</f>
        <v>16200000</v>
      </c>
      <c r="AB66" s="207">
        <f t="shared" ref="AB66:AI66" si="90">+AB67</f>
        <v>133479361</v>
      </c>
      <c r="AC66" s="207">
        <f t="shared" si="90"/>
        <v>14639168</v>
      </c>
      <c r="AD66" s="207">
        <f t="shared" si="90"/>
        <v>6109864</v>
      </c>
      <c r="AE66" s="207">
        <f t="shared" si="90"/>
        <v>4219115</v>
      </c>
      <c r="AF66" s="207">
        <f t="shared" si="90"/>
        <v>4429501</v>
      </c>
      <c r="AG66" s="207">
        <f t="shared" si="90"/>
        <v>7836896</v>
      </c>
      <c r="AH66" s="207">
        <f t="shared" si="90"/>
        <v>65610511</v>
      </c>
      <c r="AI66" s="207">
        <f t="shared" si="90"/>
        <v>9161550</v>
      </c>
      <c r="AJ66" s="207">
        <v>52234612</v>
      </c>
      <c r="AK66" s="207">
        <f t="shared" si="21"/>
        <v>313920578</v>
      </c>
      <c r="AL66" s="386"/>
      <c r="AM66" s="406">
        <f t="shared" ref="AM66:AM129" si="91">(AA66-I66)/I66</f>
        <v>-0.20653061224489802</v>
      </c>
      <c r="AN66" s="406">
        <f t="shared" ref="AN66:AN129" si="92">(AB66-J66)/J66</f>
        <v>7.2647038108413662E-3</v>
      </c>
      <c r="AO66" s="406">
        <f t="shared" ref="AO66:AO129" si="93">(AC66-K66)/K66</f>
        <v>-0.81538117735238957</v>
      </c>
      <c r="AP66" s="406">
        <f t="shared" ref="AP66:AP129" si="94">(AD66-L66)/L66</f>
        <v>-0.92105508586904117</v>
      </c>
      <c r="AQ66" s="406">
        <f t="shared" ref="AQ66:AQ129" si="95">(AE66-M66)/M66</f>
        <v>-0.94653708553326299</v>
      </c>
      <c r="AR66" s="406">
        <f t="shared" ref="AR66:AR129" si="96">(AF66-N66)/N66</f>
        <v>-0.94844421726479144</v>
      </c>
      <c r="AS66" s="406">
        <f t="shared" ref="AS66:AS129" si="97">(AG66-O66)/O66</f>
        <v>-0.87777131271120357</v>
      </c>
      <c r="AT66" s="406">
        <f t="shared" ref="AT66:AT129" si="98">(AH66-P66)/P66</f>
        <v>0.49925873989514469</v>
      </c>
      <c r="AU66" s="406">
        <f t="shared" ref="AU66:AU129" si="99">(AI66-Q66)/Q66</f>
        <v>-0.7968094845942072</v>
      </c>
      <c r="AV66" s="406">
        <f t="shared" ref="AV66:AV129" si="100">(AJ66-R66)/R66</f>
        <v>-0.20150911592356693</v>
      </c>
      <c r="AW66" s="406">
        <f t="shared" ref="AW66:AW129" si="101">(AK66-S66)/S66</f>
        <v>0.80466286612883708</v>
      </c>
    </row>
    <row r="67" spans="1:49" s="70" customFormat="1" ht="30" x14ac:dyDescent="0.25">
      <c r="A67" s="337">
        <v>2121131</v>
      </c>
      <c r="B67" s="338" t="s">
        <v>27</v>
      </c>
      <c r="C67" s="366">
        <f>+C68+C70+C74+C77+C83+C87+C89</f>
        <v>243800000</v>
      </c>
      <c r="D67" s="366">
        <f>+D68+D70+D74+D77+D83+D87+D89</f>
        <v>329000000</v>
      </c>
      <c r="E67" s="366">
        <f t="shared" ref="E67:G67" si="102">+E68+E70+E74+E77+E83+E87+E89</f>
        <v>159217811</v>
      </c>
      <c r="F67" s="366">
        <f t="shared" si="102"/>
        <v>496122658</v>
      </c>
      <c r="G67" s="366">
        <f t="shared" si="102"/>
        <v>909704847</v>
      </c>
      <c r="H67" s="366">
        <f t="shared" ref="H67:V67" si="103">+H68+H70+H74+H77+H83+H87+H89</f>
        <v>565800000</v>
      </c>
      <c r="I67" s="366">
        <f t="shared" si="103"/>
        <v>20416666.666666668</v>
      </c>
      <c r="J67" s="366">
        <f t="shared" si="103"/>
        <v>132516666.66666667</v>
      </c>
      <c r="K67" s="366">
        <f t="shared" si="103"/>
        <v>79294016.666666672</v>
      </c>
      <c r="L67" s="366">
        <f t="shared" si="103"/>
        <v>77394016.666666672</v>
      </c>
      <c r="M67" s="366">
        <f t="shared" si="103"/>
        <v>78916666.666666672</v>
      </c>
      <c r="N67" s="366">
        <f t="shared" si="103"/>
        <v>85916666.666666672</v>
      </c>
      <c r="O67" s="366">
        <f t="shared" si="103"/>
        <v>64116666.666666672</v>
      </c>
      <c r="P67" s="366">
        <f t="shared" si="103"/>
        <v>43761966.666666672</v>
      </c>
      <c r="Q67" s="366">
        <f t="shared" si="103"/>
        <v>45088472.666666672</v>
      </c>
      <c r="R67" s="366">
        <f t="shared" si="103"/>
        <v>65416666.666666672</v>
      </c>
      <c r="S67" s="366">
        <f t="shared" si="103"/>
        <v>173949707.66666666</v>
      </c>
      <c r="T67" s="366">
        <f t="shared" si="103"/>
        <v>42916666.666666672</v>
      </c>
      <c r="U67" s="417">
        <f t="shared" si="22"/>
        <v>692838472.66666663</v>
      </c>
      <c r="V67" s="366">
        <f t="shared" si="103"/>
        <v>909704847</v>
      </c>
      <c r="W67" s="396">
        <f t="shared" ref="W67:W130" si="104">+G67</f>
        <v>909704847</v>
      </c>
      <c r="X67" s="396">
        <f t="shared" ref="X67:X130" si="105">+W67-V67</f>
        <v>0</v>
      </c>
      <c r="Y67" s="396"/>
      <c r="Z67" s="55"/>
      <c r="AA67" s="207">
        <f>+AA68+AA70+AA74+AA77+AA83+AA87+AA89</f>
        <v>16200000</v>
      </c>
      <c r="AB67" s="207">
        <f t="shared" ref="AB67:AE67" si="106">+AB68+AB70+AB74+AB77+AB83+AB87+AB89</f>
        <v>133479361</v>
      </c>
      <c r="AC67" s="207">
        <f t="shared" si="106"/>
        <v>14639168</v>
      </c>
      <c r="AD67" s="207">
        <f t="shared" si="106"/>
        <v>6109864</v>
      </c>
      <c r="AE67" s="207">
        <f t="shared" si="106"/>
        <v>4219115</v>
      </c>
      <c r="AF67" s="207">
        <f t="shared" ref="AF67:AI67" si="107">+AF68+AF70+AF74+AF77+AF83+AF87+AF89</f>
        <v>4429501</v>
      </c>
      <c r="AG67" s="207">
        <f t="shared" si="107"/>
        <v>7836896</v>
      </c>
      <c r="AH67" s="207">
        <f t="shared" si="107"/>
        <v>65610511</v>
      </c>
      <c r="AI67" s="207">
        <f t="shared" si="107"/>
        <v>9161550</v>
      </c>
      <c r="AJ67" s="207">
        <v>52234612</v>
      </c>
      <c r="AK67" s="207">
        <f t="shared" si="21"/>
        <v>313920578</v>
      </c>
      <c r="AL67" s="386"/>
      <c r="AM67" s="406">
        <f t="shared" si="91"/>
        <v>-0.20653061224489802</v>
      </c>
      <c r="AN67" s="406">
        <f t="shared" si="92"/>
        <v>7.2647038108413662E-3</v>
      </c>
      <c r="AO67" s="406">
        <f t="shared" si="93"/>
        <v>-0.81538117735238957</v>
      </c>
      <c r="AP67" s="406">
        <f t="shared" si="94"/>
        <v>-0.92105508586904117</v>
      </c>
      <c r="AQ67" s="406">
        <f t="shared" si="95"/>
        <v>-0.94653708553326299</v>
      </c>
      <c r="AR67" s="406">
        <f t="shared" si="96"/>
        <v>-0.94844421726479144</v>
      </c>
      <c r="AS67" s="406">
        <f t="shared" si="97"/>
        <v>-0.87777131271120357</v>
      </c>
      <c r="AT67" s="406">
        <f t="shared" si="98"/>
        <v>0.49925873989514469</v>
      </c>
      <c r="AU67" s="406">
        <f t="shared" si="99"/>
        <v>-0.7968094845942072</v>
      </c>
      <c r="AV67" s="406">
        <f t="shared" si="100"/>
        <v>-0.20150911592356693</v>
      </c>
      <c r="AW67" s="406">
        <f t="shared" si="101"/>
        <v>0.80466286612883708</v>
      </c>
    </row>
    <row r="68" spans="1:49" s="70" customFormat="1" x14ac:dyDescent="0.25">
      <c r="A68" s="339">
        <v>21211311</v>
      </c>
      <c r="B68" s="340" t="s">
        <v>28</v>
      </c>
      <c r="C68" s="367">
        <f>+C69</f>
        <v>20000000</v>
      </c>
      <c r="D68" s="367">
        <f t="shared" ref="D68:G68" si="108">+D69</f>
        <v>10000000</v>
      </c>
      <c r="E68" s="367">
        <f t="shared" si="108"/>
        <v>0</v>
      </c>
      <c r="F68" s="367">
        <f t="shared" si="108"/>
        <v>0</v>
      </c>
      <c r="G68" s="367">
        <f t="shared" si="108"/>
        <v>30000000</v>
      </c>
      <c r="H68" s="367">
        <f t="shared" ref="H68:V68" si="109">+H69</f>
        <v>20000000</v>
      </c>
      <c r="I68" s="367">
        <f t="shared" si="109"/>
        <v>0</v>
      </c>
      <c r="J68" s="367">
        <f t="shared" si="109"/>
        <v>10000000</v>
      </c>
      <c r="K68" s="367">
        <f t="shared" si="109"/>
        <v>2000000</v>
      </c>
      <c r="L68" s="367">
        <f t="shared" si="109"/>
        <v>2000000</v>
      </c>
      <c r="M68" s="367">
        <f t="shared" si="109"/>
        <v>2000000</v>
      </c>
      <c r="N68" s="367">
        <f t="shared" si="109"/>
        <v>2000000</v>
      </c>
      <c r="O68" s="367">
        <f t="shared" si="109"/>
        <v>2000000</v>
      </c>
      <c r="P68" s="367">
        <f t="shared" si="109"/>
        <v>2500000</v>
      </c>
      <c r="Q68" s="367">
        <f t="shared" si="109"/>
        <v>2500000</v>
      </c>
      <c r="R68" s="367">
        <f t="shared" si="109"/>
        <v>2500000</v>
      </c>
      <c r="S68" s="367">
        <f t="shared" si="109"/>
        <v>2500000</v>
      </c>
      <c r="T68" s="367">
        <f t="shared" si="109"/>
        <v>0</v>
      </c>
      <c r="U68" s="418">
        <f t="shared" si="22"/>
        <v>27500000</v>
      </c>
      <c r="V68" s="367">
        <f t="shared" si="109"/>
        <v>30000000</v>
      </c>
      <c r="W68" s="396">
        <f t="shared" si="104"/>
        <v>30000000</v>
      </c>
      <c r="X68" s="396">
        <f t="shared" si="105"/>
        <v>0</v>
      </c>
      <c r="Y68" s="396"/>
      <c r="Z68" s="55"/>
      <c r="AA68" s="208">
        <f t="shared" ref="AA68:AI68" si="110">+AA69</f>
        <v>2000000</v>
      </c>
      <c r="AB68" s="208">
        <f t="shared" si="110"/>
        <v>0</v>
      </c>
      <c r="AC68" s="208">
        <f t="shared" si="110"/>
        <v>1394600</v>
      </c>
      <c r="AD68" s="208">
        <f t="shared" si="110"/>
        <v>1374600</v>
      </c>
      <c r="AE68" s="208">
        <f t="shared" si="110"/>
        <v>477600</v>
      </c>
      <c r="AF68" s="208">
        <f t="shared" si="110"/>
        <v>1208000</v>
      </c>
      <c r="AG68" s="208">
        <f t="shared" si="110"/>
        <v>332200</v>
      </c>
      <c r="AH68" s="208">
        <f t="shared" si="110"/>
        <v>323000</v>
      </c>
      <c r="AI68" s="208">
        <f t="shared" si="110"/>
        <v>480000</v>
      </c>
      <c r="AJ68" s="208">
        <v>65400</v>
      </c>
      <c r="AK68" s="208">
        <f t="shared" si="21"/>
        <v>7655400</v>
      </c>
      <c r="AL68" s="386"/>
      <c r="AM68" s="409" t="e">
        <f t="shared" si="91"/>
        <v>#DIV/0!</v>
      </c>
      <c r="AN68" s="409">
        <f t="shared" si="92"/>
        <v>-1</v>
      </c>
      <c r="AO68" s="409">
        <f t="shared" si="93"/>
        <v>-0.30270000000000002</v>
      </c>
      <c r="AP68" s="409">
        <f t="shared" si="94"/>
        <v>-0.31269999999999998</v>
      </c>
      <c r="AQ68" s="409">
        <f t="shared" si="95"/>
        <v>-0.76119999999999999</v>
      </c>
      <c r="AR68" s="409">
        <f t="shared" si="96"/>
        <v>-0.39600000000000002</v>
      </c>
      <c r="AS68" s="409">
        <f t="shared" si="97"/>
        <v>-0.83389999999999997</v>
      </c>
      <c r="AT68" s="409">
        <f t="shared" si="98"/>
        <v>-0.87080000000000002</v>
      </c>
      <c r="AU68" s="409">
        <f t="shared" si="99"/>
        <v>-0.80800000000000005</v>
      </c>
      <c r="AV68" s="409">
        <f t="shared" si="100"/>
        <v>-0.97384000000000004</v>
      </c>
      <c r="AW68" s="409">
        <f t="shared" si="101"/>
        <v>2.06216</v>
      </c>
    </row>
    <row r="69" spans="1:49" s="70" customFormat="1" ht="30" x14ac:dyDescent="0.25">
      <c r="A69" s="341">
        <v>212113116</v>
      </c>
      <c r="B69" s="342" t="s">
        <v>537</v>
      </c>
      <c r="C69" s="368">
        <v>20000000</v>
      </c>
      <c r="D69" s="368">
        <v>10000000</v>
      </c>
      <c r="E69" s="368">
        <v>0</v>
      </c>
      <c r="F69" s="368">
        <v>0</v>
      </c>
      <c r="G69" s="368">
        <f t="shared" ref="G69" si="111">+C69+D69-E69+F69</f>
        <v>30000000</v>
      </c>
      <c r="H69" s="58">
        <v>20000000</v>
      </c>
      <c r="I69" s="210"/>
      <c r="J69" s="210">
        <v>10000000</v>
      </c>
      <c r="K69" s="210">
        <v>2000000</v>
      </c>
      <c r="L69" s="210">
        <v>2000000</v>
      </c>
      <c r="M69" s="210">
        <v>2000000</v>
      </c>
      <c r="N69" s="210">
        <v>2000000</v>
      </c>
      <c r="O69" s="210">
        <v>2000000</v>
      </c>
      <c r="P69" s="210">
        <v>2500000</v>
      </c>
      <c r="Q69" s="210">
        <v>2500000</v>
      </c>
      <c r="R69" s="210">
        <v>2500000</v>
      </c>
      <c r="S69" s="210">
        <v>2500000</v>
      </c>
      <c r="T69" s="210"/>
      <c r="U69" s="412">
        <f t="shared" si="22"/>
        <v>27500000</v>
      </c>
      <c r="V69" s="58">
        <f t="shared" si="20"/>
        <v>30000000</v>
      </c>
      <c r="W69" s="396">
        <f t="shared" si="104"/>
        <v>30000000</v>
      </c>
      <c r="X69" s="396">
        <f t="shared" si="105"/>
        <v>0</v>
      </c>
      <c r="Y69" s="396"/>
      <c r="Z69" s="55"/>
      <c r="AA69" s="210">
        <v>2000000</v>
      </c>
      <c r="AB69" s="210">
        <v>0</v>
      </c>
      <c r="AC69" s="210">
        <v>1394600</v>
      </c>
      <c r="AD69" s="210">
        <v>1374600</v>
      </c>
      <c r="AE69" s="210">
        <v>477600</v>
      </c>
      <c r="AF69" s="210">
        <v>1208000</v>
      </c>
      <c r="AG69" s="210">
        <v>332200</v>
      </c>
      <c r="AH69" s="368">
        <v>323000</v>
      </c>
      <c r="AI69" s="368">
        <f>420000+60000</f>
        <v>480000</v>
      </c>
      <c r="AJ69" s="368">
        <v>65400</v>
      </c>
      <c r="AK69" s="210">
        <f t="shared" si="21"/>
        <v>7655400</v>
      </c>
      <c r="AL69" s="387"/>
      <c r="AM69" s="404" t="e">
        <f t="shared" si="91"/>
        <v>#DIV/0!</v>
      </c>
      <c r="AN69" s="404">
        <f t="shared" si="92"/>
        <v>-1</v>
      </c>
      <c r="AO69" s="404">
        <f t="shared" si="93"/>
        <v>-0.30270000000000002</v>
      </c>
      <c r="AP69" s="404">
        <f t="shared" si="94"/>
        <v>-0.31269999999999998</v>
      </c>
      <c r="AQ69" s="404">
        <f t="shared" si="95"/>
        <v>-0.76119999999999999</v>
      </c>
      <c r="AR69" s="404">
        <f t="shared" si="96"/>
        <v>-0.39600000000000002</v>
      </c>
      <c r="AS69" s="404">
        <f t="shared" si="97"/>
        <v>-0.83389999999999997</v>
      </c>
      <c r="AT69" s="404">
        <f t="shared" si="98"/>
        <v>-0.87080000000000002</v>
      </c>
      <c r="AU69" s="404">
        <f t="shared" si="99"/>
        <v>-0.80800000000000005</v>
      </c>
      <c r="AV69" s="404">
        <f t="shared" si="100"/>
        <v>-0.97384000000000004</v>
      </c>
      <c r="AW69" s="404">
        <f t="shared" si="101"/>
        <v>2.06216</v>
      </c>
    </row>
    <row r="70" spans="1:49" x14ac:dyDescent="0.25">
      <c r="A70" s="339">
        <v>21211312</v>
      </c>
      <c r="B70" s="340" t="s">
        <v>29</v>
      </c>
      <c r="C70" s="367">
        <f>+C71+C72+C73</f>
        <v>53000000</v>
      </c>
      <c r="D70" s="367">
        <f t="shared" ref="D70:G70" si="112">+D71+D72+D73</f>
        <v>49000000</v>
      </c>
      <c r="E70" s="367">
        <f t="shared" si="112"/>
        <v>29000000</v>
      </c>
      <c r="F70" s="367">
        <f t="shared" si="112"/>
        <v>132683041</v>
      </c>
      <c r="G70" s="367">
        <f t="shared" si="112"/>
        <v>205683041</v>
      </c>
      <c r="H70" s="367">
        <f t="shared" ref="H70:V70" si="113">+H71+H72+H73</f>
        <v>53000000</v>
      </c>
      <c r="I70" s="367">
        <f t="shared" si="113"/>
        <v>0</v>
      </c>
      <c r="J70" s="367">
        <f t="shared" si="113"/>
        <v>2000000</v>
      </c>
      <c r="K70" s="367">
        <f t="shared" si="113"/>
        <v>2000000</v>
      </c>
      <c r="L70" s="367">
        <f t="shared" si="113"/>
        <v>2000000</v>
      </c>
      <c r="M70" s="367">
        <f t="shared" si="113"/>
        <v>2000000</v>
      </c>
      <c r="N70" s="367">
        <f t="shared" si="113"/>
        <v>20000000</v>
      </c>
      <c r="O70" s="367">
        <f t="shared" si="113"/>
        <v>0</v>
      </c>
      <c r="P70" s="367">
        <f t="shared" si="113"/>
        <v>0</v>
      </c>
      <c r="Q70" s="367">
        <f t="shared" si="113"/>
        <v>0</v>
      </c>
      <c r="R70" s="367">
        <f t="shared" si="113"/>
        <v>30000000</v>
      </c>
      <c r="S70" s="367">
        <f t="shared" si="113"/>
        <v>137683041</v>
      </c>
      <c r="T70" s="367">
        <f t="shared" si="113"/>
        <v>10000000</v>
      </c>
      <c r="U70" s="418">
        <f t="shared" si="22"/>
        <v>58000000</v>
      </c>
      <c r="V70" s="367">
        <f t="shared" si="113"/>
        <v>205683041</v>
      </c>
      <c r="W70" s="396">
        <f t="shared" si="104"/>
        <v>205683041</v>
      </c>
      <c r="X70" s="396">
        <f t="shared" si="105"/>
        <v>0</v>
      </c>
      <c r="Y70" s="396"/>
      <c r="AA70" s="208">
        <f>+AA71+AA72+AA73</f>
        <v>3400000</v>
      </c>
      <c r="AB70" s="208">
        <f t="shared" ref="AB70:AI70" si="114">+AB71+AB72+AB73</f>
        <v>2539201</v>
      </c>
      <c r="AC70" s="208">
        <f t="shared" si="114"/>
        <v>3351000</v>
      </c>
      <c r="AD70" s="208">
        <f t="shared" si="114"/>
        <v>816000</v>
      </c>
      <c r="AE70" s="208">
        <f t="shared" si="114"/>
        <v>1538000</v>
      </c>
      <c r="AF70" s="208">
        <f t="shared" si="114"/>
        <v>1846000</v>
      </c>
      <c r="AG70" s="208">
        <f t="shared" si="114"/>
        <v>920200</v>
      </c>
      <c r="AH70" s="208">
        <f t="shared" si="114"/>
        <v>807164</v>
      </c>
      <c r="AI70" s="208">
        <f t="shared" si="114"/>
        <v>1634000</v>
      </c>
      <c r="AJ70" s="208">
        <v>23983000</v>
      </c>
      <c r="AK70" s="208">
        <f t="shared" si="21"/>
        <v>40834565</v>
      </c>
      <c r="AL70" s="386"/>
      <c r="AM70" s="409" t="e">
        <f t="shared" si="91"/>
        <v>#DIV/0!</v>
      </c>
      <c r="AN70" s="409">
        <f t="shared" si="92"/>
        <v>0.26960050000000002</v>
      </c>
      <c r="AO70" s="409">
        <f t="shared" si="93"/>
        <v>0.67549999999999999</v>
      </c>
      <c r="AP70" s="409">
        <f t="shared" si="94"/>
        <v>-0.59199999999999997</v>
      </c>
      <c r="AQ70" s="409">
        <f t="shared" si="95"/>
        <v>-0.23100000000000001</v>
      </c>
      <c r="AR70" s="409">
        <f t="shared" si="96"/>
        <v>-0.90769999999999995</v>
      </c>
      <c r="AS70" s="409" t="e">
        <f t="shared" si="97"/>
        <v>#DIV/0!</v>
      </c>
      <c r="AT70" s="409" t="e">
        <f t="shared" si="98"/>
        <v>#DIV/0!</v>
      </c>
      <c r="AU70" s="409" t="e">
        <f t="shared" si="99"/>
        <v>#DIV/0!</v>
      </c>
      <c r="AV70" s="409">
        <f t="shared" si="100"/>
        <v>-0.20056666666666667</v>
      </c>
      <c r="AW70" s="409">
        <f t="shared" si="101"/>
        <v>-0.70341616001930118</v>
      </c>
    </row>
    <row r="71" spans="1:49" ht="30" x14ac:dyDescent="0.25">
      <c r="A71" s="341">
        <v>212113121</v>
      </c>
      <c r="B71" s="342" t="s">
        <v>807</v>
      </c>
      <c r="C71" s="368"/>
      <c r="D71" s="368">
        <v>29000000</v>
      </c>
      <c r="E71" s="368">
        <v>29000000</v>
      </c>
      <c r="F71" s="368">
        <v>0</v>
      </c>
      <c r="G71" s="368">
        <f t="shared" ref="G71:G73" si="115">+C71+D71-E71+F71</f>
        <v>0</v>
      </c>
      <c r="H71" s="57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412">
        <f t="shared" si="22"/>
        <v>0</v>
      </c>
      <c r="V71" s="58">
        <f t="shared" si="20"/>
        <v>0</v>
      </c>
      <c r="W71" s="396">
        <f t="shared" si="104"/>
        <v>0</v>
      </c>
      <c r="X71" s="396">
        <f t="shared" si="105"/>
        <v>0</v>
      </c>
      <c r="Y71" s="396"/>
      <c r="AA71" s="210"/>
      <c r="AB71" s="210">
        <v>0</v>
      </c>
      <c r="AC71" s="210">
        <v>0</v>
      </c>
      <c r="AD71" s="210">
        <v>0</v>
      </c>
      <c r="AE71" s="210">
        <v>0</v>
      </c>
      <c r="AF71" s="210">
        <v>0</v>
      </c>
      <c r="AG71" s="210">
        <v>0</v>
      </c>
      <c r="AH71" s="368">
        <v>0</v>
      </c>
      <c r="AI71" s="368">
        <v>0</v>
      </c>
      <c r="AJ71" s="368">
        <v>0</v>
      </c>
      <c r="AK71" s="210">
        <f t="shared" si="21"/>
        <v>0</v>
      </c>
      <c r="AL71" s="387"/>
      <c r="AM71" s="404" t="e">
        <f t="shared" si="91"/>
        <v>#DIV/0!</v>
      </c>
      <c r="AN71" s="404" t="e">
        <f t="shared" si="92"/>
        <v>#DIV/0!</v>
      </c>
      <c r="AO71" s="404" t="e">
        <f t="shared" si="93"/>
        <v>#DIV/0!</v>
      </c>
      <c r="AP71" s="404" t="e">
        <f t="shared" si="94"/>
        <v>#DIV/0!</v>
      </c>
      <c r="AQ71" s="404" t="e">
        <f t="shared" si="95"/>
        <v>#DIV/0!</v>
      </c>
      <c r="AR71" s="404" t="e">
        <f t="shared" si="96"/>
        <v>#DIV/0!</v>
      </c>
      <c r="AS71" s="404" t="e">
        <f t="shared" si="97"/>
        <v>#DIV/0!</v>
      </c>
      <c r="AT71" s="404" t="e">
        <f t="shared" si="98"/>
        <v>#DIV/0!</v>
      </c>
      <c r="AU71" s="404" t="e">
        <f t="shared" si="99"/>
        <v>#DIV/0!</v>
      </c>
      <c r="AV71" s="404" t="e">
        <f t="shared" si="100"/>
        <v>#DIV/0!</v>
      </c>
      <c r="AW71" s="404" t="e">
        <f t="shared" si="101"/>
        <v>#DIV/0!</v>
      </c>
    </row>
    <row r="72" spans="1:49" s="70" customFormat="1" ht="30" x14ac:dyDescent="0.25">
      <c r="A72" s="341">
        <v>212113122</v>
      </c>
      <c r="B72" s="342" t="s">
        <v>538</v>
      </c>
      <c r="C72" s="368">
        <v>8000000</v>
      </c>
      <c r="D72" s="368">
        <v>10000000</v>
      </c>
      <c r="E72" s="368">
        <v>0</v>
      </c>
      <c r="F72" s="368">
        <v>0</v>
      </c>
      <c r="G72" s="368">
        <f t="shared" si="115"/>
        <v>18000000</v>
      </c>
      <c r="H72" s="58">
        <v>8000000</v>
      </c>
      <c r="I72" s="210">
        <v>0</v>
      </c>
      <c r="J72" s="210">
        <v>2000000</v>
      </c>
      <c r="K72" s="210">
        <v>2000000</v>
      </c>
      <c r="L72" s="210">
        <v>2000000</v>
      </c>
      <c r="M72" s="210">
        <v>2000000</v>
      </c>
      <c r="N72" s="210"/>
      <c r="O72" s="210">
        <v>0</v>
      </c>
      <c r="P72" s="210"/>
      <c r="Q72" s="210">
        <v>0</v>
      </c>
      <c r="R72" s="210">
        <v>5000000</v>
      </c>
      <c r="S72" s="210">
        <v>5000000</v>
      </c>
      <c r="T72" s="210">
        <v>0</v>
      </c>
      <c r="U72" s="412">
        <f t="shared" si="22"/>
        <v>13000000</v>
      </c>
      <c r="V72" s="58">
        <f t="shared" si="20"/>
        <v>18000000</v>
      </c>
      <c r="W72" s="396">
        <f t="shared" si="104"/>
        <v>18000000</v>
      </c>
      <c r="X72" s="396">
        <f t="shared" si="105"/>
        <v>0</v>
      </c>
      <c r="Y72" s="396"/>
      <c r="Z72" s="53"/>
      <c r="AA72" s="210">
        <v>1700000</v>
      </c>
      <c r="AB72" s="210">
        <v>1439901</v>
      </c>
      <c r="AC72" s="210">
        <v>1898000</v>
      </c>
      <c r="AD72" s="210">
        <v>50000</v>
      </c>
      <c r="AE72" s="210">
        <v>500000</v>
      </c>
      <c r="AF72" s="210">
        <v>896700</v>
      </c>
      <c r="AG72" s="210">
        <v>242000</v>
      </c>
      <c r="AH72" s="368">
        <v>426764</v>
      </c>
      <c r="AI72" s="368">
        <v>800000</v>
      </c>
      <c r="AJ72" s="368">
        <v>483000</v>
      </c>
      <c r="AK72" s="210">
        <f t="shared" si="21"/>
        <v>8436365</v>
      </c>
      <c r="AL72" s="387"/>
      <c r="AM72" s="404" t="e">
        <f t="shared" si="91"/>
        <v>#DIV/0!</v>
      </c>
      <c r="AN72" s="404">
        <f t="shared" si="92"/>
        <v>-0.28004950000000001</v>
      </c>
      <c r="AO72" s="404">
        <f t="shared" si="93"/>
        <v>-5.0999999999999997E-2</v>
      </c>
      <c r="AP72" s="404">
        <f t="shared" si="94"/>
        <v>-0.97499999999999998</v>
      </c>
      <c r="AQ72" s="404">
        <f t="shared" si="95"/>
        <v>-0.75</v>
      </c>
      <c r="AR72" s="404" t="e">
        <f t="shared" si="96"/>
        <v>#DIV/0!</v>
      </c>
      <c r="AS72" s="404" t="e">
        <f t="shared" si="97"/>
        <v>#DIV/0!</v>
      </c>
      <c r="AT72" s="404" t="e">
        <f t="shared" si="98"/>
        <v>#DIV/0!</v>
      </c>
      <c r="AU72" s="404" t="e">
        <f t="shared" si="99"/>
        <v>#DIV/0!</v>
      </c>
      <c r="AV72" s="404">
        <f t="shared" si="100"/>
        <v>-0.90339999999999998</v>
      </c>
      <c r="AW72" s="404">
        <f t="shared" si="101"/>
        <v>0.68727300000000002</v>
      </c>
    </row>
    <row r="73" spans="1:49" ht="30" x14ac:dyDescent="0.25">
      <c r="A73" s="341">
        <v>212113128</v>
      </c>
      <c r="B73" s="342" t="s">
        <v>539</v>
      </c>
      <c r="C73" s="368">
        <v>45000000</v>
      </c>
      <c r="D73" s="368">
        <v>10000000</v>
      </c>
      <c r="E73" s="368">
        <v>0</v>
      </c>
      <c r="F73" s="368">
        <v>132683041</v>
      </c>
      <c r="G73" s="368">
        <f t="shared" si="115"/>
        <v>187683041</v>
      </c>
      <c r="H73" s="58">
        <v>45000000</v>
      </c>
      <c r="I73" s="210">
        <v>0</v>
      </c>
      <c r="J73" s="210">
        <v>0</v>
      </c>
      <c r="K73" s="210">
        <v>0</v>
      </c>
      <c r="L73" s="210">
        <v>0</v>
      </c>
      <c r="M73" s="210">
        <v>0</v>
      </c>
      <c r="N73" s="210">
        <v>20000000</v>
      </c>
      <c r="O73" s="210">
        <v>0</v>
      </c>
      <c r="P73" s="210">
        <v>0</v>
      </c>
      <c r="Q73" s="210">
        <v>0</v>
      </c>
      <c r="R73" s="210">
        <v>25000000</v>
      </c>
      <c r="S73" s="210">
        <v>132683041</v>
      </c>
      <c r="T73" s="210">
        <v>10000000</v>
      </c>
      <c r="U73" s="412">
        <f t="shared" si="22"/>
        <v>45000000</v>
      </c>
      <c r="V73" s="58">
        <f t="shared" si="20"/>
        <v>187683041</v>
      </c>
      <c r="W73" s="396">
        <f t="shared" si="104"/>
        <v>187683041</v>
      </c>
      <c r="X73" s="396">
        <f t="shared" si="105"/>
        <v>0</v>
      </c>
      <c r="Y73" s="396"/>
      <c r="AA73" s="210">
        <v>1700000</v>
      </c>
      <c r="AB73" s="210">
        <v>1099300</v>
      </c>
      <c r="AC73" s="210">
        <v>1453000</v>
      </c>
      <c r="AD73" s="210">
        <v>766000</v>
      </c>
      <c r="AE73" s="210">
        <v>1038000</v>
      </c>
      <c r="AF73" s="210">
        <v>949300</v>
      </c>
      <c r="AG73" s="210">
        <v>678200</v>
      </c>
      <c r="AH73" s="368">
        <v>380400</v>
      </c>
      <c r="AI73" s="368">
        <v>834000</v>
      </c>
      <c r="AJ73" s="368">
        <v>23500000</v>
      </c>
      <c r="AK73" s="210">
        <f t="shared" ref="AK73:AK136" si="116">SUM(AA73:AJ73)</f>
        <v>32398200</v>
      </c>
      <c r="AL73" s="387"/>
      <c r="AM73" s="404" t="e">
        <f t="shared" si="91"/>
        <v>#DIV/0!</v>
      </c>
      <c r="AN73" s="404" t="e">
        <f t="shared" si="92"/>
        <v>#DIV/0!</v>
      </c>
      <c r="AO73" s="404" t="e">
        <f t="shared" si="93"/>
        <v>#DIV/0!</v>
      </c>
      <c r="AP73" s="404" t="e">
        <f t="shared" si="94"/>
        <v>#DIV/0!</v>
      </c>
      <c r="AQ73" s="404" t="e">
        <f t="shared" si="95"/>
        <v>#DIV/0!</v>
      </c>
      <c r="AR73" s="404">
        <f t="shared" si="96"/>
        <v>-0.95253500000000002</v>
      </c>
      <c r="AS73" s="404" t="e">
        <f t="shared" si="97"/>
        <v>#DIV/0!</v>
      </c>
      <c r="AT73" s="404" t="e">
        <f t="shared" si="98"/>
        <v>#DIV/0!</v>
      </c>
      <c r="AU73" s="404" t="e">
        <f t="shared" si="99"/>
        <v>#DIV/0!</v>
      </c>
      <c r="AV73" s="404">
        <f t="shared" si="100"/>
        <v>-0.06</v>
      </c>
      <c r="AW73" s="404">
        <f t="shared" si="101"/>
        <v>-0.75582259981514899</v>
      </c>
    </row>
    <row r="74" spans="1:49" ht="30" x14ac:dyDescent="0.25">
      <c r="A74" s="339">
        <v>21211313</v>
      </c>
      <c r="B74" s="340" t="s">
        <v>30</v>
      </c>
      <c r="C74" s="367">
        <f>+C75+C76</f>
        <v>100000000</v>
      </c>
      <c r="D74" s="367">
        <f t="shared" ref="D74:G74" si="117">+D75+D76</f>
        <v>20000000</v>
      </c>
      <c r="E74" s="367">
        <f t="shared" si="117"/>
        <v>81267811</v>
      </c>
      <c r="F74" s="367">
        <f t="shared" si="117"/>
        <v>163439617</v>
      </c>
      <c r="G74" s="367">
        <f t="shared" si="117"/>
        <v>202171806</v>
      </c>
      <c r="H74" s="57">
        <f>+H75+H76</f>
        <v>222000000</v>
      </c>
      <c r="I74" s="208">
        <f t="shared" ref="I74:V74" si="118">+I75+I76</f>
        <v>0</v>
      </c>
      <c r="J74" s="208">
        <f t="shared" si="118"/>
        <v>36000000</v>
      </c>
      <c r="K74" s="208">
        <f t="shared" si="118"/>
        <v>31577350</v>
      </c>
      <c r="L74" s="208">
        <f t="shared" si="118"/>
        <v>29577350</v>
      </c>
      <c r="M74" s="208">
        <f t="shared" si="118"/>
        <v>30500000</v>
      </c>
      <c r="N74" s="208">
        <f t="shared" si="118"/>
        <v>33500000</v>
      </c>
      <c r="O74" s="208">
        <f t="shared" si="118"/>
        <v>13500000</v>
      </c>
      <c r="P74" s="208">
        <f t="shared" si="118"/>
        <v>12845300</v>
      </c>
      <c r="Q74" s="208">
        <f t="shared" si="118"/>
        <v>7171806</v>
      </c>
      <c r="R74" s="208">
        <f t="shared" si="118"/>
        <v>2500000</v>
      </c>
      <c r="S74" s="208">
        <f t="shared" si="118"/>
        <v>2500000</v>
      </c>
      <c r="T74" s="208">
        <f t="shared" si="118"/>
        <v>2500000</v>
      </c>
      <c r="U74" s="413">
        <f t="shared" ref="U74:U137" si="119">SUM(I74:R74)</f>
        <v>197171806</v>
      </c>
      <c r="V74" s="57">
        <f t="shared" si="118"/>
        <v>202171806</v>
      </c>
      <c r="W74" s="396">
        <f t="shared" si="104"/>
        <v>202171806</v>
      </c>
      <c r="X74" s="396">
        <f t="shared" si="105"/>
        <v>0</v>
      </c>
      <c r="Y74" s="396"/>
      <c r="Z74" s="55"/>
      <c r="AA74" s="209">
        <f t="shared" ref="AA74:AD74" si="120">+AA75+AA76</f>
        <v>2500000</v>
      </c>
      <c r="AB74" s="209">
        <f t="shared" si="120"/>
        <v>0</v>
      </c>
      <c r="AC74" s="209">
        <f t="shared" si="120"/>
        <v>4692549</v>
      </c>
      <c r="AD74" s="209">
        <f t="shared" si="120"/>
        <v>1643994</v>
      </c>
      <c r="AE74" s="209">
        <f>+AE75+AE76</f>
        <v>459000</v>
      </c>
      <c r="AF74" s="209">
        <f t="shared" ref="AF74:AI74" si="121">+AF75+AF76</f>
        <v>311500</v>
      </c>
      <c r="AG74" s="209">
        <f t="shared" si="121"/>
        <v>537319</v>
      </c>
      <c r="AH74" s="209">
        <f t="shared" si="121"/>
        <v>49492446</v>
      </c>
      <c r="AI74" s="209">
        <f t="shared" si="121"/>
        <v>3833950</v>
      </c>
      <c r="AJ74" s="209">
        <v>0</v>
      </c>
      <c r="AK74" s="209">
        <f t="shared" si="116"/>
        <v>63470758</v>
      </c>
      <c r="AL74" s="386"/>
      <c r="AM74" s="405" t="e">
        <f t="shared" si="91"/>
        <v>#DIV/0!</v>
      </c>
      <c r="AN74" s="405">
        <f t="shared" si="92"/>
        <v>-1</v>
      </c>
      <c r="AO74" s="405">
        <f t="shared" si="93"/>
        <v>-0.85139509806871061</v>
      </c>
      <c r="AP74" s="405">
        <f t="shared" si="94"/>
        <v>-0.94441712999981409</v>
      </c>
      <c r="AQ74" s="405">
        <f t="shared" si="95"/>
        <v>-0.98495081967213116</v>
      </c>
      <c r="AR74" s="405">
        <f t="shared" si="96"/>
        <v>-0.99070149253731343</v>
      </c>
      <c r="AS74" s="405">
        <f t="shared" si="97"/>
        <v>-0.96019859259259255</v>
      </c>
      <c r="AT74" s="405">
        <f t="shared" si="98"/>
        <v>2.8529614722894756</v>
      </c>
      <c r="AU74" s="405">
        <f t="shared" si="99"/>
        <v>-0.46541359317304454</v>
      </c>
      <c r="AV74" s="405">
        <f t="shared" si="100"/>
        <v>-1</v>
      </c>
      <c r="AW74" s="405">
        <f t="shared" si="101"/>
        <v>24.388303199999999</v>
      </c>
    </row>
    <row r="75" spans="1:49" s="70" customFormat="1" ht="30" x14ac:dyDescent="0.25">
      <c r="A75" s="341">
        <v>212113131</v>
      </c>
      <c r="B75" s="342" t="s">
        <v>540</v>
      </c>
      <c r="C75" s="368">
        <v>45000000</v>
      </c>
      <c r="D75" s="368">
        <v>10000000</v>
      </c>
      <c r="E75" s="368">
        <v>0</v>
      </c>
      <c r="F75" s="368">
        <v>57000000</v>
      </c>
      <c r="G75" s="368">
        <f t="shared" ref="G75:G76" si="122">+C75+D75-E75+F75</f>
        <v>112000000</v>
      </c>
      <c r="H75" s="59">
        <v>102000000</v>
      </c>
      <c r="I75" s="210">
        <v>0</v>
      </c>
      <c r="J75" s="210">
        <v>20000000</v>
      </c>
      <c r="K75" s="210">
        <v>16577350</v>
      </c>
      <c r="L75" s="210">
        <v>15577350</v>
      </c>
      <c r="M75" s="210">
        <v>14000000</v>
      </c>
      <c r="N75" s="210">
        <v>19500000</v>
      </c>
      <c r="O75" s="210">
        <v>8500000</v>
      </c>
      <c r="P75" s="210">
        <v>7845300</v>
      </c>
      <c r="Q75" s="210">
        <v>2500000</v>
      </c>
      <c r="R75" s="210">
        <v>2500000</v>
      </c>
      <c r="S75" s="210">
        <v>2500000</v>
      </c>
      <c r="T75" s="210">
        <v>2500000</v>
      </c>
      <c r="U75" s="412">
        <f t="shared" si="119"/>
        <v>107000000</v>
      </c>
      <c r="V75" s="58">
        <f t="shared" si="20"/>
        <v>112000000</v>
      </c>
      <c r="W75" s="396">
        <f t="shared" si="104"/>
        <v>112000000</v>
      </c>
      <c r="X75" s="396">
        <f t="shared" si="105"/>
        <v>0</v>
      </c>
      <c r="Y75" s="396"/>
      <c r="Z75" s="53"/>
      <c r="AA75" s="210">
        <v>1200000</v>
      </c>
      <c r="AB75" s="210">
        <v>0</v>
      </c>
      <c r="AC75" s="210">
        <v>1932649</v>
      </c>
      <c r="AD75" s="210">
        <v>0</v>
      </c>
      <c r="AE75" s="210">
        <v>0</v>
      </c>
      <c r="AF75" s="210">
        <v>169500</v>
      </c>
      <c r="AG75" s="210">
        <v>330000</v>
      </c>
      <c r="AH75" s="368">
        <v>24000000</v>
      </c>
      <c r="AI75" s="368">
        <v>0</v>
      </c>
      <c r="AJ75" s="368">
        <v>0</v>
      </c>
      <c r="AK75" s="210">
        <f t="shared" si="116"/>
        <v>27632149</v>
      </c>
      <c r="AL75" s="387"/>
      <c r="AM75" s="404" t="e">
        <f t="shared" si="91"/>
        <v>#DIV/0!</v>
      </c>
      <c r="AN75" s="404">
        <f t="shared" si="92"/>
        <v>-1</v>
      </c>
      <c r="AO75" s="404">
        <f t="shared" si="93"/>
        <v>-0.88341628788678528</v>
      </c>
      <c r="AP75" s="404">
        <f t="shared" si="94"/>
        <v>-1</v>
      </c>
      <c r="AQ75" s="404">
        <f t="shared" si="95"/>
        <v>-1</v>
      </c>
      <c r="AR75" s="404">
        <f t="shared" si="96"/>
        <v>-0.99130769230769233</v>
      </c>
      <c r="AS75" s="404">
        <f t="shared" si="97"/>
        <v>-0.9611764705882353</v>
      </c>
      <c r="AT75" s="404">
        <f t="shared" si="98"/>
        <v>2.0591564376123284</v>
      </c>
      <c r="AU75" s="404">
        <f t="shared" si="99"/>
        <v>-1</v>
      </c>
      <c r="AV75" s="404">
        <f t="shared" si="100"/>
        <v>-1</v>
      </c>
      <c r="AW75" s="404">
        <f t="shared" si="101"/>
        <v>10.0528596</v>
      </c>
    </row>
    <row r="76" spans="1:49" ht="30" x14ac:dyDescent="0.25">
      <c r="A76" s="341">
        <v>212113132</v>
      </c>
      <c r="B76" s="342" t="s">
        <v>541</v>
      </c>
      <c r="C76" s="368">
        <v>55000000</v>
      </c>
      <c r="D76" s="368">
        <v>10000000</v>
      </c>
      <c r="E76" s="368">
        <v>81267811</v>
      </c>
      <c r="F76" s="368">
        <v>106439617</v>
      </c>
      <c r="G76" s="368">
        <f t="shared" si="122"/>
        <v>90171806</v>
      </c>
      <c r="H76" s="59">
        <v>120000000</v>
      </c>
      <c r="I76" s="210">
        <v>0</v>
      </c>
      <c r="J76" s="210">
        <v>16000000</v>
      </c>
      <c r="K76" s="210">
        <v>15000000</v>
      </c>
      <c r="L76" s="210">
        <v>14000000</v>
      </c>
      <c r="M76" s="210">
        <v>16500000</v>
      </c>
      <c r="N76" s="210">
        <v>14000000</v>
      </c>
      <c r="O76" s="210">
        <v>5000000</v>
      </c>
      <c r="P76" s="210">
        <v>5000000</v>
      </c>
      <c r="Q76" s="210">
        <f>5000000-328194</f>
        <v>4671806</v>
      </c>
      <c r="R76" s="210"/>
      <c r="S76" s="210"/>
      <c r="T76" s="210"/>
      <c r="U76" s="412">
        <f t="shared" si="119"/>
        <v>90171806</v>
      </c>
      <c r="V76" s="58">
        <f t="shared" ref="V76:V82" si="123">SUM(I76:T76)</f>
        <v>90171806</v>
      </c>
      <c r="W76" s="396">
        <f t="shared" si="104"/>
        <v>90171806</v>
      </c>
      <c r="X76" s="396">
        <f t="shared" si="105"/>
        <v>0</v>
      </c>
      <c r="Y76" s="396">
        <f>+X76/2</f>
        <v>0</v>
      </c>
      <c r="AA76" s="210">
        <v>1300000</v>
      </c>
      <c r="AB76" s="210">
        <v>0</v>
      </c>
      <c r="AC76" s="210">
        <v>2759900</v>
      </c>
      <c r="AD76" s="210">
        <v>1643994</v>
      </c>
      <c r="AE76" s="210">
        <v>459000</v>
      </c>
      <c r="AF76" s="210">
        <v>142000</v>
      </c>
      <c r="AG76" s="210">
        <v>207319</v>
      </c>
      <c r="AH76" s="368">
        <v>25492446</v>
      </c>
      <c r="AI76" s="368">
        <v>3833950</v>
      </c>
      <c r="AJ76" s="368">
        <v>0</v>
      </c>
      <c r="AK76" s="210">
        <f t="shared" si="116"/>
        <v>35838609</v>
      </c>
      <c r="AL76" s="387"/>
      <c r="AM76" s="404" t="e">
        <f t="shared" si="91"/>
        <v>#DIV/0!</v>
      </c>
      <c r="AN76" s="404">
        <f t="shared" si="92"/>
        <v>-1</v>
      </c>
      <c r="AO76" s="404">
        <f t="shared" si="93"/>
        <v>-0.81600666666666666</v>
      </c>
      <c r="AP76" s="404">
        <f t="shared" si="94"/>
        <v>-0.88257185714285713</v>
      </c>
      <c r="AQ76" s="404">
        <f t="shared" si="95"/>
        <v>-0.97218181818181815</v>
      </c>
      <c r="AR76" s="404">
        <f t="shared" si="96"/>
        <v>-0.98985714285714288</v>
      </c>
      <c r="AS76" s="404">
        <f t="shared" si="97"/>
        <v>-0.95853619999999995</v>
      </c>
      <c r="AT76" s="404">
        <f t="shared" si="98"/>
        <v>4.0984892000000004</v>
      </c>
      <c r="AU76" s="404">
        <f t="shared" si="99"/>
        <v>-0.17934306347481038</v>
      </c>
      <c r="AV76" s="404" t="e">
        <f t="shared" si="100"/>
        <v>#DIV/0!</v>
      </c>
      <c r="AW76" s="404" t="e">
        <f t="shared" si="101"/>
        <v>#DIV/0!</v>
      </c>
    </row>
    <row r="77" spans="1:49" x14ac:dyDescent="0.25">
      <c r="A77" s="339">
        <v>21211314</v>
      </c>
      <c r="B77" s="340" t="s">
        <v>31</v>
      </c>
      <c r="C77" s="367">
        <f>+C78+C79+C80+C81+C82</f>
        <v>18800000</v>
      </c>
      <c r="D77" s="367">
        <f t="shared" ref="D77" si="124">+D78+D79+D80+D81+D82</f>
        <v>50000000</v>
      </c>
      <c r="E77" s="367">
        <f>+E78+E79+E80+E81+E82</f>
        <v>48950000</v>
      </c>
      <c r="F77" s="367">
        <f t="shared" ref="F77:G77" si="125">+F78+F79+F80+F81+F82</f>
        <v>155000000</v>
      </c>
      <c r="G77" s="367">
        <f t="shared" si="125"/>
        <v>174850000</v>
      </c>
      <c r="H77" s="367">
        <f t="shared" ref="H77:V77" si="126">+H78+H79+H80+H81+H82</f>
        <v>173800000</v>
      </c>
      <c r="I77" s="367">
        <f t="shared" si="126"/>
        <v>0</v>
      </c>
      <c r="J77" s="367">
        <f t="shared" si="126"/>
        <v>43000000</v>
      </c>
      <c r="K77" s="367">
        <f t="shared" si="126"/>
        <v>20000000</v>
      </c>
      <c r="L77" s="367">
        <f t="shared" si="126"/>
        <v>20000000</v>
      </c>
      <c r="M77" s="367">
        <f t="shared" si="126"/>
        <v>20000000</v>
      </c>
      <c r="N77" s="367">
        <f t="shared" si="126"/>
        <v>10000000</v>
      </c>
      <c r="O77" s="367">
        <f t="shared" si="126"/>
        <v>11000000</v>
      </c>
      <c r="P77" s="367">
        <f t="shared" si="126"/>
        <v>5000000</v>
      </c>
      <c r="Q77" s="367">
        <f t="shared" si="126"/>
        <v>15000000</v>
      </c>
      <c r="R77" s="367">
        <f t="shared" si="126"/>
        <v>10000000</v>
      </c>
      <c r="S77" s="367">
        <f t="shared" si="126"/>
        <v>10850000</v>
      </c>
      <c r="T77" s="367">
        <f t="shared" si="126"/>
        <v>10000000</v>
      </c>
      <c r="U77" s="418">
        <f t="shared" si="119"/>
        <v>154000000</v>
      </c>
      <c r="V77" s="367">
        <f t="shared" si="126"/>
        <v>174850000</v>
      </c>
      <c r="W77" s="396">
        <f t="shared" si="104"/>
        <v>174850000</v>
      </c>
      <c r="X77" s="396">
        <f t="shared" si="105"/>
        <v>0</v>
      </c>
      <c r="Y77" s="396"/>
      <c r="Z77" s="55"/>
      <c r="AA77" s="208">
        <f>SUM(AA78:AA82)</f>
        <v>4100000</v>
      </c>
      <c r="AB77" s="209">
        <f>+AB78+AB79+AB80+AB81+AB82</f>
        <v>849660</v>
      </c>
      <c r="AC77" s="209">
        <f t="shared" ref="AC77:AG77" si="127">+AC78+AC79+AC80+AC81+AC82</f>
        <v>3616119</v>
      </c>
      <c r="AD77" s="209">
        <f t="shared" si="127"/>
        <v>572000</v>
      </c>
      <c r="AE77" s="209">
        <f t="shared" si="127"/>
        <v>645000</v>
      </c>
      <c r="AF77" s="209">
        <f t="shared" si="127"/>
        <v>836001</v>
      </c>
      <c r="AG77" s="209">
        <f t="shared" si="127"/>
        <v>985000</v>
      </c>
      <c r="AH77" s="367">
        <v>1272000</v>
      </c>
      <c r="AI77" s="367">
        <v>1914600</v>
      </c>
      <c r="AJ77" s="367">
        <v>931772</v>
      </c>
      <c r="AK77" s="209">
        <f t="shared" si="116"/>
        <v>15722152</v>
      </c>
      <c r="AL77" s="386"/>
      <c r="AM77" s="405" t="e">
        <f t="shared" si="91"/>
        <v>#DIV/0!</v>
      </c>
      <c r="AN77" s="405">
        <f t="shared" si="92"/>
        <v>-0.98024046511627905</v>
      </c>
      <c r="AO77" s="405">
        <f t="shared" si="93"/>
        <v>-0.81919405000000001</v>
      </c>
      <c r="AP77" s="405">
        <f t="shared" si="94"/>
        <v>-0.97140000000000004</v>
      </c>
      <c r="AQ77" s="405">
        <f t="shared" si="95"/>
        <v>-0.96775</v>
      </c>
      <c r="AR77" s="405">
        <f t="shared" si="96"/>
        <v>-0.91639990000000004</v>
      </c>
      <c r="AS77" s="405">
        <f t="shared" si="97"/>
        <v>-0.91045454545454541</v>
      </c>
      <c r="AT77" s="405">
        <f t="shared" si="98"/>
        <v>-0.74560000000000004</v>
      </c>
      <c r="AU77" s="405">
        <f t="shared" si="99"/>
        <v>-0.87236000000000002</v>
      </c>
      <c r="AV77" s="405">
        <f t="shared" si="100"/>
        <v>-0.90682280000000004</v>
      </c>
      <c r="AW77" s="405">
        <f t="shared" si="101"/>
        <v>0.44904626728110597</v>
      </c>
    </row>
    <row r="78" spans="1:49" ht="30" x14ac:dyDescent="0.25">
      <c r="A78" s="341">
        <v>212113141</v>
      </c>
      <c r="B78" s="342" t="s">
        <v>542</v>
      </c>
      <c r="C78" s="368">
        <v>3000000</v>
      </c>
      <c r="D78" s="368">
        <v>10000000</v>
      </c>
      <c r="E78" s="368">
        <v>0</v>
      </c>
      <c r="F78" s="368">
        <v>45000000</v>
      </c>
      <c r="G78" s="368">
        <f t="shared" ref="G78:G82" si="128">+C78+D78-E78+F78</f>
        <v>58000000</v>
      </c>
      <c r="H78" s="59">
        <v>48000000</v>
      </c>
      <c r="I78" s="210">
        <v>0</v>
      </c>
      <c r="J78" s="210">
        <v>13000000</v>
      </c>
      <c r="K78" s="210">
        <v>5000000</v>
      </c>
      <c r="L78" s="210">
        <v>5000000</v>
      </c>
      <c r="M78" s="210">
        <v>5000000</v>
      </c>
      <c r="N78" s="210">
        <v>5000000</v>
      </c>
      <c r="O78" s="210">
        <v>5000000</v>
      </c>
      <c r="P78" s="210">
        <v>5000000</v>
      </c>
      <c r="Q78" s="210">
        <v>7500000</v>
      </c>
      <c r="R78" s="210">
        <v>2500000</v>
      </c>
      <c r="S78" s="210">
        <v>2500000</v>
      </c>
      <c r="T78" s="210">
        <v>2500000</v>
      </c>
      <c r="U78" s="412">
        <f t="shared" si="119"/>
        <v>53000000</v>
      </c>
      <c r="V78" s="58">
        <f t="shared" si="123"/>
        <v>58000000</v>
      </c>
      <c r="W78" s="396">
        <f t="shared" si="104"/>
        <v>58000000</v>
      </c>
      <c r="X78" s="396">
        <f t="shared" si="105"/>
        <v>0</v>
      </c>
      <c r="Y78" s="396"/>
      <c r="AA78" s="210">
        <v>1300000</v>
      </c>
      <c r="AB78" s="210">
        <v>400000</v>
      </c>
      <c r="AC78" s="210">
        <v>1387999</v>
      </c>
      <c r="AD78" s="210">
        <v>0</v>
      </c>
      <c r="AE78" s="210">
        <v>515000</v>
      </c>
      <c r="AF78" s="210">
        <v>236000</v>
      </c>
      <c r="AG78" s="210">
        <v>378000</v>
      </c>
      <c r="AH78" s="368">
        <v>698000</v>
      </c>
      <c r="AI78" s="368">
        <v>982000</v>
      </c>
      <c r="AJ78" s="368">
        <v>207172</v>
      </c>
      <c r="AK78" s="210">
        <f t="shared" si="116"/>
        <v>6104171</v>
      </c>
      <c r="AL78" s="387"/>
      <c r="AM78" s="404" t="e">
        <f t="shared" si="91"/>
        <v>#DIV/0!</v>
      </c>
      <c r="AN78" s="404">
        <f t="shared" si="92"/>
        <v>-0.96923076923076923</v>
      </c>
      <c r="AO78" s="404">
        <f t="shared" si="93"/>
        <v>-0.72240020000000005</v>
      </c>
      <c r="AP78" s="404">
        <f t="shared" si="94"/>
        <v>-1</v>
      </c>
      <c r="AQ78" s="404">
        <f t="shared" si="95"/>
        <v>-0.89700000000000002</v>
      </c>
      <c r="AR78" s="404">
        <f t="shared" si="96"/>
        <v>-0.95279999999999998</v>
      </c>
      <c r="AS78" s="404">
        <f t="shared" si="97"/>
        <v>-0.9244</v>
      </c>
      <c r="AT78" s="404">
        <f t="shared" si="98"/>
        <v>-0.86040000000000005</v>
      </c>
      <c r="AU78" s="404">
        <f t="shared" si="99"/>
        <v>-0.86906666666666665</v>
      </c>
      <c r="AV78" s="404">
        <f t="shared" si="100"/>
        <v>-0.91713120000000004</v>
      </c>
      <c r="AW78" s="404">
        <f t="shared" si="101"/>
        <v>1.4416684</v>
      </c>
    </row>
    <row r="79" spans="1:49" s="70" customFormat="1" x14ac:dyDescent="0.25">
      <c r="A79" s="341">
        <v>212113142</v>
      </c>
      <c r="B79" s="342" t="s">
        <v>543</v>
      </c>
      <c r="C79" s="368">
        <v>0</v>
      </c>
      <c r="D79" s="368">
        <v>10000000</v>
      </c>
      <c r="E79" s="368">
        <v>0</v>
      </c>
      <c r="F79" s="368">
        <v>35000000</v>
      </c>
      <c r="G79" s="368">
        <f t="shared" si="128"/>
        <v>45000000</v>
      </c>
      <c r="H79" s="58">
        <v>35000000</v>
      </c>
      <c r="I79" s="210">
        <v>0</v>
      </c>
      <c r="J79" s="210">
        <v>10000000</v>
      </c>
      <c r="K79" s="210">
        <v>5000000</v>
      </c>
      <c r="L79" s="210">
        <v>5000000</v>
      </c>
      <c r="M79" s="210">
        <v>5000000</v>
      </c>
      <c r="N79" s="210">
        <v>5000000</v>
      </c>
      <c r="O79" s="210">
        <v>5000000</v>
      </c>
      <c r="P79" s="210">
        <v>0</v>
      </c>
      <c r="Q79" s="58">
        <v>2500000</v>
      </c>
      <c r="R79" s="58">
        <v>2500000</v>
      </c>
      <c r="S79" s="58">
        <v>2500000</v>
      </c>
      <c r="T79" s="58">
        <v>2500000</v>
      </c>
      <c r="U79" s="412">
        <f t="shared" si="119"/>
        <v>40000000</v>
      </c>
      <c r="V79" s="58">
        <f t="shared" si="123"/>
        <v>45000000</v>
      </c>
      <c r="W79" s="396">
        <f t="shared" si="104"/>
        <v>45000000</v>
      </c>
      <c r="X79" s="396">
        <f t="shared" si="105"/>
        <v>0</v>
      </c>
      <c r="Y79" s="396"/>
      <c r="Z79" s="53"/>
      <c r="AA79" s="210">
        <v>2800000</v>
      </c>
      <c r="AB79" s="210">
        <v>449660</v>
      </c>
      <c r="AC79" s="210">
        <v>1395120</v>
      </c>
      <c r="AD79" s="210">
        <v>572000</v>
      </c>
      <c r="AE79" s="210">
        <v>130000</v>
      </c>
      <c r="AF79" s="210">
        <v>600001</v>
      </c>
      <c r="AG79" s="210">
        <v>607000</v>
      </c>
      <c r="AH79" s="368">
        <v>574000</v>
      </c>
      <c r="AI79" s="368">
        <v>932600</v>
      </c>
      <c r="AJ79" s="368">
        <v>724600</v>
      </c>
      <c r="AK79" s="210">
        <f t="shared" si="116"/>
        <v>8784981</v>
      </c>
      <c r="AL79" s="387"/>
      <c r="AM79" s="404" t="e">
        <f t="shared" si="91"/>
        <v>#DIV/0!</v>
      </c>
      <c r="AN79" s="404">
        <f t="shared" si="92"/>
        <v>-0.95503400000000005</v>
      </c>
      <c r="AO79" s="404">
        <f t="shared" si="93"/>
        <v>-0.72097599999999995</v>
      </c>
      <c r="AP79" s="404">
        <f t="shared" si="94"/>
        <v>-0.88560000000000005</v>
      </c>
      <c r="AQ79" s="404">
        <f t="shared" si="95"/>
        <v>-0.97399999999999998</v>
      </c>
      <c r="AR79" s="404">
        <f t="shared" si="96"/>
        <v>-0.8799998</v>
      </c>
      <c r="AS79" s="404">
        <f t="shared" si="97"/>
        <v>-0.87860000000000005</v>
      </c>
      <c r="AT79" s="404" t="e">
        <f t="shared" si="98"/>
        <v>#DIV/0!</v>
      </c>
      <c r="AU79" s="404">
        <f t="shared" si="99"/>
        <v>-0.62695999999999996</v>
      </c>
      <c r="AV79" s="404">
        <f t="shared" si="100"/>
        <v>-0.71016000000000001</v>
      </c>
      <c r="AW79" s="404">
        <f t="shared" si="101"/>
        <v>2.5139923999999998</v>
      </c>
    </row>
    <row r="80" spans="1:49" ht="30" x14ac:dyDescent="0.25">
      <c r="A80" s="341">
        <v>212113143</v>
      </c>
      <c r="B80" s="342" t="s">
        <v>544</v>
      </c>
      <c r="C80" s="368">
        <v>0</v>
      </c>
      <c r="D80" s="368">
        <v>10000000</v>
      </c>
      <c r="E80" s="368">
        <v>0</v>
      </c>
      <c r="F80" s="368">
        <v>25000000</v>
      </c>
      <c r="G80" s="368">
        <f t="shared" si="128"/>
        <v>35000000</v>
      </c>
      <c r="H80" s="58">
        <v>25000000</v>
      </c>
      <c r="I80" s="210">
        <v>0</v>
      </c>
      <c r="J80" s="210">
        <v>10000000</v>
      </c>
      <c r="K80" s="210">
        <v>5000000</v>
      </c>
      <c r="L80" s="210">
        <v>5000000</v>
      </c>
      <c r="M80" s="210">
        <v>5000000</v>
      </c>
      <c r="N80" s="210">
        <v>0</v>
      </c>
      <c r="O80" s="210">
        <v>0</v>
      </c>
      <c r="P80" s="210">
        <v>0</v>
      </c>
      <c r="Q80" s="58">
        <v>2500000</v>
      </c>
      <c r="R80" s="58">
        <v>2500000</v>
      </c>
      <c r="S80" s="58">
        <v>2500000</v>
      </c>
      <c r="T80" s="58">
        <v>2500000</v>
      </c>
      <c r="U80" s="412">
        <f t="shared" si="119"/>
        <v>30000000</v>
      </c>
      <c r="V80" s="58">
        <f t="shared" si="123"/>
        <v>35000000</v>
      </c>
      <c r="W80" s="396">
        <f t="shared" si="104"/>
        <v>35000000</v>
      </c>
      <c r="X80" s="396">
        <f t="shared" si="105"/>
        <v>0</v>
      </c>
      <c r="Y80" s="396"/>
      <c r="AA80" s="210">
        <v>0</v>
      </c>
      <c r="AB80" s="210">
        <v>0</v>
      </c>
      <c r="AC80" s="210">
        <v>0</v>
      </c>
      <c r="AD80" s="210">
        <v>0</v>
      </c>
      <c r="AE80" s="210">
        <v>0</v>
      </c>
      <c r="AF80" s="210">
        <v>0</v>
      </c>
      <c r="AG80" s="210">
        <v>0</v>
      </c>
      <c r="AH80" s="368">
        <v>0</v>
      </c>
      <c r="AI80" s="368">
        <v>0</v>
      </c>
      <c r="AJ80" s="368">
        <v>0</v>
      </c>
      <c r="AK80" s="210">
        <f t="shared" si="116"/>
        <v>0</v>
      </c>
      <c r="AL80" s="387"/>
      <c r="AM80" s="404" t="e">
        <f t="shared" si="91"/>
        <v>#DIV/0!</v>
      </c>
      <c r="AN80" s="404">
        <f t="shared" si="92"/>
        <v>-1</v>
      </c>
      <c r="AO80" s="404">
        <f t="shared" si="93"/>
        <v>-1</v>
      </c>
      <c r="AP80" s="404">
        <f t="shared" si="94"/>
        <v>-1</v>
      </c>
      <c r="AQ80" s="404">
        <f t="shared" si="95"/>
        <v>-1</v>
      </c>
      <c r="AR80" s="404" t="e">
        <f t="shared" si="96"/>
        <v>#DIV/0!</v>
      </c>
      <c r="AS80" s="404" t="e">
        <f t="shared" si="97"/>
        <v>#DIV/0!</v>
      </c>
      <c r="AT80" s="404" t="e">
        <f t="shared" si="98"/>
        <v>#DIV/0!</v>
      </c>
      <c r="AU80" s="404">
        <f t="shared" si="99"/>
        <v>-1</v>
      </c>
      <c r="AV80" s="404">
        <f t="shared" si="100"/>
        <v>-1</v>
      </c>
      <c r="AW80" s="404">
        <f t="shared" si="101"/>
        <v>-1</v>
      </c>
    </row>
    <row r="81" spans="1:49" s="70" customFormat="1" ht="45" x14ac:dyDescent="0.25">
      <c r="A81" s="341">
        <v>212113144</v>
      </c>
      <c r="B81" s="342" t="s">
        <v>635</v>
      </c>
      <c r="C81" s="368">
        <v>1000000</v>
      </c>
      <c r="D81" s="368">
        <v>10000000</v>
      </c>
      <c r="E81" s="368"/>
      <c r="F81" s="368">
        <v>25000000</v>
      </c>
      <c r="G81" s="368">
        <f t="shared" si="128"/>
        <v>36000000</v>
      </c>
      <c r="H81" s="58">
        <v>26000000</v>
      </c>
      <c r="I81" s="210">
        <v>0</v>
      </c>
      <c r="J81" s="210">
        <v>10000000</v>
      </c>
      <c r="K81" s="210">
        <v>5000000</v>
      </c>
      <c r="L81" s="210">
        <v>5000000</v>
      </c>
      <c r="M81" s="210">
        <v>5000000</v>
      </c>
      <c r="N81" s="210">
        <v>0</v>
      </c>
      <c r="O81" s="210">
        <v>1000000</v>
      </c>
      <c r="P81" s="210">
        <v>0</v>
      </c>
      <c r="Q81" s="58">
        <v>2500000</v>
      </c>
      <c r="R81" s="58">
        <v>2500000</v>
      </c>
      <c r="S81" s="58">
        <v>2500000</v>
      </c>
      <c r="T81" s="58">
        <v>2500000</v>
      </c>
      <c r="U81" s="412">
        <f t="shared" si="119"/>
        <v>31000000</v>
      </c>
      <c r="V81" s="58">
        <f t="shared" si="123"/>
        <v>36000000</v>
      </c>
      <c r="W81" s="396">
        <f t="shared" si="104"/>
        <v>36000000</v>
      </c>
      <c r="X81" s="396">
        <f t="shared" si="105"/>
        <v>0</v>
      </c>
      <c r="Y81" s="396"/>
      <c r="Z81" s="53"/>
      <c r="AA81" s="210">
        <v>0</v>
      </c>
      <c r="AB81" s="210">
        <v>0</v>
      </c>
      <c r="AC81" s="210">
        <v>0</v>
      </c>
      <c r="AD81" s="210">
        <v>0</v>
      </c>
      <c r="AE81" s="210">
        <v>0</v>
      </c>
      <c r="AF81" s="210">
        <v>0</v>
      </c>
      <c r="AG81" s="210">
        <v>0</v>
      </c>
      <c r="AH81" s="368">
        <v>0</v>
      </c>
      <c r="AI81" s="368">
        <v>0</v>
      </c>
      <c r="AJ81" s="368">
        <v>0</v>
      </c>
      <c r="AK81" s="210">
        <f t="shared" si="116"/>
        <v>0</v>
      </c>
      <c r="AL81" s="387"/>
      <c r="AM81" s="404" t="e">
        <f t="shared" si="91"/>
        <v>#DIV/0!</v>
      </c>
      <c r="AN81" s="404">
        <f t="shared" si="92"/>
        <v>-1</v>
      </c>
      <c r="AO81" s="404">
        <f t="shared" si="93"/>
        <v>-1</v>
      </c>
      <c r="AP81" s="404">
        <f t="shared" si="94"/>
        <v>-1</v>
      </c>
      <c r="AQ81" s="404">
        <f t="shared" si="95"/>
        <v>-1</v>
      </c>
      <c r="AR81" s="404" t="e">
        <f t="shared" si="96"/>
        <v>#DIV/0!</v>
      </c>
      <c r="AS81" s="404">
        <f t="shared" si="97"/>
        <v>-1</v>
      </c>
      <c r="AT81" s="404" t="e">
        <f t="shared" si="98"/>
        <v>#DIV/0!</v>
      </c>
      <c r="AU81" s="404">
        <f t="shared" si="99"/>
        <v>-1</v>
      </c>
      <c r="AV81" s="404">
        <f t="shared" si="100"/>
        <v>-1</v>
      </c>
      <c r="AW81" s="404">
        <f t="shared" si="101"/>
        <v>-1</v>
      </c>
    </row>
    <row r="82" spans="1:49" s="70" customFormat="1" x14ac:dyDescent="0.25">
      <c r="A82" s="341">
        <v>212113145</v>
      </c>
      <c r="B82" s="342" t="s">
        <v>543</v>
      </c>
      <c r="C82" s="368">
        <v>14800000</v>
      </c>
      <c r="D82" s="368">
        <v>10000000</v>
      </c>
      <c r="E82" s="368">
        <v>48950000</v>
      </c>
      <c r="F82" s="368">
        <v>25000000</v>
      </c>
      <c r="G82" s="368">
        <f t="shared" si="128"/>
        <v>850000</v>
      </c>
      <c r="H82" s="59">
        <v>39800000</v>
      </c>
      <c r="I82" s="210">
        <v>0</v>
      </c>
      <c r="J82" s="210"/>
      <c r="K82" s="210"/>
      <c r="L82" s="210"/>
      <c r="M82" s="210"/>
      <c r="N82" s="210"/>
      <c r="O82" s="210">
        <v>0</v>
      </c>
      <c r="P82" s="210"/>
      <c r="Q82" s="58"/>
      <c r="R82" s="58"/>
      <c r="S82" s="58">
        <v>850000</v>
      </c>
      <c r="T82" s="58"/>
      <c r="U82" s="412">
        <f t="shared" si="119"/>
        <v>0</v>
      </c>
      <c r="V82" s="58">
        <f t="shared" si="123"/>
        <v>850000</v>
      </c>
      <c r="W82" s="396">
        <f t="shared" si="104"/>
        <v>850000</v>
      </c>
      <c r="X82" s="396">
        <f t="shared" si="105"/>
        <v>0</v>
      </c>
      <c r="Y82" s="396"/>
      <c r="Z82" s="55"/>
      <c r="AA82" s="210">
        <v>0</v>
      </c>
      <c r="AB82" s="210">
        <v>0</v>
      </c>
      <c r="AC82" s="210">
        <v>833000</v>
      </c>
      <c r="AD82" s="210">
        <v>0</v>
      </c>
      <c r="AE82" s="210">
        <v>0</v>
      </c>
      <c r="AF82" s="210">
        <v>0</v>
      </c>
      <c r="AG82" s="210">
        <v>0</v>
      </c>
      <c r="AH82" s="368">
        <v>0</v>
      </c>
      <c r="AI82" s="368">
        <v>0</v>
      </c>
      <c r="AJ82" s="368">
        <v>0</v>
      </c>
      <c r="AK82" s="210">
        <f t="shared" si="116"/>
        <v>833000</v>
      </c>
      <c r="AL82" s="387"/>
      <c r="AM82" s="404" t="e">
        <f t="shared" si="91"/>
        <v>#DIV/0!</v>
      </c>
      <c r="AN82" s="404" t="e">
        <f t="shared" si="92"/>
        <v>#DIV/0!</v>
      </c>
      <c r="AO82" s="404" t="e">
        <f t="shared" si="93"/>
        <v>#DIV/0!</v>
      </c>
      <c r="AP82" s="404" t="e">
        <f t="shared" si="94"/>
        <v>#DIV/0!</v>
      </c>
      <c r="AQ82" s="404" t="e">
        <f t="shared" si="95"/>
        <v>#DIV/0!</v>
      </c>
      <c r="AR82" s="404" t="e">
        <f t="shared" si="96"/>
        <v>#DIV/0!</v>
      </c>
      <c r="AS82" s="404" t="e">
        <f t="shared" si="97"/>
        <v>#DIV/0!</v>
      </c>
      <c r="AT82" s="404" t="e">
        <f t="shared" si="98"/>
        <v>#DIV/0!</v>
      </c>
      <c r="AU82" s="404" t="e">
        <f t="shared" si="99"/>
        <v>#DIV/0!</v>
      </c>
      <c r="AV82" s="404" t="e">
        <f t="shared" si="100"/>
        <v>#DIV/0!</v>
      </c>
      <c r="AW82" s="404">
        <f t="shared" si="101"/>
        <v>-0.02</v>
      </c>
    </row>
    <row r="83" spans="1:49" s="70" customFormat="1" ht="30" x14ac:dyDescent="0.25">
      <c r="A83" s="339">
        <v>21211315</v>
      </c>
      <c r="B83" s="340" t="s">
        <v>32</v>
      </c>
      <c r="C83" s="367">
        <f>+C84+C85+C86</f>
        <v>17000000</v>
      </c>
      <c r="D83" s="367">
        <f t="shared" ref="D83:G83" si="129">+D84+D85+D86</f>
        <v>0</v>
      </c>
      <c r="E83" s="367">
        <f t="shared" si="129"/>
        <v>0</v>
      </c>
      <c r="F83" s="367">
        <f t="shared" si="129"/>
        <v>0</v>
      </c>
      <c r="G83" s="367">
        <f t="shared" si="129"/>
        <v>17000000</v>
      </c>
      <c r="H83" s="57">
        <f>+H85+H84+H86</f>
        <v>17000000</v>
      </c>
      <c r="I83" s="208">
        <f t="shared" ref="I83:V83" si="130">+I85+I84+I86</f>
        <v>0</v>
      </c>
      <c r="J83" s="208">
        <f t="shared" si="130"/>
        <v>6600000</v>
      </c>
      <c r="K83" s="208">
        <f t="shared" si="130"/>
        <v>3000000</v>
      </c>
      <c r="L83" s="208">
        <f t="shared" si="130"/>
        <v>3400000</v>
      </c>
      <c r="M83" s="208">
        <f t="shared" si="130"/>
        <v>4000000</v>
      </c>
      <c r="N83" s="208">
        <f t="shared" si="130"/>
        <v>0</v>
      </c>
      <c r="O83" s="208">
        <f t="shared" si="130"/>
        <v>0</v>
      </c>
      <c r="P83" s="208">
        <f t="shared" si="130"/>
        <v>0</v>
      </c>
      <c r="Q83" s="208">
        <f t="shared" si="130"/>
        <v>0</v>
      </c>
      <c r="R83" s="208">
        <f t="shared" si="130"/>
        <v>0</v>
      </c>
      <c r="S83" s="208">
        <f t="shared" si="130"/>
        <v>0</v>
      </c>
      <c r="T83" s="208">
        <f t="shared" si="130"/>
        <v>0</v>
      </c>
      <c r="U83" s="413">
        <f t="shared" si="119"/>
        <v>17000000</v>
      </c>
      <c r="V83" s="57">
        <f t="shared" si="130"/>
        <v>17000000</v>
      </c>
      <c r="W83" s="396">
        <f t="shared" si="104"/>
        <v>17000000</v>
      </c>
      <c r="X83" s="396">
        <f t="shared" si="105"/>
        <v>0</v>
      </c>
      <c r="Y83" s="396"/>
      <c r="Z83" s="53"/>
      <c r="AA83" s="208">
        <f>SUM(AA84:AA86)</f>
        <v>1200000</v>
      </c>
      <c r="AB83" s="209">
        <v>0</v>
      </c>
      <c r="AC83" s="209">
        <v>800000</v>
      </c>
      <c r="AD83" s="209">
        <v>505000</v>
      </c>
      <c r="AE83" s="209">
        <f>+AE84+AE85+AE86</f>
        <v>181515</v>
      </c>
      <c r="AF83" s="209">
        <v>0</v>
      </c>
      <c r="AG83" s="209">
        <v>0</v>
      </c>
      <c r="AH83" s="367">
        <v>0</v>
      </c>
      <c r="AI83" s="367">
        <v>0</v>
      </c>
      <c r="AJ83" s="367">
        <v>0</v>
      </c>
      <c r="AK83" s="209">
        <f t="shared" si="116"/>
        <v>2686515</v>
      </c>
      <c r="AL83" s="386"/>
      <c r="AM83" s="405" t="e">
        <f t="shared" si="91"/>
        <v>#DIV/0!</v>
      </c>
      <c r="AN83" s="405">
        <f t="shared" si="92"/>
        <v>-1</v>
      </c>
      <c r="AO83" s="405">
        <f t="shared" si="93"/>
        <v>-0.73333333333333328</v>
      </c>
      <c r="AP83" s="405">
        <f t="shared" si="94"/>
        <v>-0.85147058823529409</v>
      </c>
      <c r="AQ83" s="405">
        <f t="shared" si="95"/>
        <v>-0.95462124999999998</v>
      </c>
      <c r="AR83" s="405" t="e">
        <f t="shared" si="96"/>
        <v>#DIV/0!</v>
      </c>
      <c r="AS83" s="405" t="e">
        <f t="shared" si="97"/>
        <v>#DIV/0!</v>
      </c>
      <c r="AT83" s="405" t="e">
        <f t="shared" si="98"/>
        <v>#DIV/0!</v>
      </c>
      <c r="AU83" s="405" t="e">
        <f t="shared" si="99"/>
        <v>#DIV/0!</v>
      </c>
      <c r="AV83" s="405" t="e">
        <f t="shared" si="100"/>
        <v>#DIV/0!</v>
      </c>
      <c r="AW83" s="405" t="e">
        <f t="shared" si="101"/>
        <v>#DIV/0!</v>
      </c>
    </row>
    <row r="84" spans="1:49" ht="30" x14ac:dyDescent="0.25">
      <c r="A84" s="341">
        <v>212113151</v>
      </c>
      <c r="B84" s="342" t="s">
        <v>545</v>
      </c>
      <c r="C84" s="368">
        <v>8000000</v>
      </c>
      <c r="D84" s="368">
        <v>0</v>
      </c>
      <c r="E84" s="368">
        <v>0</v>
      </c>
      <c r="F84" s="368">
        <v>0</v>
      </c>
      <c r="G84" s="368">
        <f t="shared" ref="G84:G86" si="131">+C84+D84-E84+F84</f>
        <v>8000000</v>
      </c>
      <c r="H84" s="59">
        <v>8000000</v>
      </c>
      <c r="I84" s="210"/>
      <c r="J84" s="210">
        <v>2500000</v>
      </c>
      <c r="K84" s="210">
        <v>1500000</v>
      </c>
      <c r="L84" s="210">
        <v>2000000</v>
      </c>
      <c r="M84" s="210">
        <v>2000000</v>
      </c>
      <c r="N84" s="210"/>
      <c r="O84" s="210"/>
      <c r="P84" s="210"/>
      <c r="Q84" s="210"/>
      <c r="R84" s="210"/>
      <c r="S84" s="210"/>
      <c r="T84" s="210"/>
      <c r="U84" s="412">
        <f t="shared" si="119"/>
        <v>8000000</v>
      </c>
      <c r="V84" s="58">
        <f t="shared" ref="V84:V142" si="132">SUM(I84:T84)</f>
        <v>8000000</v>
      </c>
      <c r="W84" s="396">
        <f t="shared" si="104"/>
        <v>8000000</v>
      </c>
      <c r="X84" s="396">
        <f t="shared" si="105"/>
        <v>0</v>
      </c>
      <c r="Y84" s="396"/>
      <c r="Z84" s="55"/>
      <c r="AA84" s="210">
        <v>1200000</v>
      </c>
      <c r="AB84" s="210">
        <v>0</v>
      </c>
      <c r="AC84" s="210">
        <v>800000</v>
      </c>
      <c r="AD84" s="210">
        <v>505000</v>
      </c>
      <c r="AE84" s="210">
        <v>181515</v>
      </c>
      <c r="AF84" s="210">
        <v>0</v>
      </c>
      <c r="AG84" s="210">
        <v>0</v>
      </c>
      <c r="AH84" s="368">
        <v>0</v>
      </c>
      <c r="AI84" s="368">
        <v>0</v>
      </c>
      <c r="AJ84" s="368">
        <v>0</v>
      </c>
      <c r="AK84" s="210">
        <f t="shared" si="116"/>
        <v>2686515</v>
      </c>
      <c r="AL84" s="387"/>
      <c r="AM84" s="404" t="e">
        <f t="shared" si="91"/>
        <v>#DIV/0!</v>
      </c>
      <c r="AN84" s="404">
        <f t="shared" si="92"/>
        <v>-1</v>
      </c>
      <c r="AO84" s="404">
        <f t="shared" si="93"/>
        <v>-0.46666666666666667</v>
      </c>
      <c r="AP84" s="404">
        <f t="shared" si="94"/>
        <v>-0.74750000000000005</v>
      </c>
      <c r="AQ84" s="404">
        <f t="shared" si="95"/>
        <v>-0.90924249999999995</v>
      </c>
      <c r="AR84" s="404" t="e">
        <f t="shared" si="96"/>
        <v>#DIV/0!</v>
      </c>
      <c r="AS84" s="404" t="e">
        <f t="shared" si="97"/>
        <v>#DIV/0!</v>
      </c>
      <c r="AT84" s="404" t="e">
        <f t="shared" si="98"/>
        <v>#DIV/0!</v>
      </c>
      <c r="AU84" s="404" t="e">
        <f t="shared" si="99"/>
        <v>#DIV/0!</v>
      </c>
      <c r="AV84" s="404" t="e">
        <f t="shared" si="100"/>
        <v>#DIV/0!</v>
      </c>
      <c r="AW84" s="404" t="e">
        <f t="shared" si="101"/>
        <v>#DIV/0!</v>
      </c>
    </row>
    <row r="85" spans="1:49" s="70" customFormat="1" ht="45" x14ac:dyDescent="0.25">
      <c r="A85" s="341">
        <v>212113152</v>
      </c>
      <c r="B85" s="342" t="s">
        <v>546</v>
      </c>
      <c r="C85" s="368">
        <v>6000000</v>
      </c>
      <c r="D85" s="368">
        <v>0</v>
      </c>
      <c r="E85" s="368">
        <v>0</v>
      </c>
      <c r="F85" s="368">
        <v>0</v>
      </c>
      <c r="G85" s="368">
        <f t="shared" si="131"/>
        <v>6000000</v>
      </c>
      <c r="H85" s="59">
        <v>6000000</v>
      </c>
      <c r="I85" s="210">
        <v>0</v>
      </c>
      <c r="J85" s="210">
        <v>2600000</v>
      </c>
      <c r="K85" s="210">
        <v>0</v>
      </c>
      <c r="L85" s="210">
        <v>1400000</v>
      </c>
      <c r="M85" s="210">
        <v>2000000</v>
      </c>
      <c r="N85" s="210"/>
      <c r="O85" s="210"/>
      <c r="P85" s="210"/>
      <c r="Q85" s="210">
        <v>0</v>
      </c>
      <c r="R85" s="210">
        <v>0</v>
      </c>
      <c r="S85" s="210">
        <v>0</v>
      </c>
      <c r="T85" s="210">
        <v>0</v>
      </c>
      <c r="U85" s="412">
        <f t="shared" si="119"/>
        <v>6000000</v>
      </c>
      <c r="V85" s="58">
        <f t="shared" si="132"/>
        <v>6000000</v>
      </c>
      <c r="W85" s="396">
        <f t="shared" si="104"/>
        <v>6000000</v>
      </c>
      <c r="X85" s="396">
        <f t="shared" si="105"/>
        <v>0</v>
      </c>
      <c r="Y85" s="396"/>
      <c r="Z85" s="55"/>
      <c r="AA85" s="210">
        <v>0</v>
      </c>
      <c r="AB85" s="210">
        <v>0</v>
      </c>
      <c r="AC85" s="210">
        <v>0</v>
      </c>
      <c r="AD85" s="210">
        <v>0</v>
      </c>
      <c r="AE85" s="210">
        <v>0</v>
      </c>
      <c r="AF85" s="210">
        <v>0</v>
      </c>
      <c r="AG85" s="210">
        <v>0</v>
      </c>
      <c r="AH85" s="368">
        <v>0</v>
      </c>
      <c r="AI85" s="368">
        <v>0</v>
      </c>
      <c r="AJ85" s="368">
        <v>0</v>
      </c>
      <c r="AK85" s="210">
        <f t="shared" si="116"/>
        <v>0</v>
      </c>
      <c r="AL85" s="387"/>
      <c r="AM85" s="404" t="e">
        <f t="shared" si="91"/>
        <v>#DIV/0!</v>
      </c>
      <c r="AN85" s="404">
        <f t="shared" si="92"/>
        <v>-1</v>
      </c>
      <c r="AO85" s="404" t="e">
        <f t="shared" si="93"/>
        <v>#DIV/0!</v>
      </c>
      <c r="AP85" s="404">
        <f t="shared" si="94"/>
        <v>-1</v>
      </c>
      <c r="AQ85" s="404">
        <f t="shared" si="95"/>
        <v>-1</v>
      </c>
      <c r="AR85" s="404" t="e">
        <f t="shared" si="96"/>
        <v>#DIV/0!</v>
      </c>
      <c r="AS85" s="404" t="e">
        <f t="shared" si="97"/>
        <v>#DIV/0!</v>
      </c>
      <c r="AT85" s="404" t="e">
        <f t="shared" si="98"/>
        <v>#DIV/0!</v>
      </c>
      <c r="AU85" s="404" t="e">
        <f t="shared" si="99"/>
        <v>#DIV/0!</v>
      </c>
      <c r="AV85" s="404" t="e">
        <f t="shared" si="100"/>
        <v>#DIV/0!</v>
      </c>
      <c r="AW85" s="404" t="e">
        <f t="shared" si="101"/>
        <v>#DIV/0!</v>
      </c>
    </row>
    <row r="86" spans="1:49" s="70" customFormat="1" ht="45" x14ac:dyDescent="0.25">
      <c r="A86" s="341">
        <v>212113153</v>
      </c>
      <c r="B86" s="342" t="s">
        <v>636</v>
      </c>
      <c r="C86" s="368">
        <v>3000000</v>
      </c>
      <c r="D86" s="368">
        <v>0</v>
      </c>
      <c r="E86" s="368">
        <v>0</v>
      </c>
      <c r="F86" s="368">
        <v>0</v>
      </c>
      <c r="G86" s="368">
        <f t="shared" si="131"/>
        <v>3000000</v>
      </c>
      <c r="H86" s="59">
        <v>3000000</v>
      </c>
      <c r="I86" s="210"/>
      <c r="J86" s="210">
        <v>1500000</v>
      </c>
      <c r="K86" s="210">
        <v>1500000</v>
      </c>
      <c r="L86" s="210"/>
      <c r="M86" s="210"/>
      <c r="N86" s="210"/>
      <c r="O86" s="210"/>
      <c r="P86" s="210"/>
      <c r="Q86" s="210"/>
      <c r="R86" s="210"/>
      <c r="S86" s="210"/>
      <c r="T86" s="210"/>
      <c r="U86" s="412">
        <f t="shared" si="119"/>
        <v>3000000</v>
      </c>
      <c r="V86" s="58">
        <f t="shared" si="132"/>
        <v>3000000</v>
      </c>
      <c r="W86" s="396">
        <f t="shared" si="104"/>
        <v>3000000</v>
      </c>
      <c r="X86" s="396">
        <f t="shared" si="105"/>
        <v>0</v>
      </c>
      <c r="Y86" s="396"/>
      <c r="Z86" s="55"/>
      <c r="AA86" s="210">
        <v>0</v>
      </c>
      <c r="AB86" s="210">
        <v>0</v>
      </c>
      <c r="AC86" s="210">
        <v>0</v>
      </c>
      <c r="AD86" s="210">
        <v>0</v>
      </c>
      <c r="AE86" s="210">
        <v>0</v>
      </c>
      <c r="AF86" s="210">
        <v>0</v>
      </c>
      <c r="AG86" s="210">
        <v>0</v>
      </c>
      <c r="AH86" s="368">
        <v>0</v>
      </c>
      <c r="AI86" s="368">
        <v>0</v>
      </c>
      <c r="AJ86" s="368">
        <v>0</v>
      </c>
      <c r="AK86" s="210">
        <f t="shared" si="116"/>
        <v>0</v>
      </c>
      <c r="AL86" s="387"/>
      <c r="AM86" s="404" t="e">
        <f t="shared" si="91"/>
        <v>#DIV/0!</v>
      </c>
      <c r="AN86" s="404">
        <f t="shared" si="92"/>
        <v>-1</v>
      </c>
      <c r="AO86" s="404">
        <f t="shared" si="93"/>
        <v>-1</v>
      </c>
      <c r="AP86" s="404" t="e">
        <f t="shared" si="94"/>
        <v>#DIV/0!</v>
      </c>
      <c r="AQ86" s="404" t="e">
        <f t="shared" si="95"/>
        <v>#DIV/0!</v>
      </c>
      <c r="AR86" s="404" t="e">
        <f t="shared" si="96"/>
        <v>#DIV/0!</v>
      </c>
      <c r="AS86" s="404" t="e">
        <f t="shared" si="97"/>
        <v>#DIV/0!</v>
      </c>
      <c r="AT86" s="404" t="e">
        <f t="shared" si="98"/>
        <v>#DIV/0!</v>
      </c>
      <c r="AU86" s="404" t="e">
        <f t="shared" si="99"/>
        <v>#DIV/0!</v>
      </c>
      <c r="AV86" s="404" t="e">
        <f t="shared" si="100"/>
        <v>#DIV/0!</v>
      </c>
      <c r="AW86" s="404" t="e">
        <f t="shared" si="101"/>
        <v>#DIV/0!</v>
      </c>
    </row>
    <row r="87" spans="1:49" s="70" customFormat="1" ht="30" x14ac:dyDescent="0.25">
      <c r="A87" s="339">
        <v>21211316</v>
      </c>
      <c r="B87" s="340" t="s">
        <v>33</v>
      </c>
      <c r="C87" s="367">
        <f>+C88</f>
        <v>35000000</v>
      </c>
      <c r="D87" s="367">
        <f t="shared" ref="D87:G87" si="133">+D88</f>
        <v>0</v>
      </c>
      <c r="E87" s="367">
        <f t="shared" si="133"/>
        <v>0</v>
      </c>
      <c r="F87" s="367">
        <f t="shared" si="133"/>
        <v>0</v>
      </c>
      <c r="G87" s="367">
        <f t="shared" si="133"/>
        <v>35000000</v>
      </c>
      <c r="H87" s="57">
        <f>+H88</f>
        <v>35000000</v>
      </c>
      <c r="I87" s="208">
        <f t="shared" ref="I87:V87" si="134">+I88</f>
        <v>0</v>
      </c>
      <c r="J87" s="208">
        <f t="shared" si="134"/>
        <v>14500000</v>
      </c>
      <c r="K87" s="208">
        <f t="shared" si="134"/>
        <v>300000</v>
      </c>
      <c r="L87" s="208">
        <f t="shared" si="134"/>
        <v>0</v>
      </c>
      <c r="M87" s="208">
        <f t="shared" si="134"/>
        <v>0</v>
      </c>
      <c r="N87" s="208">
        <f t="shared" si="134"/>
        <v>0</v>
      </c>
      <c r="O87" s="208">
        <f t="shared" si="134"/>
        <v>17200000</v>
      </c>
      <c r="P87" s="208">
        <f t="shared" si="134"/>
        <v>3000000</v>
      </c>
      <c r="Q87" s="208">
        <f t="shared" si="134"/>
        <v>0</v>
      </c>
      <c r="R87" s="208">
        <f t="shared" si="134"/>
        <v>0</v>
      </c>
      <c r="S87" s="208">
        <f t="shared" si="134"/>
        <v>0</v>
      </c>
      <c r="T87" s="208">
        <f t="shared" si="134"/>
        <v>0</v>
      </c>
      <c r="U87" s="413">
        <f t="shared" si="119"/>
        <v>35000000</v>
      </c>
      <c r="V87" s="57">
        <f t="shared" si="134"/>
        <v>35000000</v>
      </c>
      <c r="W87" s="396">
        <f t="shared" si="104"/>
        <v>35000000</v>
      </c>
      <c r="X87" s="396">
        <f t="shared" si="105"/>
        <v>0</v>
      </c>
      <c r="Y87" s="396"/>
      <c r="Z87" s="53"/>
      <c r="AA87" s="208">
        <f>+AA88</f>
        <v>0</v>
      </c>
      <c r="AB87" s="209">
        <v>2709500</v>
      </c>
      <c r="AC87" s="209">
        <v>0</v>
      </c>
      <c r="AD87" s="209">
        <v>0</v>
      </c>
      <c r="AE87" s="209">
        <v>0</v>
      </c>
      <c r="AF87" s="209">
        <v>0</v>
      </c>
      <c r="AG87" s="209">
        <v>0</v>
      </c>
      <c r="AH87" s="367">
        <v>0</v>
      </c>
      <c r="AI87" s="367">
        <v>119000</v>
      </c>
      <c r="AJ87" s="367">
        <v>0</v>
      </c>
      <c r="AK87" s="209">
        <f t="shared" si="116"/>
        <v>2828500</v>
      </c>
      <c r="AL87" s="386"/>
      <c r="AM87" s="405" t="e">
        <f t="shared" si="91"/>
        <v>#DIV/0!</v>
      </c>
      <c r="AN87" s="405">
        <f t="shared" si="92"/>
        <v>-0.81313793103448273</v>
      </c>
      <c r="AO87" s="405">
        <f t="shared" si="93"/>
        <v>-1</v>
      </c>
      <c r="AP87" s="405" t="e">
        <f t="shared" si="94"/>
        <v>#DIV/0!</v>
      </c>
      <c r="AQ87" s="405" t="e">
        <f t="shared" si="95"/>
        <v>#DIV/0!</v>
      </c>
      <c r="AR87" s="405" t="e">
        <f t="shared" si="96"/>
        <v>#DIV/0!</v>
      </c>
      <c r="AS87" s="405">
        <f t="shared" si="97"/>
        <v>-1</v>
      </c>
      <c r="AT87" s="405">
        <f t="shared" si="98"/>
        <v>-1</v>
      </c>
      <c r="AU87" s="405" t="e">
        <f t="shared" si="99"/>
        <v>#DIV/0!</v>
      </c>
      <c r="AV87" s="405" t="e">
        <f t="shared" si="100"/>
        <v>#DIV/0!</v>
      </c>
      <c r="AW87" s="405" t="e">
        <f t="shared" si="101"/>
        <v>#DIV/0!</v>
      </c>
    </row>
    <row r="88" spans="1:49" s="70" customFormat="1" ht="45" x14ac:dyDescent="0.25">
      <c r="A88" s="341">
        <v>212113162</v>
      </c>
      <c r="B88" s="342" t="s">
        <v>547</v>
      </c>
      <c r="C88" s="368">
        <v>35000000</v>
      </c>
      <c r="D88" s="368">
        <v>0</v>
      </c>
      <c r="E88" s="368">
        <v>0</v>
      </c>
      <c r="F88" s="368">
        <v>0</v>
      </c>
      <c r="G88" s="368">
        <f t="shared" ref="G88" si="135">+C88+D88-E88+F88</f>
        <v>35000000</v>
      </c>
      <c r="H88" s="59">
        <v>35000000</v>
      </c>
      <c r="I88" s="210">
        <v>0</v>
      </c>
      <c r="J88" s="210">
        <v>14500000</v>
      </c>
      <c r="K88" s="210">
        <v>300000</v>
      </c>
      <c r="L88" s="210">
        <v>0</v>
      </c>
      <c r="M88" s="210">
        <v>0</v>
      </c>
      <c r="N88" s="210">
        <v>0</v>
      </c>
      <c r="O88" s="210">
        <v>17200000</v>
      </c>
      <c r="P88" s="210">
        <v>3000000</v>
      </c>
      <c r="Q88" s="210">
        <v>0</v>
      </c>
      <c r="R88" s="210">
        <v>0</v>
      </c>
      <c r="S88" s="210">
        <v>0</v>
      </c>
      <c r="T88" s="210">
        <v>0</v>
      </c>
      <c r="U88" s="412">
        <f t="shared" si="119"/>
        <v>35000000</v>
      </c>
      <c r="V88" s="58">
        <f t="shared" si="132"/>
        <v>35000000</v>
      </c>
      <c r="W88" s="396">
        <f t="shared" si="104"/>
        <v>35000000</v>
      </c>
      <c r="X88" s="396">
        <f t="shared" si="105"/>
        <v>0</v>
      </c>
      <c r="Y88" s="396"/>
      <c r="Z88" s="55"/>
      <c r="AA88" s="210">
        <v>0</v>
      </c>
      <c r="AB88" s="210">
        <v>2709500</v>
      </c>
      <c r="AC88" s="210">
        <v>0</v>
      </c>
      <c r="AD88" s="210">
        <v>0</v>
      </c>
      <c r="AE88" s="210">
        <v>0</v>
      </c>
      <c r="AF88" s="210">
        <v>0</v>
      </c>
      <c r="AG88" s="210">
        <v>0</v>
      </c>
      <c r="AH88" s="368">
        <v>0</v>
      </c>
      <c r="AI88" s="368">
        <v>119000</v>
      </c>
      <c r="AJ88" s="368">
        <v>0</v>
      </c>
      <c r="AK88" s="210">
        <f t="shared" si="116"/>
        <v>2828500</v>
      </c>
      <c r="AL88" s="387"/>
      <c r="AM88" s="404" t="e">
        <f t="shared" si="91"/>
        <v>#DIV/0!</v>
      </c>
      <c r="AN88" s="404">
        <f t="shared" si="92"/>
        <v>-0.81313793103448273</v>
      </c>
      <c r="AO88" s="404">
        <f t="shared" si="93"/>
        <v>-1</v>
      </c>
      <c r="AP88" s="404" t="e">
        <f t="shared" si="94"/>
        <v>#DIV/0!</v>
      </c>
      <c r="AQ88" s="404" t="e">
        <f t="shared" si="95"/>
        <v>#DIV/0!</v>
      </c>
      <c r="AR88" s="404" t="e">
        <f t="shared" si="96"/>
        <v>#DIV/0!</v>
      </c>
      <c r="AS88" s="404">
        <f t="shared" si="97"/>
        <v>-1</v>
      </c>
      <c r="AT88" s="404">
        <f t="shared" si="98"/>
        <v>-1</v>
      </c>
      <c r="AU88" s="404" t="e">
        <f t="shared" si="99"/>
        <v>#DIV/0!</v>
      </c>
      <c r="AV88" s="404" t="e">
        <f t="shared" si="100"/>
        <v>#DIV/0!</v>
      </c>
      <c r="AW88" s="404" t="e">
        <f t="shared" si="101"/>
        <v>#DIV/0!</v>
      </c>
    </row>
    <row r="89" spans="1:49" s="70" customFormat="1" x14ac:dyDescent="0.25">
      <c r="A89" s="339">
        <v>21211317</v>
      </c>
      <c r="B89" s="340" t="s">
        <v>34</v>
      </c>
      <c r="C89" s="367">
        <f>+C90</f>
        <v>0</v>
      </c>
      <c r="D89" s="367">
        <f t="shared" ref="D89:G89" si="136">+D90</f>
        <v>200000000</v>
      </c>
      <c r="E89" s="367">
        <f t="shared" si="136"/>
        <v>0</v>
      </c>
      <c r="F89" s="367">
        <f t="shared" si="136"/>
        <v>45000000</v>
      </c>
      <c r="G89" s="367">
        <f t="shared" si="136"/>
        <v>245000000</v>
      </c>
      <c r="H89" s="57">
        <f>+H90</f>
        <v>45000000</v>
      </c>
      <c r="I89" s="208">
        <f t="shared" ref="I89:V89" si="137">+I90</f>
        <v>20416666.666666668</v>
      </c>
      <c r="J89" s="208">
        <f t="shared" si="137"/>
        <v>20416666.666666668</v>
      </c>
      <c r="K89" s="208">
        <f t="shared" si="137"/>
        <v>20416666.666666668</v>
      </c>
      <c r="L89" s="208">
        <f t="shared" si="137"/>
        <v>20416666.666666668</v>
      </c>
      <c r="M89" s="208">
        <f t="shared" si="137"/>
        <v>20416666.666666668</v>
      </c>
      <c r="N89" s="208">
        <f t="shared" si="137"/>
        <v>20416666.666666668</v>
      </c>
      <c r="O89" s="208">
        <f t="shared" si="137"/>
        <v>20416666.666666668</v>
      </c>
      <c r="P89" s="208">
        <f t="shared" si="137"/>
        <v>20416666.666666668</v>
      </c>
      <c r="Q89" s="208">
        <f t="shared" si="137"/>
        <v>20416666.666666668</v>
      </c>
      <c r="R89" s="208">
        <f t="shared" si="137"/>
        <v>20416666.666666668</v>
      </c>
      <c r="S89" s="208">
        <f t="shared" si="137"/>
        <v>20416666.666666668</v>
      </c>
      <c r="T89" s="208">
        <f t="shared" si="137"/>
        <v>20416666.666666668</v>
      </c>
      <c r="U89" s="413">
        <f t="shared" si="119"/>
        <v>204166666.66666666</v>
      </c>
      <c r="V89" s="57">
        <f t="shared" si="137"/>
        <v>244999999.99999997</v>
      </c>
      <c r="W89" s="396">
        <f t="shared" si="104"/>
        <v>245000000</v>
      </c>
      <c r="X89" s="396">
        <f t="shared" si="105"/>
        <v>0</v>
      </c>
      <c r="Y89" s="396"/>
      <c r="Z89" s="55"/>
      <c r="AA89" s="209">
        <f>+AA90</f>
        <v>3000000</v>
      </c>
      <c r="AB89" s="209">
        <f t="shared" ref="AB89:AD89" si="138">+AB90</f>
        <v>127381000</v>
      </c>
      <c r="AC89" s="209">
        <f t="shared" si="138"/>
        <v>784900</v>
      </c>
      <c r="AD89" s="209">
        <f t="shared" si="138"/>
        <v>1198270</v>
      </c>
      <c r="AE89" s="209">
        <f>+AE90</f>
        <v>918000</v>
      </c>
      <c r="AF89" s="209">
        <f t="shared" ref="AF89:AG89" si="139">+AF90</f>
        <v>228000</v>
      </c>
      <c r="AG89" s="209">
        <f t="shared" si="139"/>
        <v>5062177</v>
      </c>
      <c r="AH89" s="367">
        <v>13715901</v>
      </c>
      <c r="AI89" s="367">
        <v>1180000</v>
      </c>
      <c r="AJ89" s="367">
        <v>27254440</v>
      </c>
      <c r="AK89" s="209">
        <f t="shared" si="116"/>
        <v>180722688</v>
      </c>
      <c r="AL89" s="386"/>
      <c r="AM89" s="405">
        <f t="shared" si="91"/>
        <v>-0.85306122448979593</v>
      </c>
      <c r="AN89" s="405">
        <f t="shared" si="92"/>
        <v>5.2390693877551016</v>
      </c>
      <c r="AO89" s="405">
        <f t="shared" si="93"/>
        <v>-0.961555918367347</v>
      </c>
      <c r="AP89" s="405">
        <f t="shared" si="94"/>
        <v>-0.94130922448979593</v>
      </c>
      <c r="AQ89" s="405">
        <f t="shared" si="95"/>
        <v>-0.95503673469387751</v>
      </c>
      <c r="AR89" s="405">
        <f t="shared" si="96"/>
        <v>-0.98883265306122448</v>
      </c>
      <c r="AS89" s="405">
        <f t="shared" si="97"/>
        <v>-0.75205663673469392</v>
      </c>
      <c r="AT89" s="405">
        <f t="shared" si="98"/>
        <v>-0.32820076734693882</v>
      </c>
      <c r="AU89" s="405">
        <f t="shared" si="99"/>
        <v>-0.94220408163265301</v>
      </c>
      <c r="AV89" s="405">
        <f t="shared" si="100"/>
        <v>0.33491134693877544</v>
      </c>
      <c r="AW89" s="405">
        <f t="shared" si="101"/>
        <v>7.8517234938775511</v>
      </c>
    </row>
    <row r="90" spans="1:49" s="70" customFormat="1" ht="45" x14ac:dyDescent="0.25">
      <c r="A90" s="341">
        <v>212113171</v>
      </c>
      <c r="B90" s="342" t="s">
        <v>548</v>
      </c>
      <c r="C90" s="368">
        <v>0</v>
      </c>
      <c r="D90" s="368">
        <v>200000000</v>
      </c>
      <c r="E90" s="368">
        <v>0</v>
      </c>
      <c r="F90" s="368">
        <v>45000000</v>
      </c>
      <c r="G90" s="368">
        <f t="shared" ref="G90" si="140">+C90+D90-E90+F90</f>
        <v>245000000</v>
      </c>
      <c r="H90" s="58">
        <v>45000000</v>
      </c>
      <c r="I90" s="210">
        <v>20416666.666666668</v>
      </c>
      <c r="J90" s="210">
        <v>20416666.666666668</v>
      </c>
      <c r="K90" s="210">
        <v>20416666.666666668</v>
      </c>
      <c r="L90" s="210">
        <v>20416666.666666668</v>
      </c>
      <c r="M90" s="210">
        <v>20416666.666666668</v>
      </c>
      <c r="N90" s="210">
        <v>20416666.666666668</v>
      </c>
      <c r="O90" s="210">
        <v>20416666.666666668</v>
      </c>
      <c r="P90" s="210">
        <v>20416666.666666668</v>
      </c>
      <c r="Q90" s="210">
        <v>20416666.666666668</v>
      </c>
      <c r="R90" s="210">
        <v>20416666.666666668</v>
      </c>
      <c r="S90" s="210">
        <v>20416666.666666668</v>
      </c>
      <c r="T90" s="210">
        <v>20416666.666666668</v>
      </c>
      <c r="U90" s="412">
        <f t="shared" si="119"/>
        <v>204166666.66666666</v>
      </c>
      <c r="V90" s="58">
        <f t="shared" si="132"/>
        <v>244999999.99999997</v>
      </c>
      <c r="W90" s="396">
        <f t="shared" si="104"/>
        <v>245000000</v>
      </c>
      <c r="X90" s="396">
        <f t="shared" si="105"/>
        <v>0</v>
      </c>
      <c r="Y90" s="396">
        <f>+W90/12</f>
        <v>20416666.666666668</v>
      </c>
      <c r="Z90" s="55"/>
      <c r="AA90" s="210">
        <v>3000000</v>
      </c>
      <c r="AB90" s="210">
        <v>127381000</v>
      </c>
      <c r="AC90" s="210">
        <v>784900</v>
      </c>
      <c r="AD90" s="210">
        <v>1198270</v>
      </c>
      <c r="AE90" s="210">
        <v>918000</v>
      </c>
      <c r="AF90" s="210">
        <v>228000</v>
      </c>
      <c r="AG90" s="210">
        <v>5062177</v>
      </c>
      <c r="AH90" s="368">
        <v>13715901</v>
      </c>
      <c r="AI90" s="368">
        <v>1180000</v>
      </c>
      <c r="AJ90" s="368">
        <v>27254440</v>
      </c>
      <c r="AK90" s="210">
        <f t="shared" si="116"/>
        <v>180722688</v>
      </c>
      <c r="AL90" s="387"/>
      <c r="AM90" s="404">
        <f t="shared" si="91"/>
        <v>-0.85306122448979593</v>
      </c>
      <c r="AN90" s="404">
        <f t="shared" si="92"/>
        <v>5.2390693877551016</v>
      </c>
      <c r="AO90" s="404">
        <f t="shared" si="93"/>
        <v>-0.961555918367347</v>
      </c>
      <c r="AP90" s="404">
        <f t="shared" si="94"/>
        <v>-0.94130922448979593</v>
      </c>
      <c r="AQ90" s="404">
        <f t="shared" si="95"/>
        <v>-0.95503673469387751</v>
      </c>
      <c r="AR90" s="404">
        <f t="shared" si="96"/>
        <v>-0.98883265306122448</v>
      </c>
      <c r="AS90" s="404">
        <f t="shared" si="97"/>
        <v>-0.75205663673469392</v>
      </c>
      <c r="AT90" s="404">
        <f t="shared" si="98"/>
        <v>-0.32820076734693882</v>
      </c>
      <c r="AU90" s="404">
        <f t="shared" si="99"/>
        <v>-0.94220408163265301</v>
      </c>
      <c r="AV90" s="404">
        <f t="shared" si="100"/>
        <v>0.33491134693877544</v>
      </c>
      <c r="AW90" s="404">
        <f t="shared" si="101"/>
        <v>7.8517234938775511</v>
      </c>
    </row>
    <row r="91" spans="1:49" s="70" customFormat="1" x14ac:dyDescent="0.25">
      <c r="A91" s="337">
        <v>212114</v>
      </c>
      <c r="B91" s="338" t="s">
        <v>35</v>
      </c>
      <c r="C91" s="366">
        <f>+C92+C97</f>
        <v>78190348</v>
      </c>
      <c r="D91" s="366">
        <f t="shared" ref="D91:G91" si="141">+D92+D97</f>
        <v>435690000</v>
      </c>
      <c r="E91" s="366">
        <f t="shared" si="141"/>
        <v>58190348</v>
      </c>
      <c r="F91" s="366">
        <f t="shared" si="141"/>
        <v>25000000</v>
      </c>
      <c r="G91" s="366">
        <f t="shared" si="141"/>
        <v>480690000</v>
      </c>
      <c r="H91" s="56">
        <f t="shared" ref="H91:T91" si="142">+H92+H97</f>
        <v>103190348</v>
      </c>
      <c r="I91" s="206">
        <f t="shared" si="142"/>
        <v>0</v>
      </c>
      <c r="J91" s="206">
        <f t="shared" si="142"/>
        <v>16507456.5</v>
      </c>
      <c r="K91" s="206">
        <f t="shared" si="142"/>
        <v>9507456.5</v>
      </c>
      <c r="L91" s="206">
        <f t="shared" si="142"/>
        <v>10307456.5</v>
      </c>
      <c r="M91" s="206">
        <f t="shared" si="142"/>
        <v>9007456.5</v>
      </c>
      <c r="N91" s="206">
        <f t="shared" si="142"/>
        <v>73155789.833333328</v>
      </c>
      <c r="O91" s="206">
        <f t="shared" si="142"/>
        <v>73312932.261904761</v>
      </c>
      <c r="P91" s="206">
        <f t="shared" si="142"/>
        <v>71884361.261904761</v>
      </c>
      <c r="Q91" s="206">
        <f t="shared" si="142"/>
        <v>71884361.261904761</v>
      </c>
      <c r="R91" s="206">
        <f t="shared" si="142"/>
        <v>69876904.761904761</v>
      </c>
      <c r="S91" s="206">
        <f t="shared" si="142"/>
        <v>71847078.761904761</v>
      </c>
      <c r="T91" s="206">
        <f t="shared" si="142"/>
        <v>3398745.4285714286</v>
      </c>
      <c r="U91" s="414">
        <f t="shared" si="119"/>
        <v>405444175.38095242</v>
      </c>
      <c r="V91" s="56">
        <f>+V92+V97</f>
        <v>480689999.57142854</v>
      </c>
      <c r="W91" s="396">
        <f t="shared" si="104"/>
        <v>480690000</v>
      </c>
      <c r="X91" s="396">
        <f t="shared" si="105"/>
        <v>0.42857146263122559</v>
      </c>
      <c r="Y91" s="396"/>
      <c r="Z91" s="55"/>
      <c r="AA91" s="207">
        <f t="shared" ref="AA91:AG91" si="143">+AA92+AA97</f>
        <v>0</v>
      </c>
      <c r="AB91" s="207">
        <f t="shared" si="143"/>
        <v>0</v>
      </c>
      <c r="AC91" s="207">
        <f t="shared" si="143"/>
        <v>155215746</v>
      </c>
      <c r="AD91" s="207">
        <f t="shared" si="143"/>
        <v>0</v>
      </c>
      <c r="AE91" s="207">
        <f t="shared" si="143"/>
        <v>164729627</v>
      </c>
      <c r="AF91" s="207">
        <f t="shared" si="143"/>
        <v>0</v>
      </c>
      <c r="AG91" s="207">
        <f t="shared" si="143"/>
        <v>0</v>
      </c>
      <c r="AH91" s="366">
        <v>9175885</v>
      </c>
      <c r="AI91" s="366">
        <v>0</v>
      </c>
      <c r="AJ91" s="366">
        <v>0</v>
      </c>
      <c r="AK91" s="207">
        <f t="shared" si="116"/>
        <v>329121258</v>
      </c>
      <c r="AL91" s="386"/>
      <c r="AM91" s="406" t="e">
        <f t="shared" si="91"/>
        <v>#DIV/0!</v>
      </c>
      <c r="AN91" s="406">
        <f t="shared" si="92"/>
        <v>-1</v>
      </c>
      <c r="AO91" s="406">
        <f t="shared" si="93"/>
        <v>15.325685634217733</v>
      </c>
      <c r="AP91" s="406">
        <f t="shared" si="94"/>
        <v>-1</v>
      </c>
      <c r="AQ91" s="406">
        <f t="shared" si="95"/>
        <v>17.288140164762382</v>
      </c>
      <c r="AR91" s="406">
        <f t="shared" si="96"/>
        <v>-1</v>
      </c>
      <c r="AS91" s="406">
        <f t="shared" si="97"/>
        <v>-1</v>
      </c>
      <c r="AT91" s="406">
        <f t="shared" si="98"/>
        <v>-0.87235213836611247</v>
      </c>
      <c r="AU91" s="406">
        <f t="shared" si="99"/>
        <v>-1</v>
      </c>
      <c r="AV91" s="406">
        <f t="shared" si="100"/>
        <v>-1</v>
      </c>
      <c r="AW91" s="406">
        <f t="shared" si="101"/>
        <v>3.5808578952900847</v>
      </c>
    </row>
    <row r="92" spans="1:49" s="70" customFormat="1" x14ac:dyDescent="0.25">
      <c r="A92" s="337">
        <v>2121142</v>
      </c>
      <c r="B92" s="338" t="s">
        <v>36</v>
      </c>
      <c r="C92" s="366">
        <f>+C94</f>
        <v>0</v>
      </c>
      <c r="D92" s="366">
        <f>+D94</f>
        <v>410690000</v>
      </c>
      <c r="E92" s="366">
        <f>+E94</f>
        <v>0</v>
      </c>
      <c r="F92" s="366">
        <f>+F94</f>
        <v>25000000</v>
      </c>
      <c r="G92" s="366">
        <f>+G94</f>
        <v>435690000</v>
      </c>
      <c r="H92" s="57">
        <f t="shared" ref="H92:T92" si="144">+H93+H94</f>
        <v>25000000</v>
      </c>
      <c r="I92" s="206">
        <f t="shared" si="144"/>
        <v>0</v>
      </c>
      <c r="J92" s="206">
        <f t="shared" si="144"/>
        <v>10000000</v>
      </c>
      <c r="K92" s="206">
        <f t="shared" si="144"/>
        <v>5000000</v>
      </c>
      <c r="L92" s="206">
        <f t="shared" si="144"/>
        <v>5000000</v>
      </c>
      <c r="M92" s="206">
        <f t="shared" si="144"/>
        <v>5000000</v>
      </c>
      <c r="N92" s="206">
        <f t="shared" si="144"/>
        <v>68448333.333333328</v>
      </c>
      <c r="O92" s="206">
        <f t="shared" si="144"/>
        <v>68448333.333333328</v>
      </c>
      <c r="P92" s="206">
        <f t="shared" si="144"/>
        <v>68448333.333333328</v>
      </c>
      <c r="Q92" s="206">
        <f t="shared" si="144"/>
        <v>68448333.333333328</v>
      </c>
      <c r="R92" s="206">
        <f t="shared" si="144"/>
        <v>68448333.333333328</v>
      </c>
      <c r="S92" s="206">
        <f t="shared" si="144"/>
        <v>68448333.333333328</v>
      </c>
      <c r="T92" s="206">
        <f t="shared" si="144"/>
        <v>0</v>
      </c>
      <c r="U92" s="414">
        <f t="shared" si="119"/>
        <v>367241666.66666663</v>
      </c>
      <c r="V92" s="57">
        <f>+V93+V94</f>
        <v>435689999.99999994</v>
      </c>
      <c r="W92" s="396">
        <f t="shared" si="104"/>
        <v>435690000</v>
      </c>
      <c r="X92" s="396">
        <f t="shared" si="105"/>
        <v>0</v>
      </c>
      <c r="Y92" s="396"/>
      <c r="Z92" s="55"/>
      <c r="AA92" s="207">
        <f t="shared" ref="AA92:AG92" si="145">+AA93+AA94</f>
        <v>0</v>
      </c>
      <c r="AB92" s="207">
        <f t="shared" si="145"/>
        <v>0</v>
      </c>
      <c r="AC92" s="207">
        <f t="shared" si="145"/>
        <v>155215746</v>
      </c>
      <c r="AD92" s="207">
        <f t="shared" si="145"/>
        <v>0</v>
      </c>
      <c r="AE92" s="207">
        <f t="shared" si="145"/>
        <v>164729627</v>
      </c>
      <c r="AF92" s="207">
        <f t="shared" si="145"/>
        <v>0</v>
      </c>
      <c r="AG92" s="207">
        <f t="shared" si="145"/>
        <v>0</v>
      </c>
      <c r="AH92" s="366">
        <v>9175885</v>
      </c>
      <c r="AI92" s="366">
        <v>0</v>
      </c>
      <c r="AJ92" s="366">
        <v>0</v>
      </c>
      <c r="AK92" s="207">
        <f t="shared" si="116"/>
        <v>329121258</v>
      </c>
      <c r="AL92" s="386"/>
      <c r="AM92" s="406" t="e">
        <f t="shared" si="91"/>
        <v>#DIV/0!</v>
      </c>
      <c r="AN92" s="406">
        <f t="shared" si="92"/>
        <v>-1</v>
      </c>
      <c r="AO92" s="406">
        <f t="shared" si="93"/>
        <v>30.043149199999998</v>
      </c>
      <c r="AP92" s="406">
        <f t="shared" si="94"/>
        <v>-1</v>
      </c>
      <c r="AQ92" s="406">
        <f t="shared" si="95"/>
        <v>31.9459254</v>
      </c>
      <c r="AR92" s="406">
        <f t="shared" si="96"/>
        <v>-1</v>
      </c>
      <c r="AS92" s="406">
        <f t="shared" si="97"/>
        <v>-1</v>
      </c>
      <c r="AT92" s="406">
        <f t="shared" si="98"/>
        <v>-0.86594436192748792</v>
      </c>
      <c r="AU92" s="406">
        <f t="shared" si="99"/>
        <v>-1</v>
      </c>
      <c r="AV92" s="406">
        <f t="shared" si="100"/>
        <v>-1</v>
      </c>
      <c r="AW92" s="406">
        <f t="shared" si="101"/>
        <v>3.8083166086342501</v>
      </c>
    </row>
    <row r="93" spans="1:49" s="70" customFormat="1" x14ac:dyDescent="0.25">
      <c r="A93" s="337"/>
      <c r="B93" s="338"/>
      <c r="C93" s="366"/>
      <c r="D93" s="366"/>
      <c r="E93" s="366"/>
      <c r="F93" s="366"/>
      <c r="G93" s="366"/>
      <c r="H93" s="58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414">
        <f t="shared" si="119"/>
        <v>0</v>
      </c>
      <c r="V93" s="58">
        <f t="shared" si="132"/>
        <v>0</v>
      </c>
      <c r="W93" s="396">
        <f t="shared" si="104"/>
        <v>0</v>
      </c>
      <c r="X93" s="396">
        <f t="shared" si="105"/>
        <v>0</v>
      </c>
      <c r="Y93" s="396"/>
      <c r="Z93" s="55"/>
      <c r="AA93" s="206"/>
      <c r="AB93" s="207"/>
      <c r="AC93" s="207"/>
      <c r="AD93" s="207"/>
      <c r="AE93" s="207"/>
      <c r="AF93" s="207">
        <v>0</v>
      </c>
      <c r="AG93" s="207"/>
      <c r="AH93" s="366"/>
      <c r="AI93" s="366"/>
      <c r="AJ93" s="366"/>
      <c r="AK93" s="207">
        <f t="shared" si="116"/>
        <v>0</v>
      </c>
      <c r="AL93" s="387"/>
      <c r="AM93" s="406" t="e">
        <f t="shared" si="91"/>
        <v>#DIV/0!</v>
      </c>
      <c r="AN93" s="406" t="e">
        <f t="shared" si="92"/>
        <v>#DIV/0!</v>
      </c>
      <c r="AO93" s="406" t="e">
        <f t="shared" si="93"/>
        <v>#DIV/0!</v>
      </c>
      <c r="AP93" s="406" t="e">
        <f t="shared" si="94"/>
        <v>#DIV/0!</v>
      </c>
      <c r="AQ93" s="406" t="e">
        <f t="shared" si="95"/>
        <v>#DIV/0!</v>
      </c>
      <c r="AR93" s="406" t="e">
        <f t="shared" si="96"/>
        <v>#DIV/0!</v>
      </c>
      <c r="AS93" s="406" t="e">
        <f t="shared" si="97"/>
        <v>#DIV/0!</v>
      </c>
      <c r="AT93" s="406" t="e">
        <f t="shared" si="98"/>
        <v>#DIV/0!</v>
      </c>
      <c r="AU93" s="406" t="e">
        <f t="shared" si="99"/>
        <v>#DIV/0!</v>
      </c>
      <c r="AV93" s="406" t="e">
        <f t="shared" si="100"/>
        <v>#DIV/0!</v>
      </c>
      <c r="AW93" s="406" t="e">
        <f t="shared" si="101"/>
        <v>#DIV/0!</v>
      </c>
    </row>
    <row r="94" spans="1:49" ht="30" x14ac:dyDescent="0.25">
      <c r="A94" s="343">
        <v>21211423</v>
      </c>
      <c r="B94" s="344" t="s">
        <v>37</v>
      </c>
      <c r="C94" s="369">
        <f>+C95</f>
        <v>0</v>
      </c>
      <c r="D94" s="369">
        <f t="shared" ref="D94:G95" si="146">+D95</f>
        <v>410690000</v>
      </c>
      <c r="E94" s="369">
        <f t="shared" si="146"/>
        <v>0</v>
      </c>
      <c r="F94" s="369">
        <f t="shared" si="146"/>
        <v>25000000</v>
      </c>
      <c r="G94" s="369">
        <f t="shared" si="146"/>
        <v>435690000</v>
      </c>
      <c r="H94" s="369">
        <f t="shared" ref="H94:S95" si="147">+H95</f>
        <v>25000000</v>
      </c>
      <c r="I94" s="369">
        <f t="shared" si="147"/>
        <v>0</v>
      </c>
      <c r="J94" s="369">
        <f t="shared" si="147"/>
        <v>10000000</v>
      </c>
      <c r="K94" s="369">
        <f t="shared" si="147"/>
        <v>5000000</v>
      </c>
      <c r="L94" s="369">
        <f t="shared" si="147"/>
        <v>5000000</v>
      </c>
      <c r="M94" s="369">
        <f t="shared" si="147"/>
        <v>5000000</v>
      </c>
      <c r="N94" s="369">
        <f t="shared" si="147"/>
        <v>68448333.333333328</v>
      </c>
      <c r="O94" s="369">
        <f t="shared" si="147"/>
        <v>68448333.333333328</v>
      </c>
      <c r="P94" s="369">
        <f t="shared" si="147"/>
        <v>68448333.333333328</v>
      </c>
      <c r="Q94" s="369">
        <f t="shared" si="147"/>
        <v>68448333.333333328</v>
      </c>
      <c r="R94" s="369">
        <f t="shared" si="147"/>
        <v>68448333.333333328</v>
      </c>
      <c r="S94" s="369">
        <f t="shared" si="147"/>
        <v>68448333.333333328</v>
      </c>
      <c r="T94" s="369">
        <f t="shared" ref="T94:V95" si="148">+T95</f>
        <v>0</v>
      </c>
      <c r="U94" s="419">
        <f t="shared" si="119"/>
        <v>367241666.66666663</v>
      </c>
      <c r="V94" s="58">
        <f t="shared" si="132"/>
        <v>435689999.99999994</v>
      </c>
      <c r="W94" s="396">
        <f t="shared" si="104"/>
        <v>435690000</v>
      </c>
      <c r="X94" s="396">
        <f t="shared" si="105"/>
        <v>0</v>
      </c>
      <c r="Y94" s="396">
        <f>+X94/6</f>
        <v>0</v>
      </c>
      <c r="Z94" s="55"/>
      <c r="AA94" s="206">
        <f>+AA95</f>
        <v>0</v>
      </c>
      <c r="AB94" s="206">
        <v>0</v>
      </c>
      <c r="AC94" s="206">
        <v>155215746</v>
      </c>
      <c r="AD94" s="206">
        <v>0</v>
      </c>
      <c r="AE94" s="206">
        <v>164729627</v>
      </c>
      <c r="AF94" s="206">
        <v>0</v>
      </c>
      <c r="AG94" s="206">
        <v>0</v>
      </c>
      <c r="AH94" s="369">
        <v>9175885</v>
      </c>
      <c r="AI94" s="369">
        <v>0</v>
      </c>
      <c r="AJ94" s="369">
        <v>0</v>
      </c>
      <c r="AK94" s="206">
        <f t="shared" si="116"/>
        <v>329121258</v>
      </c>
      <c r="AL94" s="386"/>
      <c r="AM94" s="408" t="e">
        <f t="shared" si="91"/>
        <v>#DIV/0!</v>
      </c>
      <c r="AN94" s="408">
        <f t="shared" si="92"/>
        <v>-1</v>
      </c>
      <c r="AO94" s="408">
        <f t="shared" si="93"/>
        <v>30.043149199999998</v>
      </c>
      <c r="AP94" s="408">
        <f t="shared" si="94"/>
        <v>-1</v>
      </c>
      <c r="AQ94" s="408">
        <f t="shared" si="95"/>
        <v>31.9459254</v>
      </c>
      <c r="AR94" s="408">
        <f t="shared" si="96"/>
        <v>-1</v>
      </c>
      <c r="AS94" s="408">
        <f t="shared" si="97"/>
        <v>-1</v>
      </c>
      <c r="AT94" s="408">
        <f t="shared" si="98"/>
        <v>-0.86594436192748792</v>
      </c>
      <c r="AU94" s="408">
        <f t="shared" si="99"/>
        <v>-1</v>
      </c>
      <c r="AV94" s="408">
        <f t="shared" si="100"/>
        <v>-1</v>
      </c>
      <c r="AW94" s="408">
        <f t="shared" si="101"/>
        <v>3.8083166086342501</v>
      </c>
    </row>
    <row r="95" spans="1:49" x14ac:dyDescent="0.25">
      <c r="A95" s="339">
        <v>212114231</v>
      </c>
      <c r="B95" s="340" t="s">
        <v>38</v>
      </c>
      <c r="C95" s="367">
        <f>+C96</f>
        <v>0</v>
      </c>
      <c r="D95" s="367">
        <f t="shared" si="146"/>
        <v>410690000</v>
      </c>
      <c r="E95" s="367">
        <f t="shared" si="146"/>
        <v>0</v>
      </c>
      <c r="F95" s="367">
        <f t="shared" si="146"/>
        <v>25000000</v>
      </c>
      <c r="G95" s="367">
        <f t="shared" si="146"/>
        <v>435690000</v>
      </c>
      <c r="H95" s="367">
        <f t="shared" si="147"/>
        <v>25000000</v>
      </c>
      <c r="I95" s="367">
        <f t="shared" si="147"/>
        <v>0</v>
      </c>
      <c r="J95" s="367">
        <f t="shared" si="147"/>
        <v>10000000</v>
      </c>
      <c r="K95" s="367">
        <f t="shared" si="147"/>
        <v>5000000</v>
      </c>
      <c r="L95" s="367">
        <f t="shared" si="147"/>
        <v>5000000</v>
      </c>
      <c r="M95" s="367">
        <f t="shared" si="147"/>
        <v>5000000</v>
      </c>
      <c r="N95" s="367">
        <f t="shared" si="147"/>
        <v>68448333.333333328</v>
      </c>
      <c r="O95" s="367">
        <f t="shared" si="147"/>
        <v>68448333.333333328</v>
      </c>
      <c r="P95" s="367">
        <f t="shared" si="147"/>
        <v>68448333.333333328</v>
      </c>
      <c r="Q95" s="367">
        <f t="shared" si="147"/>
        <v>68448333.333333328</v>
      </c>
      <c r="R95" s="367">
        <f t="shared" si="147"/>
        <v>68448333.333333328</v>
      </c>
      <c r="S95" s="367">
        <f t="shared" si="147"/>
        <v>68448333.333333328</v>
      </c>
      <c r="T95" s="367">
        <f t="shared" si="148"/>
        <v>0</v>
      </c>
      <c r="U95" s="418">
        <f t="shared" si="119"/>
        <v>367241666.66666663</v>
      </c>
      <c r="V95" s="367">
        <f t="shared" si="148"/>
        <v>435689999.99999994</v>
      </c>
      <c r="W95" s="396">
        <f t="shared" si="104"/>
        <v>435690000</v>
      </c>
      <c r="X95" s="396">
        <f t="shared" si="105"/>
        <v>0</v>
      </c>
      <c r="Y95" s="396"/>
      <c r="Z95" s="55"/>
      <c r="AA95" s="208">
        <f>+AA96</f>
        <v>0</v>
      </c>
      <c r="AB95" s="209">
        <v>0</v>
      </c>
      <c r="AC95" s="209">
        <v>155215746</v>
      </c>
      <c r="AD95" s="209">
        <v>0</v>
      </c>
      <c r="AE95" s="209">
        <v>164729627</v>
      </c>
      <c r="AF95" s="209">
        <v>0</v>
      </c>
      <c r="AG95" s="209">
        <v>0</v>
      </c>
      <c r="AH95" s="367">
        <v>9175885</v>
      </c>
      <c r="AI95" s="367">
        <v>0</v>
      </c>
      <c r="AJ95" s="367">
        <v>0</v>
      </c>
      <c r="AK95" s="209">
        <f t="shared" si="116"/>
        <v>329121258</v>
      </c>
      <c r="AL95" s="387"/>
      <c r="AM95" s="405" t="e">
        <f t="shared" si="91"/>
        <v>#DIV/0!</v>
      </c>
      <c r="AN95" s="405">
        <f t="shared" si="92"/>
        <v>-1</v>
      </c>
      <c r="AO95" s="405">
        <f t="shared" si="93"/>
        <v>30.043149199999998</v>
      </c>
      <c r="AP95" s="405">
        <f t="shared" si="94"/>
        <v>-1</v>
      </c>
      <c r="AQ95" s="405">
        <f t="shared" si="95"/>
        <v>31.9459254</v>
      </c>
      <c r="AR95" s="405">
        <f t="shared" si="96"/>
        <v>-1</v>
      </c>
      <c r="AS95" s="405">
        <f t="shared" si="97"/>
        <v>-1</v>
      </c>
      <c r="AT95" s="405">
        <f t="shared" si="98"/>
        <v>-0.86594436192748792</v>
      </c>
      <c r="AU95" s="405">
        <f t="shared" si="99"/>
        <v>-1</v>
      </c>
      <c r="AV95" s="405">
        <f t="shared" si="100"/>
        <v>-1</v>
      </c>
      <c r="AW95" s="405">
        <f t="shared" si="101"/>
        <v>3.8083166086342501</v>
      </c>
    </row>
    <row r="96" spans="1:49" x14ac:dyDescent="0.25">
      <c r="A96" s="341">
        <v>2121142311</v>
      </c>
      <c r="B96" s="342" t="s">
        <v>549</v>
      </c>
      <c r="C96" s="368">
        <v>0</v>
      </c>
      <c r="D96" s="368">
        <v>410690000</v>
      </c>
      <c r="E96" s="368">
        <v>0</v>
      </c>
      <c r="F96" s="368">
        <v>25000000</v>
      </c>
      <c r="G96" s="368">
        <f t="shared" ref="G96" si="149">+C96+D96-E96+F96</f>
        <v>435690000</v>
      </c>
      <c r="H96" s="68">
        <v>25000000</v>
      </c>
      <c r="I96" s="210">
        <v>0</v>
      </c>
      <c r="J96" s="210">
        <v>10000000</v>
      </c>
      <c r="K96" s="210">
        <v>5000000</v>
      </c>
      <c r="L96" s="210">
        <v>5000000</v>
      </c>
      <c r="M96" s="210">
        <v>5000000</v>
      </c>
      <c r="N96" s="210">
        <v>68448333.333333328</v>
      </c>
      <c r="O96" s="210">
        <v>68448333.333333328</v>
      </c>
      <c r="P96" s="210">
        <v>68448333.333333328</v>
      </c>
      <c r="Q96" s="210">
        <v>68448333.333333328</v>
      </c>
      <c r="R96" s="210">
        <v>68448333.333333328</v>
      </c>
      <c r="S96" s="210">
        <v>68448333.333333328</v>
      </c>
      <c r="T96" s="210">
        <v>0</v>
      </c>
      <c r="U96" s="412">
        <f t="shared" si="119"/>
        <v>367241666.66666663</v>
      </c>
      <c r="V96" s="58">
        <f t="shared" si="132"/>
        <v>435689999.99999994</v>
      </c>
      <c r="W96" s="396">
        <f t="shared" si="104"/>
        <v>435690000</v>
      </c>
      <c r="X96" s="396">
        <f t="shared" si="105"/>
        <v>0</v>
      </c>
      <c r="Y96" s="396"/>
      <c r="Z96" s="55"/>
      <c r="AA96" s="210">
        <v>0</v>
      </c>
      <c r="AB96" s="210">
        <v>0</v>
      </c>
      <c r="AC96" s="210">
        <v>155215746</v>
      </c>
      <c r="AD96" s="210">
        <v>0</v>
      </c>
      <c r="AE96" s="210">
        <v>164729627</v>
      </c>
      <c r="AF96" s="210"/>
      <c r="AG96" s="210">
        <v>0</v>
      </c>
      <c r="AH96" s="368">
        <v>9175885</v>
      </c>
      <c r="AI96" s="368">
        <v>0</v>
      </c>
      <c r="AJ96" s="368">
        <v>0</v>
      </c>
      <c r="AK96" s="210">
        <f t="shared" si="116"/>
        <v>329121258</v>
      </c>
      <c r="AL96" s="386"/>
      <c r="AM96" s="404" t="e">
        <f t="shared" si="91"/>
        <v>#DIV/0!</v>
      </c>
      <c r="AN96" s="404">
        <f t="shared" si="92"/>
        <v>-1</v>
      </c>
      <c r="AO96" s="404">
        <f t="shared" si="93"/>
        <v>30.043149199999998</v>
      </c>
      <c r="AP96" s="404">
        <f t="shared" si="94"/>
        <v>-1</v>
      </c>
      <c r="AQ96" s="404">
        <f t="shared" si="95"/>
        <v>31.9459254</v>
      </c>
      <c r="AR96" s="404">
        <f t="shared" si="96"/>
        <v>-1</v>
      </c>
      <c r="AS96" s="404">
        <f t="shared" si="97"/>
        <v>-1</v>
      </c>
      <c r="AT96" s="404">
        <f t="shared" si="98"/>
        <v>-0.86594436192748792</v>
      </c>
      <c r="AU96" s="404">
        <f t="shared" si="99"/>
        <v>-1</v>
      </c>
      <c r="AV96" s="404">
        <f t="shared" si="100"/>
        <v>-1</v>
      </c>
      <c r="AW96" s="404">
        <f t="shared" si="101"/>
        <v>3.8083166086342501</v>
      </c>
    </row>
    <row r="97" spans="1:49" s="70" customFormat="1" ht="30" x14ac:dyDescent="0.25">
      <c r="A97" s="337">
        <v>2121143</v>
      </c>
      <c r="B97" s="338" t="s">
        <v>39</v>
      </c>
      <c r="C97" s="366">
        <f>+C98</f>
        <v>78190348</v>
      </c>
      <c r="D97" s="366">
        <f>+D98</f>
        <v>25000000</v>
      </c>
      <c r="E97" s="366">
        <f t="shared" ref="E97:G97" si="150">+E98</f>
        <v>58190348</v>
      </c>
      <c r="F97" s="366">
        <f t="shared" si="150"/>
        <v>0</v>
      </c>
      <c r="G97" s="366">
        <f t="shared" si="150"/>
        <v>45000000</v>
      </c>
      <c r="H97" s="61">
        <f>+H98</f>
        <v>78190348</v>
      </c>
      <c r="I97" s="206">
        <f t="shared" ref="I97:V98" si="151">+I98</f>
        <v>0</v>
      </c>
      <c r="J97" s="206">
        <f t="shared" si="151"/>
        <v>6507456.5</v>
      </c>
      <c r="K97" s="206">
        <f t="shared" si="151"/>
        <v>4507456.5</v>
      </c>
      <c r="L97" s="206">
        <f t="shared" si="151"/>
        <v>5307456.5</v>
      </c>
      <c r="M97" s="206">
        <f t="shared" si="151"/>
        <v>4007456.5</v>
      </c>
      <c r="N97" s="206">
        <f t="shared" si="151"/>
        <v>4707456.5</v>
      </c>
      <c r="O97" s="206">
        <f t="shared" si="151"/>
        <v>4864598.92857143</v>
      </c>
      <c r="P97" s="206">
        <f t="shared" si="151"/>
        <v>3436027.9285714286</v>
      </c>
      <c r="Q97" s="206">
        <f t="shared" si="151"/>
        <v>3436027.9285714286</v>
      </c>
      <c r="R97" s="206">
        <f t="shared" si="151"/>
        <v>1428571.4285714286</v>
      </c>
      <c r="S97" s="206">
        <f t="shared" si="151"/>
        <v>3398745.4285714286</v>
      </c>
      <c r="T97" s="206">
        <f t="shared" si="151"/>
        <v>3398745.4285714286</v>
      </c>
      <c r="U97" s="414">
        <f t="shared" si="119"/>
        <v>38202508.714285709</v>
      </c>
      <c r="V97" s="61">
        <f t="shared" si="151"/>
        <v>44999999.571428575</v>
      </c>
      <c r="W97" s="396">
        <f t="shared" si="104"/>
        <v>45000000</v>
      </c>
      <c r="X97" s="396">
        <f t="shared" si="105"/>
        <v>0.4285714253783226</v>
      </c>
      <c r="Y97" s="396"/>
      <c r="Z97" s="55"/>
      <c r="AA97" s="206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0</v>
      </c>
      <c r="AH97" s="366">
        <v>0</v>
      </c>
      <c r="AI97" s="366">
        <v>0</v>
      </c>
      <c r="AJ97" s="366">
        <v>0</v>
      </c>
      <c r="AK97" s="207">
        <f t="shared" si="116"/>
        <v>0</v>
      </c>
      <c r="AL97" s="386"/>
      <c r="AM97" s="406" t="e">
        <f t="shared" si="91"/>
        <v>#DIV/0!</v>
      </c>
      <c r="AN97" s="406">
        <f t="shared" si="92"/>
        <v>-1</v>
      </c>
      <c r="AO97" s="406">
        <f t="shared" si="93"/>
        <v>-1</v>
      </c>
      <c r="AP97" s="406">
        <f t="shared" si="94"/>
        <v>-1</v>
      </c>
      <c r="AQ97" s="406">
        <f t="shared" si="95"/>
        <v>-1</v>
      </c>
      <c r="AR97" s="406">
        <f t="shared" si="96"/>
        <v>-1</v>
      </c>
      <c r="AS97" s="406">
        <f t="shared" si="97"/>
        <v>-1</v>
      </c>
      <c r="AT97" s="406">
        <f t="shared" si="98"/>
        <v>-1</v>
      </c>
      <c r="AU97" s="406">
        <f t="shared" si="99"/>
        <v>-1</v>
      </c>
      <c r="AV97" s="406">
        <f t="shared" si="100"/>
        <v>-1</v>
      </c>
      <c r="AW97" s="406">
        <f t="shared" si="101"/>
        <v>-1</v>
      </c>
    </row>
    <row r="98" spans="1:49" ht="30" x14ac:dyDescent="0.25">
      <c r="A98" s="337">
        <v>21211436</v>
      </c>
      <c r="B98" s="338" t="s">
        <v>40</v>
      </c>
      <c r="C98" s="366">
        <f>+C99</f>
        <v>78190348</v>
      </c>
      <c r="D98" s="366">
        <f t="shared" ref="D98:G98" si="152">+D99</f>
        <v>25000000</v>
      </c>
      <c r="E98" s="366">
        <f t="shared" si="152"/>
        <v>58190348</v>
      </c>
      <c r="F98" s="366">
        <f t="shared" si="152"/>
        <v>0</v>
      </c>
      <c r="G98" s="366">
        <f t="shared" si="152"/>
        <v>45000000</v>
      </c>
      <c r="H98" s="61">
        <f>+H99</f>
        <v>78190348</v>
      </c>
      <c r="I98" s="206">
        <f t="shared" si="151"/>
        <v>0</v>
      </c>
      <c r="J98" s="206">
        <f t="shared" si="151"/>
        <v>6507456.5</v>
      </c>
      <c r="K98" s="206">
        <f t="shared" si="151"/>
        <v>4507456.5</v>
      </c>
      <c r="L98" s="206">
        <f t="shared" si="151"/>
        <v>5307456.5</v>
      </c>
      <c r="M98" s="206">
        <f t="shared" si="151"/>
        <v>4007456.5</v>
      </c>
      <c r="N98" s="206">
        <f t="shared" si="151"/>
        <v>4707456.5</v>
      </c>
      <c r="O98" s="206">
        <f t="shared" si="151"/>
        <v>4864598.92857143</v>
      </c>
      <c r="P98" s="206">
        <f t="shared" si="151"/>
        <v>3436027.9285714286</v>
      </c>
      <c r="Q98" s="206">
        <f t="shared" si="151"/>
        <v>3436027.9285714286</v>
      </c>
      <c r="R98" s="206">
        <f t="shared" si="151"/>
        <v>1428571.4285714286</v>
      </c>
      <c r="S98" s="206">
        <f t="shared" si="151"/>
        <v>3398745.4285714286</v>
      </c>
      <c r="T98" s="206">
        <f t="shared" si="151"/>
        <v>3398745.4285714286</v>
      </c>
      <c r="U98" s="414">
        <f t="shared" si="119"/>
        <v>38202508.714285709</v>
      </c>
      <c r="V98" s="61">
        <f t="shared" si="151"/>
        <v>44999999.571428575</v>
      </c>
      <c r="W98" s="396">
        <f t="shared" si="104"/>
        <v>45000000</v>
      </c>
      <c r="X98" s="396">
        <f t="shared" si="105"/>
        <v>0.4285714253783226</v>
      </c>
      <c r="Y98" s="396"/>
      <c r="Z98" s="55"/>
      <c r="AA98" s="206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366">
        <v>0</v>
      </c>
      <c r="AI98" s="366">
        <v>0</v>
      </c>
      <c r="AJ98" s="366">
        <v>0</v>
      </c>
      <c r="AK98" s="207">
        <f t="shared" si="116"/>
        <v>0</v>
      </c>
      <c r="AL98" s="386"/>
      <c r="AM98" s="406" t="e">
        <f t="shared" si="91"/>
        <v>#DIV/0!</v>
      </c>
      <c r="AN98" s="406">
        <f t="shared" si="92"/>
        <v>-1</v>
      </c>
      <c r="AO98" s="406">
        <f t="shared" si="93"/>
        <v>-1</v>
      </c>
      <c r="AP98" s="406">
        <f t="shared" si="94"/>
        <v>-1</v>
      </c>
      <c r="AQ98" s="406">
        <f t="shared" si="95"/>
        <v>-1</v>
      </c>
      <c r="AR98" s="406">
        <f t="shared" si="96"/>
        <v>-1</v>
      </c>
      <c r="AS98" s="406">
        <f t="shared" si="97"/>
        <v>-1</v>
      </c>
      <c r="AT98" s="406">
        <f t="shared" si="98"/>
        <v>-1</v>
      </c>
      <c r="AU98" s="406">
        <f t="shared" si="99"/>
        <v>-1</v>
      </c>
      <c r="AV98" s="406">
        <f t="shared" si="100"/>
        <v>-1</v>
      </c>
      <c r="AW98" s="406">
        <f t="shared" si="101"/>
        <v>-1</v>
      </c>
    </row>
    <row r="99" spans="1:49" s="70" customFormat="1" x14ac:dyDescent="0.25">
      <c r="A99" s="339">
        <v>212114361</v>
      </c>
      <c r="B99" s="340" t="s">
        <v>41</v>
      </c>
      <c r="C99" s="367">
        <f>+C100+C101+C102</f>
        <v>78190348</v>
      </c>
      <c r="D99" s="367">
        <f>+D100+D101+D102</f>
        <v>25000000</v>
      </c>
      <c r="E99" s="367">
        <f t="shared" ref="E99:G99" si="153">+E100+E101+E102</f>
        <v>58190348</v>
      </c>
      <c r="F99" s="367">
        <f t="shared" si="153"/>
        <v>0</v>
      </c>
      <c r="G99" s="367">
        <f t="shared" si="153"/>
        <v>45000000</v>
      </c>
      <c r="H99" s="57">
        <f>+H100+H101+H102</f>
        <v>78190348</v>
      </c>
      <c r="I99" s="208">
        <f t="shared" ref="I99:V99" si="154">+I100+I101+I102</f>
        <v>0</v>
      </c>
      <c r="J99" s="208">
        <f t="shared" si="154"/>
        <v>6507456.5</v>
      </c>
      <c r="K99" s="208">
        <f t="shared" si="154"/>
        <v>4507456.5</v>
      </c>
      <c r="L99" s="208">
        <f t="shared" si="154"/>
        <v>5307456.5</v>
      </c>
      <c r="M99" s="208">
        <f t="shared" si="154"/>
        <v>4007456.5</v>
      </c>
      <c r="N99" s="208">
        <f t="shared" si="154"/>
        <v>4707456.5</v>
      </c>
      <c r="O99" s="208">
        <f t="shared" si="154"/>
        <v>4864598.92857143</v>
      </c>
      <c r="P99" s="208">
        <f t="shared" si="154"/>
        <v>3436027.9285714286</v>
      </c>
      <c r="Q99" s="208">
        <f t="shared" si="154"/>
        <v>3436027.9285714286</v>
      </c>
      <c r="R99" s="208">
        <f t="shared" si="154"/>
        <v>1428571.4285714286</v>
      </c>
      <c r="S99" s="208">
        <f t="shared" si="154"/>
        <v>3398745.4285714286</v>
      </c>
      <c r="T99" s="208">
        <f t="shared" si="154"/>
        <v>3398745.4285714286</v>
      </c>
      <c r="U99" s="413">
        <f t="shared" si="119"/>
        <v>38202508.714285709</v>
      </c>
      <c r="V99" s="57">
        <f t="shared" si="154"/>
        <v>44999999.571428575</v>
      </c>
      <c r="W99" s="396">
        <f t="shared" si="104"/>
        <v>45000000</v>
      </c>
      <c r="X99" s="396">
        <f t="shared" si="105"/>
        <v>0.4285714253783226</v>
      </c>
      <c r="Y99" s="396"/>
      <c r="Z99" s="53"/>
      <c r="AA99" s="208">
        <v>0</v>
      </c>
      <c r="AB99" s="209">
        <v>0</v>
      </c>
      <c r="AC99" s="209">
        <v>0</v>
      </c>
      <c r="AD99" s="209">
        <v>0</v>
      </c>
      <c r="AE99" s="209">
        <v>0</v>
      </c>
      <c r="AF99" s="209">
        <v>0</v>
      </c>
      <c r="AG99" s="209">
        <v>0</v>
      </c>
      <c r="AH99" s="367">
        <v>0</v>
      </c>
      <c r="AI99" s="367">
        <v>0</v>
      </c>
      <c r="AJ99" s="367">
        <v>0</v>
      </c>
      <c r="AK99" s="209">
        <f t="shared" si="116"/>
        <v>0</v>
      </c>
      <c r="AL99" s="387"/>
      <c r="AM99" s="405" t="e">
        <f t="shared" si="91"/>
        <v>#DIV/0!</v>
      </c>
      <c r="AN99" s="405">
        <f t="shared" si="92"/>
        <v>-1</v>
      </c>
      <c r="AO99" s="405">
        <f t="shared" si="93"/>
        <v>-1</v>
      </c>
      <c r="AP99" s="405">
        <f t="shared" si="94"/>
        <v>-1</v>
      </c>
      <c r="AQ99" s="405">
        <f t="shared" si="95"/>
        <v>-1</v>
      </c>
      <c r="AR99" s="405">
        <f t="shared" si="96"/>
        <v>-1</v>
      </c>
      <c r="AS99" s="405">
        <f t="shared" si="97"/>
        <v>-1</v>
      </c>
      <c r="AT99" s="405">
        <f t="shared" si="98"/>
        <v>-1</v>
      </c>
      <c r="AU99" s="405">
        <f t="shared" si="99"/>
        <v>-1</v>
      </c>
      <c r="AV99" s="405">
        <f t="shared" si="100"/>
        <v>-1</v>
      </c>
      <c r="AW99" s="405">
        <f t="shared" si="101"/>
        <v>-1</v>
      </c>
    </row>
    <row r="100" spans="1:49" s="70" customFormat="1" x14ac:dyDescent="0.25">
      <c r="A100" s="341">
        <v>2121143611</v>
      </c>
      <c r="B100" s="342" t="s">
        <v>550</v>
      </c>
      <c r="C100" s="368">
        <v>15000000</v>
      </c>
      <c r="D100" s="368">
        <v>10000000</v>
      </c>
      <c r="E100" s="368">
        <v>0</v>
      </c>
      <c r="F100" s="368">
        <v>0</v>
      </c>
      <c r="G100" s="368">
        <f t="shared" ref="G100:G102" si="155">+C100+D100-E100+F100</f>
        <v>25000000</v>
      </c>
      <c r="H100" s="58">
        <v>15000000</v>
      </c>
      <c r="I100" s="210">
        <v>0</v>
      </c>
      <c r="J100" s="210">
        <v>4500000</v>
      </c>
      <c r="K100" s="210">
        <v>2500000</v>
      </c>
      <c r="L100" s="210">
        <v>3300000</v>
      </c>
      <c r="M100" s="210">
        <v>2000000</v>
      </c>
      <c r="N100" s="210">
        <v>2700000</v>
      </c>
      <c r="O100" s="210">
        <f>1428571.42857143+1428571</f>
        <v>2857142.42857143</v>
      </c>
      <c r="P100" s="210">
        <v>1428571.4285714286</v>
      </c>
      <c r="Q100" s="210">
        <v>1428571.4285714286</v>
      </c>
      <c r="R100" s="210">
        <v>1428571.4285714286</v>
      </c>
      <c r="S100" s="210">
        <v>1428571.4285714286</v>
      </c>
      <c r="T100" s="210">
        <v>1428571.4285714286</v>
      </c>
      <c r="U100" s="412">
        <f t="shared" si="119"/>
        <v>22142856.714285716</v>
      </c>
      <c r="V100" s="58">
        <f t="shared" si="132"/>
        <v>24999999.571428575</v>
      </c>
      <c r="W100" s="396">
        <f t="shared" si="104"/>
        <v>25000000</v>
      </c>
      <c r="X100" s="396">
        <f t="shared" si="105"/>
        <v>0.4285714253783226</v>
      </c>
      <c r="Y100" s="396">
        <f>+X100/7</f>
        <v>6.1224489339760373E-2</v>
      </c>
      <c r="Z100" s="53"/>
      <c r="AA100" s="210">
        <v>0</v>
      </c>
      <c r="AB100" s="210">
        <v>0</v>
      </c>
      <c r="AC100" s="210">
        <v>0</v>
      </c>
      <c r="AD100" s="210">
        <v>0</v>
      </c>
      <c r="AE100" s="210">
        <v>0</v>
      </c>
      <c r="AF100" s="210">
        <v>0</v>
      </c>
      <c r="AG100" s="210">
        <v>0</v>
      </c>
      <c r="AH100" s="368">
        <v>0</v>
      </c>
      <c r="AI100" s="368">
        <v>0</v>
      </c>
      <c r="AJ100" s="368">
        <v>0</v>
      </c>
      <c r="AK100" s="210">
        <f t="shared" si="116"/>
        <v>0</v>
      </c>
      <c r="AL100" s="387"/>
      <c r="AM100" s="404" t="e">
        <f t="shared" si="91"/>
        <v>#DIV/0!</v>
      </c>
      <c r="AN100" s="404">
        <f t="shared" si="92"/>
        <v>-1</v>
      </c>
      <c r="AO100" s="404">
        <f t="shared" si="93"/>
        <v>-1</v>
      </c>
      <c r="AP100" s="404">
        <f t="shared" si="94"/>
        <v>-1</v>
      </c>
      <c r="AQ100" s="404">
        <f t="shared" si="95"/>
        <v>-1</v>
      </c>
      <c r="AR100" s="404">
        <f t="shared" si="96"/>
        <v>-1</v>
      </c>
      <c r="AS100" s="404">
        <f t="shared" si="97"/>
        <v>-1</v>
      </c>
      <c r="AT100" s="404">
        <f t="shared" si="98"/>
        <v>-1</v>
      </c>
      <c r="AU100" s="404">
        <f t="shared" si="99"/>
        <v>-1</v>
      </c>
      <c r="AV100" s="404">
        <f t="shared" si="100"/>
        <v>-1</v>
      </c>
      <c r="AW100" s="404">
        <f t="shared" si="101"/>
        <v>-1</v>
      </c>
    </row>
    <row r="101" spans="1:49" s="70" customFormat="1" x14ac:dyDescent="0.25">
      <c r="A101" s="341">
        <v>2121143612</v>
      </c>
      <c r="B101" s="342" t="s">
        <v>551</v>
      </c>
      <c r="C101" s="368">
        <v>43190348</v>
      </c>
      <c r="D101" s="368">
        <v>15000000</v>
      </c>
      <c r="E101" s="368">
        <v>54250000</v>
      </c>
      <c r="F101" s="368">
        <v>0</v>
      </c>
      <c r="G101" s="368">
        <f t="shared" si="155"/>
        <v>3940348</v>
      </c>
      <c r="H101" s="58">
        <v>43190348</v>
      </c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>
        <v>1970174</v>
      </c>
      <c r="T101" s="210">
        <v>1970174</v>
      </c>
      <c r="U101" s="412">
        <f t="shared" si="119"/>
        <v>0</v>
      </c>
      <c r="V101" s="58">
        <f t="shared" si="132"/>
        <v>3940348</v>
      </c>
      <c r="W101" s="396">
        <f t="shared" si="104"/>
        <v>3940348</v>
      </c>
      <c r="X101" s="396">
        <f t="shared" si="105"/>
        <v>0</v>
      </c>
      <c r="Y101" s="396">
        <f>+W101/2</f>
        <v>1970174</v>
      </c>
      <c r="Z101" s="53"/>
      <c r="AA101" s="210">
        <v>0</v>
      </c>
      <c r="AB101" s="210">
        <v>0</v>
      </c>
      <c r="AC101" s="210">
        <v>0</v>
      </c>
      <c r="AD101" s="210">
        <v>0</v>
      </c>
      <c r="AE101" s="210">
        <v>0</v>
      </c>
      <c r="AF101" s="210">
        <v>0</v>
      </c>
      <c r="AG101" s="210">
        <v>0</v>
      </c>
      <c r="AH101" s="368">
        <v>0</v>
      </c>
      <c r="AI101" s="368">
        <v>0</v>
      </c>
      <c r="AJ101" s="368">
        <v>0</v>
      </c>
      <c r="AK101" s="210">
        <f t="shared" si="116"/>
        <v>0</v>
      </c>
      <c r="AL101" s="387"/>
      <c r="AM101" s="404" t="e">
        <f t="shared" si="91"/>
        <v>#DIV/0!</v>
      </c>
      <c r="AN101" s="404" t="e">
        <f t="shared" si="92"/>
        <v>#DIV/0!</v>
      </c>
      <c r="AO101" s="404" t="e">
        <f t="shared" si="93"/>
        <v>#DIV/0!</v>
      </c>
      <c r="AP101" s="404" t="e">
        <f t="shared" si="94"/>
        <v>#DIV/0!</v>
      </c>
      <c r="AQ101" s="404" t="e">
        <f t="shared" si="95"/>
        <v>#DIV/0!</v>
      </c>
      <c r="AR101" s="404" t="e">
        <f t="shared" si="96"/>
        <v>#DIV/0!</v>
      </c>
      <c r="AS101" s="404" t="e">
        <f t="shared" si="97"/>
        <v>#DIV/0!</v>
      </c>
      <c r="AT101" s="404" t="e">
        <f t="shared" si="98"/>
        <v>#DIV/0!</v>
      </c>
      <c r="AU101" s="404" t="e">
        <f t="shared" si="99"/>
        <v>#DIV/0!</v>
      </c>
      <c r="AV101" s="404" t="e">
        <f t="shared" si="100"/>
        <v>#DIV/0!</v>
      </c>
      <c r="AW101" s="404">
        <f t="shared" si="101"/>
        <v>-1</v>
      </c>
    </row>
    <row r="102" spans="1:49" s="70" customFormat="1" x14ac:dyDescent="0.25">
      <c r="A102" s="341">
        <v>2121143614</v>
      </c>
      <c r="B102" s="342" t="s">
        <v>552</v>
      </c>
      <c r="C102" s="368">
        <v>20000000</v>
      </c>
      <c r="D102" s="368">
        <v>0</v>
      </c>
      <c r="E102" s="368">
        <v>3940348</v>
      </c>
      <c r="F102" s="368">
        <v>0</v>
      </c>
      <c r="G102" s="368">
        <f t="shared" si="155"/>
        <v>16059652</v>
      </c>
      <c r="H102" s="58">
        <v>20000000</v>
      </c>
      <c r="I102" s="210">
        <v>0</v>
      </c>
      <c r="J102" s="210">
        <v>2007456.5</v>
      </c>
      <c r="K102" s="210">
        <v>2007456.5</v>
      </c>
      <c r="L102" s="210">
        <v>2007456.5</v>
      </c>
      <c r="M102" s="210">
        <v>2007456.5</v>
      </c>
      <c r="N102" s="210">
        <v>2007456.5</v>
      </c>
      <c r="O102" s="210">
        <v>2007456.5</v>
      </c>
      <c r="P102" s="210">
        <v>2007456.5</v>
      </c>
      <c r="Q102" s="210">
        <v>2007456.5</v>
      </c>
      <c r="R102" s="210">
        <v>0</v>
      </c>
      <c r="S102" s="210">
        <v>0</v>
      </c>
      <c r="T102" s="210">
        <v>0</v>
      </c>
      <c r="U102" s="412">
        <f t="shared" si="119"/>
        <v>16059652</v>
      </c>
      <c r="V102" s="58">
        <f t="shared" si="132"/>
        <v>16059652</v>
      </c>
      <c r="W102" s="396">
        <f t="shared" si="104"/>
        <v>16059652</v>
      </c>
      <c r="X102" s="396">
        <f t="shared" si="105"/>
        <v>0</v>
      </c>
      <c r="Y102" s="396">
        <f>+W102/8</f>
        <v>2007456.5</v>
      </c>
      <c r="Z102" s="62"/>
      <c r="AA102" s="210">
        <v>0</v>
      </c>
      <c r="AB102" s="210">
        <v>0</v>
      </c>
      <c r="AC102" s="210">
        <v>0</v>
      </c>
      <c r="AD102" s="210">
        <v>0</v>
      </c>
      <c r="AE102" s="210">
        <v>0</v>
      </c>
      <c r="AF102" s="210">
        <v>0</v>
      </c>
      <c r="AG102" s="210">
        <v>0</v>
      </c>
      <c r="AH102" s="368">
        <v>0</v>
      </c>
      <c r="AI102" s="368">
        <v>0</v>
      </c>
      <c r="AJ102" s="368">
        <v>0</v>
      </c>
      <c r="AK102" s="210">
        <f t="shared" si="116"/>
        <v>0</v>
      </c>
      <c r="AL102" s="386"/>
      <c r="AM102" s="404" t="e">
        <f t="shared" si="91"/>
        <v>#DIV/0!</v>
      </c>
      <c r="AN102" s="404">
        <f t="shared" si="92"/>
        <v>-1</v>
      </c>
      <c r="AO102" s="404">
        <f t="shared" si="93"/>
        <v>-1</v>
      </c>
      <c r="AP102" s="404">
        <f t="shared" si="94"/>
        <v>-1</v>
      </c>
      <c r="AQ102" s="404">
        <f t="shared" si="95"/>
        <v>-1</v>
      </c>
      <c r="AR102" s="404">
        <f t="shared" si="96"/>
        <v>-1</v>
      </c>
      <c r="AS102" s="404">
        <f t="shared" si="97"/>
        <v>-1</v>
      </c>
      <c r="AT102" s="404">
        <f t="shared" si="98"/>
        <v>-1</v>
      </c>
      <c r="AU102" s="404">
        <f t="shared" si="99"/>
        <v>-1</v>
      </c>
      <c r="AV102" s="404" t="e">
        <f t="shared" si="100"/>
        <v>#DIV/0!</v>
      </c>
      <c r="AW102" s="404" t="e">
        <f t="shared" si="101"/>
        <v>#DIV/0!</v>
      </c>
    </row>
    <row r="103" spans="1:49" x14ac:dyDescent="0.25">
      <c r="A103" s="339">
        <v>21213</v>
      </c>
      <c r="B103" s="340" t="s">
        <v>42</v>
      </c>
      <c r="C103" s="367">
        <f>+C104</f>
        <v>20000000</v>
      </c>
      <c r="D103" s="367">
        <f t="shared" ref="D103:G103" si="156">+D104</f>
        <v>0</v>
      </c>
      <c r="E103" s="367">
        <f t="shared" si="156"/>
        <v>20000000</v>
      </c>
      <c r="F103" s="367">
        <f t="shared" si="156"/>
        <v>0</v>
      </c>
      <c r="G103" s="367">
        <f t="shared" si="156"/>
        <v>0</v>
      </c>
      <c r="H103" s="57">
        <f>+H104</f>
        <v>20000000</v>
      </c>
      <c r="I103" s="208">
        <f t="shared" ref="I103:V103" si="157">+I104</f>
        <v>0</v>
      </c>
      <c r="J103" s="208">
        <f t="shared" si="157"/>
        <v>0</v>
      </c>
      <c r="K103" s="208">
        <f t="shared" si="157"/>
        <v>0</v>
      </c>
      <c r="L103" s="208">
        <f t="shared" si="157"/>
        <v>0</v>
      </c>
      <c r="M103" s="208">
        <f t="shared" si="157"/>
        <v>0</v>
      </c>
      <c r="N103" s="208">
        <f t="shared" si="157"/>
        <v>0</v>
      </c>
      <c r="O103" s="208">
        <f t="shared" si="157"/>
        <v>0</v>
      </c>
      <c r="P103" s="208">
        <f t="shared" si="157"/>
        <v>0</v>
      </c>
      <c r="Q103" s="208">
        <f t="shared" si="157"/>
        <v>0</v>
      </c>
      <c r="R103" s="208">
        <f t="shared" si="157"/>
        <v>0</v>
      </c>
      <c r="S103" s="208">
        <f t="shared" si="157"/>
        <v>0</v>
      </c>
      <c r="T103" s="208">
        <f t="shared" si="157"/>
        <v>0</v>
      </c>
      <c r="U103" s="413">
        <f t="shared" si="119"/>
        <v>0</v>
      </c>
      <c r="V103" s="57">
        <f t="shared" si="157"/>
        <v>0</v>
      </c>
      <c r="W103" s="396">
        <f t="shared" si="104"/>
        <v>0</v>
      </c>
      <c r="X103" s="396">
        <f t="shared" si="105"/>
        <v>0</v>
      </c>
      <c r="Y103" s="396"/>
      <c r="AA103" s="208">
        <v>0</v>
      </c>
      <c r="AB103" s="209">
        <v>0</v>
      </c>
      <c r="AC103" s="209">
        <v>0</v>
      </c>
      <c r="AD103" s="209">
        <v>0</v>
      </c>
      <c r="AE103" s="209">
        <v>0</v>
      </c>
      <c r="AF103" s="209">
        <v>0</v>
      </c>
      <c r="AG103" s="209">
        <v>0</v>
      </c>
      <c r="AH103" s="367">
        <v>0</v>
      </c>
      <c r="AI103" s="367">
        <v>0</v>
      </c>
      <c r="AJ103" s="367">
        <v>0</v>
      </c>
      <c r="AK103" s="209">
        <f t="shared" si="116"/>
        <v>0</v>
      </c>
      <c r="AL103" s="387"/>
      <c r="AM103" s="405" t="e">
        <f t="shared" si="91"/>
        <v>#DIV/0!</v>
      </c>
      <c r="AN103" s="405" t="e">
        <f t="shared" si="92"/>
        <v>#DIV/0!</v>
      </c>
      <c r="AO103" s="405" t="e">
        <f t="shared" si="93"/>
        <v>#DIV/0!</v>
      </c>
      <c r="AP103" s="405" t="e">
        <f t="shared" si="94"/>
        <v>#DIV/0!</v>
      </c>
      <c r="AQ103" s="405" t="e">
        <f t="shared" si="95"/>
        <v>#DIV/0!</v>
      </c>
      <c r="AR103" s="405" t="e">
        <f t="shared" si="96"/>
        <v>#DIV/0!</v>
      </c>
      <c r="AS103" s="405" t="e">
        <f t="shared" si="97"/>
        <v>#DIV/0!</v>
      </c>
      <c r="AT103" s="405" t="e">
        <f t="shared" si="98"/>
        <v>#DIV/0!</v>
      </c>
      <c r="AU103" s="405" t="e">
        <f t="shared" si="99"/>
        <v>#DIV/0!</v>
      </c>
      <c r="AV103" s="405" t="e">
        <f t="shared" si="100"/>
        <v>#DIV/0!</v>
      </c>
      <c r="AW103" s="405" t="e">
        <f t="shared" si="101"/>
        <v>#DIV/0!</v>
      </c>
    </row>
    <row r="104" spans="1:49" x14ac:dyDescent="0.25">
      <c r="A104" s="341">
        <v>212131</v>
      </c>
      <c r="B104" s="342" t="s">
        <v>553</v>
      </c>
      <c r="C104" s="368">
        <v>20000000</v>
      </c>
      <c r="D104" s="368">
        <v>0</v>
      </c>
      <c r="E104" s="368">
        <v>20000000</v>
      </c>
      <c r="F104" s="368">
        <v>0</v>
      </c>
      <c r="G104" s="368">
        <f t="shared" ref="G104" si="158">+C104+D104-E104+F104</f>
        <v>0</v>
      </c>
      <c r="H104" s="58">
        <v>20000000</v>
      </c>
      <c r="I104" s="210">
        <v>0</v>
      </c>
      <c r="J104" s="210">
        <v>0</v>
      </c>
      <c r="K104" s="210">
        <v>0</v>
      </c>
      <c r="L104" s="210">
        <v>0</v>
      </c>
      <c r="M104" s="210">
        <v>0</v>
      </c>
      <c r="N104" s="210">
        <v>0</v>
      </c>
      <c r="O104" s="210">
        <v>0</v>
      </c>
      <c r="P104" s="210">
        <v>0</v>
      </c>
      <c r="Q104" s="210">
        <v>0</v>
      </c>
      <c r="R104" s="210">
        <v>0</v>
      </c>
      <c r="S104" s="210">
        <v>0</v>
      </c>
      <c r="T104" s="210">
        <v>0</v>
      </c>
      <c r="U104" s="412">
        <f t="shared" si="119"/>
        <v>0</v>
      </c>
      <c r="V104" s="58">
        <f t="shared" si="132"/>
        <v>0</v>
      </c>
      <c r="W104" s="396">
        <f t="shared" si="104"/>
        <v>0</v>
      </c>
      <c r="X104" s="396">
        <f t="shared" si="105"/>
        <v>0</v>
      </c>
      <c r="Y104" s="396"/>
      <c r="Z104" s="55"/>
      <c r="AA104" s="210">
        <v>0</v>
      </c>
      <c r="AB104" s="210">
        <v>0</v>
      </c>
      <c r="AC104" s="210">
        <v>0</v>
      </c>
      <c r="AD104" s="210">
        <v>0</v>
      </c>
      <c r="AE104" s="210">
        <v>0</v>
      </c>
      <c r="AF104" s="210">
        <v>0</v>
      </c>
      <c r="AG104" s="210">
        <v>0</v>
      </c>
      <c r="AH104" s="368">
        <v>0</v>
      </c>
      <c r="AI104" s="368">
        <v>0</v>
      </c>
      <c r="AJ104" s="368">
        <v>0</v>
      </c>
      <c r="AK104" s="210">
        <f t="shared" si="116"/>
        <v>0</v>
      </c>
      <c r="AL104" s="386"/>
      <c r="AM104" s="404" t="e">
        <f t="shared" si="91"/>
        <v>#DIV/0!</v>
      </c>
      <c r="AN104" s="404" t="e">
        <f t="shared" si="92"/>
        <v>#DIV/0!</v>
      </c>
      <c r="AO104" s="404" t="e">
        <f t="shared" si="93"/>
        <v>#DIV/0!</v>
      </c>
      <c r="AP104" s="404" t="e">
        <f t="shared" si="94"/>
        <v>#DIV/0!</v>
      </c>
      <c r="AQ104" s="404" t="e">
        <f t="shared" si="95"/>
        <v>#DIV/0!</v>
      </c>
      <c r="AR104" s="404" t="e">
        <f t="shared" si="96"/>
        <v>#DIV/0!</v>
      </c>
      <c r="AS104" s="404" t="e">
        <f t="shared" si="97"/>
        <v>#DIV/0!</v>
      </c>
      <c r="AT104" s="404" t="e">
        <f t="shared" si="98"/>
        <v>#DIV/0!</v>
      </c>
      <c r="AU104" s="404" t="e">
        <f t="shared" si="99"/>
        <v>#DIV/0!</v>
      </c>
      <c r="AV104" s="404" t="e">
        <f t="shared" si="100"/>
        <v>#DIV/0!</v>
      </c>
      <c r="AW104" s="404" t="e">
        <f t="shared" si="101"/>
        <v>#DIV/0!</v>
      </c>
    </row>
    <row r="105" spans="1:49" x14ac:dyDescent="0.25">
      <c r="A105" s="337">
        <v>2122</v>
      </c>
      <c r="B105" s="338" t="s">
        <v>43</v>
      </c>
      <c r="C105" s="366">
        <f>+C106+C159</f>
        <v>8203837425</v>
      </c>
      <c r="D105" s="366">
        <f t="shared" ref="D105:G105" si="159">+D106+D159</f>
        <v>2315055576</v>
      </c>
      <c r="E105" s="366">
        <f t="shared" si="159"/>
        <v>1073512986</v>
      </c>
      <c r="F105" s="366">
        <f t="shared" si="159"/>
        <v>1405015764</v>
      </c>
      <c r="G105" s="366">
        <f t="shared" si="159"/>
        <v>10850395779</v>
      </c>
      <c r="H105" s="366">
        <f t="shared" ref="H105:V105" si="160">+H106+H159</f>
        <v>9313107284.0200005</v>
      </c>
      <c r="I105" s="366">
        <f t="shared" si="160"/>
        <v>776670687.39142847</v>
      </c>
      <c r="J105" s="366">
        <f t="shared" si="160"/>
        <v>2009386189.3914287</v>
      </c>
      <c r="K105" s="366">
        <f t="shared" si="160"/>
        <v>912395131.89142847</v>
      </c>
      <c r="L105" s="366">
        <f t="shared" si="160"/>
        <v>703377683.89142859</v>
      </c>
      <c r="M105" s="366">
        <f t="shared" si="160"/>
        <v>900870687.39142847</v>
      </c>
      <c r="N105" s="366">
        <f t="shared" si="160"/>
        <v>654170687.39142859</v>
      </c>
      <c r="O105" s="366">
        <f t="shared" si="160"/>
        <v>744170687.39142847</v>
      </c>
      <c r="P105" s="366">
        <f t="shared" si="160"/>
        <v>824988867.11999989</v>
      </c>
      <c r="Q105" s="366">
        <f t="shared" si="160"/>
        <v>774866853.11999989</v>
      </c>
      <c r="R105" s="366">
        <f t="shared" si="160"/>
        <v>767940812.61999989</v>
      </c>
      <c r="S105" s="366">
        <f t="shared" si="160"/>
        <v>773083708.61999989</v>
      </c>
      <c r="T105" s="366">
        <f t="shared" si="160"/>
        <v>749063282.78000009</v>
      </c>
      <c r="U105" s="417">
        <f t="shared" si="119"/>
        <v>9068838287.5999985</v>
      </c>
      <c r="V105" s="366">
        <f t="shared" si="160"/>
        <v>10850395779.01</v>
      </c>
      <c r="W105" s="396">
        <f t="shared" si="104"/>
        <v>10850395779</v>
      </c>
      <c r="X105" s="396">
        <f t="shared" si="105"/>
        <v>-1.0000228881835938E-2</v>
      </c>
      <c r="Y105" s="396"/>
      <c r="Z105" s="55"/>
      <c r="AA105" s="207">
        <f>+AA106+AA159</f>
        <v>447910801.54000002</v>
      </c>
      <c r="AB105" s="207">
        <f t="shared" ref="AB105:AI105" si="161">+AB106+AB159</f>
        <v>307911657.48000002</v>
      </c>
      <c r="AC105" s="207">
        <f t="shared" si="161"/>
        <v>691808301.3499999</v>
      </c>
      <c r="AD105" s="207">
        <f t="shared" si="161"/>
        <v>375905335.15999997</v>
      </c>
      <c r="AE105" s="207">
        <f t="shared" si="161"/>
        <v>377245410.05999994</v>
      </c>
      <c r="AF105" s="207">
        <f t="shared" si="161"/>
        <v>1090657525.6300001</v>
      </c>
      <c r="AG105" s="207">
        <f t="shared" si="161"/>
        <v>679300855.18999994</v>
      </c>
      <c r="AH105" s="207">
        <f t="shared" si="161"/>
        <v>540731049.98000002</v>
      </c>
      <c r="AI105" s="207">
        <f t="shared" si="161"/>
        <v>455716986.98999995</v>
      </c>
      <c r="AJ105" s="207">
        <v>525174114.5</v>
      </c>
      <c r="AK105" s="207">
        <f t="shared" si="116"/>
        <v>5492362037.8799992</v>
      </c>
      <c r="AL105" s="386"/>
      <c r="AM105" s="406">
        <f t="shared" si="91"/>
        <v>-0.42329379901747111</v>
      </c>
      <c r="AN105" s="406">
        <f t="shared" si="92"/>
        <v>-0.84676332548435829</v>
      </c>
      <c r="AO105" s="406">
        <f t="shared" si="93"/>
        <v>-0.24176677716829112</v>
      </c>
      <c r="AP105" s="406">
        <f t="shared" si="94"/>
        <v>-0.46557113799757166</v>
      </c>
      <c r="AQ105" s="406">
        <f t="shared" si="95"/>
        <v>-0.58124355100024838</v>
      </c>
      <c r="AR105" s="406">
        <f t="shared" si="96"/>
        <v>0.66723692554783631</v>
      </c>
      <c r="AS105" s="406">
        <f t="shared" si="97"/>
        <v>-8.7170636119543177E-2</v>
      </c>
      <c r="AT105" s="406">
        <f t="shared" si="98"/>
        <v>-0.34455957949145605</v>
      </c>
      <c r="AU105" s="406">
        <f t="shared" si="99"/>
        <v>-0.41187704035208578</v>
      </c>
      <c r="AV105" s="406">
        <f t="shared" si="100"/>
        <v>-0.31612683442588185</v>
      </c>
      <c r="AW105" s="406">
        <f t="shared" si="101"/>
        <v>6.1044855513566443</v>
      </c>
    </row>
    <row r="106" spans="1:49" x14ac:dyDescent="0.25">
      <c r="A106" s="337">
        <v>21221</v>
      </c>
      <c r="B106" s="338" t="s">
        <v>44</v>
      </c>
      <c r="C106" s="366">
        <f>+C107+C123+C127+C134</f>
        <v>2086537425</v>
      </c>
      <c r="D106" s="366">
        <f>+D107+D123+D127+D134</f>
        <v>233551881</v>
      </c>
      <c r="E106" s="366">
        <f t="shared" ref="E106:G106" si="162">+E107+E123+E127+E134</f>
        <v>279683585</v>
      </c>
      <c r="F106" s="366">
        <f t="shared" si="162"/>
        <v>150000000</v>
      </c>
      <c r="G106" s="366">
        <f t="shared" si="162"/>
        <v>2190405721</v>
      </c>
      <c r="H106" s="366">
        <f t="shared" ref="H106:V106" si="163">+H107+H123+H127+H134</f>
        <v>2236537425.0100002</v>
      </c>
      <c r="I106" s="366">
        <f t="shared" si="163"/>
        <v>136895550.73476189</v>
      </c>
      <c r="J106" s="366">
        <f t="shared" si="163"/>
        <v>213745550.73476189</v>
      </c>
      <c r="K106" s="366">
        <f t="shared" si="163"/>
        <v>222795550.73476189</v>
      </c>
      <c r="L106" s="366">
        <f t="shared" si="163"/>
        <v>179895550.73476189</v>
      </c>
      <c r="M106" s="366">
        <f t="shared" si="163"/>
        <v>179795550.73476189</v>
      </c>
      <c r="N106" s="366">
        <f t="shared" si="163"/>
        <v>146895550.73476189</v>
      </c>
      <c r="O106" s="366">
        <f t="shared" si="163"/>
        <v>176895550.73476189</v>
      </c>
      <c r="P106" s="366">
        <f t="shared" si="163"/>
        <v>137631567.16333333</v>
      </c>
      <c r="Q106" s="366">
        <f t="shared" si="163"/>
        <v>133681567.16333333</v>
      </c>
      <c r="R106" s="366">
        <f t="shared" si="163"/>
        <v>133165097.16333333</v>
      </c>
      <c r="S106" s="366">
        <f t="shared" si="163"/>
        <v>139310567.16333333</v>
      </c>
      <c r="T106" s="366">
        <f t="shared" si="163"/>
        <v>130287567.20333333</v>
      </c>
      <c r="U106" s="417">
        <f t="shared" si="119"/>
        <v>1661397086.6333337</v>
      </c>
      <c r="V106" s="366">
        <f t="shared" si="163"/>
        <v>2190405721.0100002</v>
      </c>
      <c r="W106" s="396">
        <f t="shared" si="104"/>
        <v>2190405721</v>
      </c>
      <c r="X106" s="396">
        <f t="shared" si="105"/>
        <v>-1.0000228881835938E-2</v>
      </c>
      <c r="Y106" s="396"/>
      <c r="Z106" s="55"/>
      <c r="AA106" s="207">
        <f>+AA107+AA123+AA127+AA134</f>
        <v>113649949</v>
      </c>
      <c r="AB106" s="207">
        <f t="shared" ref="AB106:AI106" si="164">+AB107+AB123+AB127+AB134</f>
        <v>155835539</v>
      </c>
      <c r="AC106" s="207">
        <f t="shared" si="164"/>
        <v>103839768</v>
      </c>
      <c r="AD106" s="207">
        <f t="shared" si="164"/>
        <v>65735009</v>
      </c>
      <c r="AE106" s="207">
        <f t="shared" si="164"/>
        <v>118342820</v>
      </c>
      <c r="AF106" s="207">
        <f t="shared" si="164"/>
        <v>52364366</v>
      </c>
      <c r="AG106" s="207">
        <f t="shared" si="164"/>
        <v>96931819</v>
      </c>
      <c r="AH106" s="207">
        <f t="shared" si="164"/>
        <v>68893264.879999995</v>
      </c>
      <c r="AI106" s="207">
        <f t="shared" si="164"/>
        <v>139175792.13999999</v>
      </c>
      <c r="AJ106" s="207">
        <v>48860875</v>
      </c>
      <c r="AK106" s="207">
        <f t="shared" si="116"/>
        <v>963629202.01999998</v>
      </c>
      <c r="AL106" s="386"/>
      <c r="AM106" s="406">
        <f t="shared" si="91"/>
        <v>-0.16980538527362918</v>
      </c>
      <c r="AN106" s="406">
        <f t="shared" si="92"/>
        <v>-0.27092967098352738</v>
      </c>
      <c r="AO106" s="406">
        <f t="shared" si="93"/>
        <v>-0.53392351123016257</v>
      </c>
      <c r="AP106" s="406">
        <f t="shared" si="94"/>
        <v>-0.6345934697577944</v>
      </c>
      <c r="AQ106" s="406">
        <f t="shared" si="95"/>
        <v>-0.34179227730400419</v>
      </c>
      <c r="AR106" s="406">
        <f t="shared" si="96"/>
        <v>-0.64352653475155042</v>
      </c>
      <c r="AS106" s="406">
        <f t="shared" si="97"/>
        <v>-0.4520392480343382</v>
      </c>
      <c r="AT106" s="406">
        <f t="shared" si="98"/>
        <v>-0.49943703831954933</v>
      </c>
      <c r="AU106" s="406">
        <f t="shared" si="99"/>
        <v>4.1099345955106635E-2</v>
      </c>
      <c r="AV106" s="406">
        <f t="shared" si="100"/>
        <v>-0.63308046897551684</v>
      </c>
      <c r="AW106" s="406">
        <f t="shared" si="101"/>
        <v>5.9171292719683084</v>
      </c>
    </row>
    <row r="107" spans="1:49" ht="30" x14ac:dyDescent="0.25">
      <c r="A107" s="337">
        <v>212210</v>
      </c>
      <c r="B107" s="338" t="s">
        <v>45</v>
      </c>
      <c r="C107" s="366">
        <f>+C108</f>
        <v>285400000</v>
      </c>
      <c r="D107" s="366">
        <f t="shared" ref="D107:G107" si="165">+D108</f>
        <v>0</v>
      </c>
      <c r="E107" s="366">
        <f t="shared" si="165"/>
        <v>239625115</v>
      </c>
      <c r="F107" s="366">
        <f t="shared" si="165"/>
        <v>10000000</v>
      </c>
      <c r="G107" s="366">
        <f t="shared" si="165"/>
        <v>55774885</v>
      </c>
      <c r="H107" s="366">
        <f t="shared" ref="H107:V107" si="166">+H108</f>
        <v>295400000</v>
      </c>
      <c r="I107" s="366">
        <f t="shared" si="166"/>
        <v>5813983.5714285718</v>
      </c>
      <c r="J107" s="366">
        <f t="shared" si="166"/>
        <v>5713983.5714285718</v>
      </c>
      <c r="K107" s="366">
        <f t="shared" si="166"/>
        <v>5713983.5714285718</v>
      </c>
      <c r="L107" s="366">
        <f t="shared" si="166"/>
        <v>9813983.5714285709</v>
      </c>
      <c r="M107" s="366">
        <f t="shared" si="166"/>
        <v>10813983.571428571</v>
      </c>
      <c r="N107" s="366">
        <f t="shared" si="166"/>
        <v>5813983.5714285718</v>
      </c>
      <c r="O107" s="366">
        <f t="shared" si="166"/>
        <v>5813983.5714285718</v>
      </c>
      <c r="P107" s="366">
        <f t="shared" si="166"/>
        <v>100000</v>
      </c>
      <c r="Q107" s="366">
        <f t="shared" si="166"/>
        <v>100000</v>
      </c>
      <c r="R107" s="366">
        <f t="shared" si="166"/>
        <v>100000</v>
      </c>
      <c r="S107" s="366">
        <f t="shared" si="166"/>
        <v>3600000</v>
      </c>
      <c r="T107" s="366">
        <f t="shared" si="166"/>
        <v>2377000</v>
      </c>
      <c r="U107" s="417">
        <f t="shared" si="119"/>
        <v>49797885.000000007</v>
      </c>
      <c r="V107" s="366">
        <f t="shared" si="166"/>
        <v>55774885.000000007</v>
      </c>
      <c r="W107" s="396">
        <f t="shared" si="104"/>
        <v>55774885</v>
      </c>
      <c r="X107" s="396">
        <f t="shared" si="105"/>
        <v>0</v>
      </c>
      <c r="Y107" s="396"/>
      <c r="Z107" s="55"/>
      <c r="AA107" s="206">
        <f>+AA108</f>
        <v>0</v>
      </c>
      <c r="AB107" s="206">
        <f t="shared" ref="AB107:AG107" si="167">+AB108</f>
        <v>32575586</v>
      </c>
      <c r="AC107" s="206">
        <f t="shared" si="167"/>
        <v>7422299</v>
      </c>
      <c r="AD107" s="206">
        <f t="shared" si="167"/>
        <v>0</v>
      </c>
      <c r="AE107" s="206">
        <f t="shared" si="167"/>
        <v>0</v>
      </c>
      <c r="AF107" s="206">
        <f t="shared" si="167"/>
        <v>0</v>
      </c>
      <c r="AG107" s="206">
        <f t="shared" si="167"/>
        <v>0</v>
      </c>
      <c r="AH107" s="366">
        <v>0</v>
      </c>
      <c r="AI107" s="366">
        <v>5777000</v>
      </c>
      <c r="AJ107" s="366">
        <v>0</v>
      </c>
      <c r="AK107" s="206">
        <f t="shared" si="116"/>
        <v>45774885</v>
      </c>
      <c r="AL107" s="386"/>
      <c r="AM107" s="408">
        <f t="shared" si="91"/>
        <v>-1</v>
      </c>
      <c r="AN107" s="408">
        <f t="shared" si="92"/>
        <v>4.7010289919079469</v>
      </c>
      <c r="AO107" s="408">
        <f t="shared" si="93"/>
        <v>0.29897100809205279</v>
      </c>
      <c r="AP107" s="408">
        <f t="shared" si="94"/>
        <v>-1</v>
      </c>
      <c r="AQ107" s="408">
        <f t="shared" si="95"/>
        <v>-1</v>
      </c>
      <c r="AR107" s="408">
        <f t="shared" si="96"/>
        <v>-1</v>
      </c>
      <c r="AS107" s="408">
        <f t="shared" si="97"/>
        <v>-1</v>
      </c>
      <c r="AT107" s="408">
        <f t="shared" si="98"/>
        <v>-1</v>
      </c>
      <c r="AU107" s="408">
        <f t="shared" si="99"/>
        <v>56.77</v>
      </c>
      <c r="AV107" s="408">
        <f t="shared" si="100"/>
        <v>-1</v>
      </c>
      <c r="AW107" s="408">
        <f t="shared" si="101"/>
        <v>11.715245833333332</v>
      </c>
    </row>
    <row r="108" spans="1:49" s="70" customFormat="1" ht="30" x14ac:dyDescent="0.25">
      <c r="A108" s="339">
        <v>2122101</v>
      </c>
      <c r="B108" s="340" t="s">
        <v>46</v>
      </c>
      <c r="C108" s="367">
        <f>SUM(C109:C114)</f>
        <v>285400000</v>
      </c>
      <c r="D108" s="367">
        <f t="shared" ref="D108:G108" si="168">SUM(D109:D114)</f>
        <v>0</v>
      </c>
      <c r="E108" s="367">
        <f t="shared" si="168"/>
        <v>239625115</v>
      </c>
      <c r="F108" s="367">
        <f t="shared" si="168"/>
        <v>10000000</v>
      </c>
      <c r="G108" s="367">
        <f t="shared" si="168"/>
        <v>55774885</v>
      </c>
      <c r="H108" s="367">
        <f t="shared" ref="H108:V108" si="169">SUM(H109:H114)</f>
        <v>295400000</v>
      </c>
      <c r="I108" s="367">
        <f t="shared" si="169"/>
        <v>5813983.5714285718</v>
      </c>
      <c r="J108" s="367">
        <f t="shared" si="169"/>
        <v>5713983.5714285718</v>
      </c>
      <c r="K108" s="367">
        <f t="shared" si="169"/>
        <v>5713983.5714285718</v>
      </c>
      <c r="L108" s="367">
        <f t="shared" si="169"/>
        <v>9813983.5714285709</v>
      </c>
      <c r="M108" s="367">
        <f t="shared" si="169"/>
        <v>10813983.571428571</v>
      </c>
      <c r="N108" s="367">
        <f t="shared" si="169"/>
        <v>5813983.5714285718</v>
      </c>
      <c r="O108" s="367">
        <f t="shared" si="169"/>
        <v>5813983.5714285718</v>
      </c>
      <c r="P108" s="367">
        <f t="shared" si="169"/>
        <v>100000</v>
      </c>
      <c r="Q108" s="367">
        <f t="shared" si="169"/>
        <v>100000</v>
      </c>
      <c r="R108" s="367">
        <f t="shared" si="169"/>
        <v>100000</v>
      </c>
      <c r="S108" s="367">
        <f t="shared" si="169"/>
        <v>3600000</v>
      </c>
      <c r="T108" s="367">
        <f t="shared" si="169"/>
        <v>2377000</v>
      </c>
      <c r="U108" s="418">
        <f t="shared" si="119"/>
        <v>49797885.000000007</v>
      </c>
      <c r="V108" s="367">
        <f t="shared" si="169"/>
        <v>55774885.000000007</v>
      </c>
      <c r="W108" s="396">
        <f t="shared" si="104"/>
        <v>55774885</v>
      </c>
      <c r="X108" s="396">
        <f t="shared" si="105"/>
        <v>0</v>
      </c>
      <c r="Y108" s="396"/>
      <c r="Z108" s="53"/>
      <c r="AA108" s="208">
        <f>SUM(AA109:AA114)</f>
        <v>0</v>
      </c>
      <c r="AB108" s="208">
        <f t="shared" ref="AB108:AG108" si="170">SUM(AB109:AB114)</f>
        <v>32575586</v>
      </c>
      <c r="AC108" s="208">
        <f t="shared" si="170"/>
        <v>7422299</v>
      </c>
      <c r="AD108" s="208">
        <f t="shared" si="170"/>
        <v>0</v>
      </c>
      <c r="AE108" s="208">
        <f t="shared" si="170"/>
        <v>0</v>
      </c>
      <c r="AF108" s="208">
        <f t="shared" si="170"/>
        <v>0</v>
      </c>
      <c r="AG108" s="208">
        <f t="shared" si="170"/>
        <v>0</v>
      </c>
      <c r="AH108" s="367">
        <v>0</v>
      </c>
      <c r="AI108" s="367">
        <v>5777000</v>
      </c>
      <c r="AJ108" s="367">
        <v>0</v>
      </c>
      <c r="AK108" s="208">
        <f t="shared" si="116"/>
        <v>45774885</v>
      </c>
      <c r="AL108" s="387"/>
      <c r="AM108" s="409">
        <f t="shared" si="91"/>
        <v>-1</v>
      </c>
      <c r="AN108" s="409">
        <f t="shared" si="92"/>
        <v>4.7010289919079469</v>
      </c>
      <c r="AO108" s="409">
        <f t="shared" si="93"/>
        <v>0.29897100809205279</v>
      </c>
      <c r="AP108" s="409">
        <f t="shared" si="94"/>
        <v>-1</v>
      </c>
      <c r="AQ108" s="409">
        <f t="shared" si="95"/>
        <v>-1</v>
      </c>
      <c r="AR108" s="409">
        <f t="shared" si="96"/>
        <v>-1</v>
      </c>
      <c r="AS108" s="409">
        <f t="shared" si="97"/>
        <v>-1</v>
      </c>
      <c r="AT108" s="409">
        <f t="shared" si="98"/>
        <v>-1</v>
      </c>
      <c r="AU108" s="409">
        <f t="shared" si="99"/>
        <v>56.77</v>
      </c>
      <c r="AV108" s="409">
        <f t="shared" si="100"/>
        <v>-1</v>
      </c>
      <c r="AW108" s="409">
        <f t="shared" si="101"/>
        <v>11.715245833333332</v>
      </c>
    </row>
    <row r="109" spans="1:49" x14ac:dyDescent="0.25">
      <c r="A109" s="341">
        <v>21221011</v>
      </c>
      <c r="B109" s="342" t="s">
        <v>554</v>
      </c>
      <c r="C109" s="368">
        <v>130000000</v>
      </c>
      <c r="D109" s="368">
        <v>0</v>
      </c>
      <c r="E109" s="368">
        <f>60000000+30002115</f>
        <v>90002115</v>
      </c>
      <c r="F109" s="368">
        <v>0</v>
      </c>
      <c r="G109" s="368">
        <f t="shared" ref="G109:G113" si="171">+C109+D109-E109+F109</f>
        <v>39997885</v>
      </c>
      <c r="H109" s="58">
        <v>130000000</v>
      </c>
      <c r="I109" s="210">
        <v>5713983.5714285718</v>
      </c>
      <c r="J109" s="210">
        <v>5713983.5714285718</v>
      </c>
      <c r="K109" s="210">
        <v>5713983.5714285718</v>
      </c>
      <c r="L109" s="210">
        <v>5713983.5714285718</v>
      </c>
      <c r="M109" s="210">
        <v>5713983.5714285718</v>
      </c>
      <c r="N109" s="210">
        <v>5713983.5714285718</v>
      </c>
      <c r="O109" s="210">
        <v>5713983.5714285718</v>
      </c>
      <c r="P109" s="210"/>
      <c r="Q109" s="210"/>
      <c r="R109" s="210"/>
      <c r="S109" s="210"/>
      <c r="T109" s="210">
        <v>0</v>
      </c>
      <c r="U109" s="412">
        <f t="shared" si="119"/>
        <v>39997885.000000007</v>
      </c>
      <c r="V109" s="58">
        <f t="shared" si="132"/>
        <v>39997885.000000007</v>
      </c>
      <c r="W109" s="396">
        <f t="shared" si="104"/>
        <v>39997885</v>
      </c>
      <c r="X109" s="396">
        <f t="shared" si="105"/>
        <v>0</v>
      </c>
      <c r="Y109" s="396">
        <f>+W109/7</f>
        <v>5713983.5714285718</v>
      </c>
      <c r="AA109" s="210">
        <v>0</v>
      </c>
      <c r="AB109" s="210">
        <v>32575586</v>
      </c>
      <c r="AC109" s="210">
        <v>7422299</v>
      </c>
      <c r="AD109" s="210">
        <v>0</v>
      </c>
      <c r="AE109" s="210">
        <v>0</v>
      </c>
      <c r="AF109" s="210">
        <v>0</v>
      </c>
      <c r="AG109" s="210">
        <v>0</v>
      </c>
      <c r="AH109" s="368">
        <v>0</v>
      </c>
      <c r="AI109" s="368">
        <v>0</v>
      </c>
      <c r="AJ109" s="368">
        <v>0</v>
      </c>
      <c r="AK109" s="210">
        <f t="shared" si="116"/>
        <v>39997885</v>
      </c>
      <c r="AL109" s="387"/>
      <c r="AM109" s="404">
        <f t="shared" si="91"/>
        <v>-1</v>
      </c>
      <c r="AN109" s="404">
        <f t="shared" si="92"/>
        <v>4.7010289919079469</v>
      </c>
      <c r="AO109" s="404">
        <f t="shared" si="93"/>
        <v>0.29897100809205279</v>
      </c>
      <c r="AP109" s="404">
        <f t="shared" si="94"/>
        <v>-1</v>
      </c>
      <c r="AQ109" s="404">
        <f t="shared" si="95"/>
        <v>-1</v>
      </c>
      <c r="AR109" s="404">
        <f t="shared" si="96"/>
        <v>-1</v>
      </c>
      <c r="AS109" s="404">
        <f t="shared" si="97"/>
        <v>-1</v>
      </c>
      <c r="AT109" s="404" t="e">
        <f t="shared" si="98"/>
        <v>#DIV/0!</v>
      </c>
      <c r="AU109" s="404" t="e">
        <f t="shared" si="99"/>
        <v>#DIV/0!</v>
      </c>
      <c r="AV109" s="404" t="e">
        <f t="shared" si="100"/>
        <v>#DIV/0!</v>
      </c>
      <c r="AW109" s="404" t="e">
        <f t="shared" si="101"/>
        <v>#DIV/0!</v>
      </c>
    </row>
    <row r="110" spans="1:49" x14ac:dyDescent="0.25">
      <c r="A110" s="341">
        <v>21221012</v>
      </c>
      <c r="B110" s="342" t="s">
        <v>555</v>
      </c>
      <c r="C110" s="368">
        <v>200000</v>
      </c>
      <c r="D110" s="368">
        <v>0</v>
      </c>
      <c r="E110" s="368">
        <v>200000</v>
      </c>
      <c r="F110" s="368">
        <v>0</v>
      </c>
      <c r="G110" s="368">
        <f t="shared" si="171"/>
        <v>0</v>
      </c>
      <c r="H110" s="58">
        <v>200000</v>
      </c>
      <c r="I110" s="210"/>
      <c r="J110" s="210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412">
        <f t="shared" si="119"/>
        <v>0</v>
      </c>
      <c r="V110" s="58">
        <f t="shared" si="132"/>
        <v>0</v>
      </c>
      <c r="W110" s="396">
        <f t="shared" si="104"/>
        <v>0</v>
      </c>
      <c r="X110" s="396">
        <f t="shared" si="105"/>
        <v>0</v>
      </c>
      <c r="Y110" s="396"/>
      <c r="AA110" s="210">
        <v>0</v>
      </c>
      <c r="AB110" s="210">
        <v>0</v>
      </c>
      <c r="AC110" s="210">
        <v>0</v>
      </c>
      <c r="AD110" s="210">
        <v>0</v>
      </c>
      <c r="AE110" s="210">
        <v>0</v>
      </c>
      <c r="AF110" s="210">
        <v>0</v>
      </c>
      <c r="AG110" s="210">
        <v>0</v>
      </c>
      <c r="AH110" s="368">
        <v>0</v>
      </c>
      <c r="AI110" s="368">
        <v>0</v>
      </c>
      <c r="AJ110" s="368">
        <v>0</v>
      </c>
      <c r="AK110" s="210">
        <f t="shared" si="116"/>
        <v>0</v>
      </c>
      <c r="AL110" s="387"/>
      <c r="AM110" s="404" t="e">
        <f t="shared" si="91"/>
        <v>#DIV/0!</v>
      </c>
      <c r="AN110" s="404" t="e">
        <f t="shared" si="92"/>
        <v>#DIV/0!</v>
      </c>
      <c r="AO110" s="404" t="e">
        <f t="shared" si="93"/>
        <v>#DIV/0!</v>
      </c>
      <c r="AP110" s="404" t="e">
        <f t="shared" si="94"/>
        <v>#DIV/0!</v>
      </c>
      <c r="AQ110" s="404" t="e">
        <f t="shared" si="95"/>
        <v>#DIV/0!</v>
      </c>
      <c r="AR110" s="404" t="e">
        <f t="shared" si="96"/>
        <v>#DIV/0!</v>
      </c>
      <c r="AS110" s="404" t="e">
        <f t="shared" si="97"/>
        <v>#DIV/0!</v>
      </c>
      <c r="AT110" s="404" t="e">
        <f t="shared" si="98"/>
        <v>#DIV/0!</v>
      </c>
      <c r="AU110" s="404" t="e">
        <f t="shared" si="99"/>
        <v>#DIV/0!</v>
      </c>
      <c r="AV110" s="404" t="e">
        <f t="shared" si="100"/>
        <v>#DIV/0!</v>
      </c>
      <c r="AW110" s="404" t="e">
        <f t="shared" si="101"/>
        <v>#DIV/0!</v>
      </c>
    </row>
    <row r="111" spans="1:49" x14ac:dyDescent="0.25">
      <c r="A111" s="341">
        <v>21221013</v>
      </c>
      <c r="B111" s="342" t="s">
        <v>556</v>
      </c>
      <c r="C111" s="368">
        <v>200000</v>
      </c>
      <c r="D111" s="368">
        <v>0</v>
      </c>
      <c r="E111" s="368">
        <v>200000</v>
      </c>
      <c r="F111" s="368">
        <v>0</v>
      </c>
      <c r="G111" s="368">
        <f t="shared" si="171"/>
        <v>0</v>
      </c>
      <c r="H111" s="58">
        <v>200000</v>
      </c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412">
        <f t="shared" si="119"/>
        <v>0</v>
      </c>
      <c r="V111" s="58">
        <f t="shared" si="132"/>
        <v>0</v>
      </c>
      <c r="W111" s="396">
        <f t="shared" si="104"/>
        <v>0</v>
      </c>
      <c r="X111" s="396">
        <f t="shared" si="105"/>
        <v>0</v>
      </c>
      <c r="Y111" s="396"/>
      <c r="AA111" s="210">
        <v>0</v>
      </c>
      <c r="AB111" s="210">
        <v>0</v>
      </c>
      <c r="AC111" s="210">
        <v>0</v>
      </c>
      <c r="AD111" s="210">
        <v>0</v>
      </c>
      <c r="AE111" s="210">
        <v>0</v>
      </c>
      <c r="AF111" s="210">
        <v>0</v>
      </c>
      <c r="AG111" s="210">
        <v>0</v>
      </c>
      <c r="AH111" s="368">
        <v>0</v>
      </c>
      <c r="AI111" s="368">
        <v>0</v>
      </c>
      <c r="AJ111" s="368">
        <v>0</v>
      </c>
      <c r="AK111" s="210">
        <f t="shared" si="116"/>
        <v>0</v>
      </c>
      <c r="AL111" s="387"/>
      <c r="AM111" s="404" t="e">
        <f t="shared" si="91"/>
        <v>#DIV/0!</v>
      </c>
      <c r="AN111" s="404" t="e">
        <f t="shared" si="92"/>
        <v>#DIV/0!</v>
      </c>
      <c r="AO111" s="404" t="e">
        <f t="shared" si="93"/>
        <v>#DIV/0!</v>
      </c>
      <c r="AP111" s="404" t="e">
        <f t="shared" si="94"/>
        <v>#DIV/0!</v>
      </c>
      <c r="AQ111" s="404" t="e">
        <f t="shared" si="95"/>
        <v>#DIV/0!</v>
      </c>
      <c r="AR111" s="404" t="e">
        <f t="shared" si="96"/>
        <v>#DIV/0!</v>
      </c>
      <c r="AS111" s="404" t="e">
        <f t="shared" si="97"/>
        <v>#DIV/0!</v>
      </c>
      <c r="AT111" s="404" t="e">
        <f t="shared" si="98"/>
        <v>#DIV/0!</v>
      </c>
      <c r="AU111" s="404" t="e">
        <f t="shared" si="99"/>
        <v>#DIV/0!</v>
      </c>
      <c r="AV111" s="404" t="e">
        <f t="shared" si="100"/>
        <v>#DIV/0!</v>
      </c>
      <c r="AW111" s="404" t="e">
        <f t="shared" si="101"/>
        <v>#DIV/0!</v>
      </c>
    </row>
    <row r="112" spans="1:49" x14ac:dyDescent="0.25">
      <c r="A112" s="341">
        <v>21221014</v>
      </c>
      <c r="B112" s="342" t="s">
        <v>50</v>
      </c>
      <c r="C112" s="368">
        <v>7000000</v>
      </c>
      <c r="D112" s="368">
        <v>0</v>
      </c>
      <c r="E112" s="368">
        <v>1223000</v>
      </c>
      <c r="F112" s="368">
        <v>0</v>
      </c>
      <c r="G112" s="368">
        <f t="shared" si="171"/>
        <v>5777000</v>
      </c>
      <c r="H112" s="58">
        <v>7000000</v>
      </c>
      <c r="I112" s="210">
        <v>0</v>
      </c>
      <c r="J112" s="210">
        <v>0</v>
      </c>
      <c r="K112" s="210">
        <v>0</v>
      </c>
      <c r="L112" s="210">
        <v>0</v>
      </c>
      <c r="M112" s="210">
        <v>0</v>
      </c>
      <c r="N112" s="210">
        <v>0</v>
      </c>
      <c r="O112" s="210">
        <v>0</v>
      </c>
      <c r="P112" s="210">
        <v>0</v>
      </c>
      <c r="Q112" s="210">
        <v>0</v>
      </c>
      <c r="R112" s="210">
        <v>0</v>
      </c>
      <c r="S112" s="210">
        <v>3500000</v>
      </c>
      <c r="T112" s="210">
        <f>3500000-1223000</f>
        <v>2277000</v>
      </c>
      <c r="U112" s="412">
        <f t="shared" si="119"/>
        <v>0</v>
      </c>
      <c r="V112" s="58">
        <f t="shared" si="132"/>
        <v>5777000</v>
      </c>
      <c r="W112" s="396">
        <f t="shared" si="104"/>
        <v>5777000</v>
      </c>
      <c r="X112" s="396">
        <f t="shared" si="105"/>
        <v>0</v>
      </c>
      <c r="Y112" s="396"/>
      <c r="AA112" s="210">
        <v>0</v>
      </c>
      <c r="AB112" s="210">
        <v>0</v>
      </c>
      <c r="AC112" s="210">
        <v>0</v>
      </c>
      <c r="AD112" s="210">
        <v>0</v>
      </c>
      <c r="AE112" s="210">
        <v>0</v>
      </c>
      <c r="AF112" s="210">
        <v>0</v>
      </c>
      <c r="AG112" s="210">
        <v>0</v>
      </c>
      <c r="AH112" s="368">
        <v>0</v>
      </c>
      <c r="AI112" s="368">
        <v>5777000</v>
      </c>
      <c r="AJ112" s="368">
        <v>0</v>
      </c>
      <c r="AK112" s="210">
        <f t="shared" si="116"/>
        <v>5777000</v>
      </c>
      <c r="AL112" s="387"/>
      <c r="AM112" s="404" t="e">
        <f t="shared" si="91"/>
        <v>#DIV/0!</v>
      </c>
      <c r="AN112" s="404" t="e">
        <f t="shared" si="92"/>
        <v>#DIV/0!</v>
      </c>
      <c r="AO112" s="404" t="e">
        <f t="shared" si="93"/>
        <v>#DIV/0!</v>
      </c>
      <c r="AP112" s="404" t="e">
        <f t="shared" si="94"/>
        <v>#DIV/0!</v>
      </c>
      <c r="AQ112" s="404" t="e">
        <f t="shared" si="95"/>
        <v>#DIV/0!</v>
      </c>
      <c r="AR112" s="404" t="e">
        <f t="shared" si="96"/>
        <v>#DIV/0!</v>
      </c>
      <c r="AS112" s="404" t="e">
        <f t="shared" si="97"/>
        <v>#DIV/0!</v>
      </c>
      <c r="AT112" s="404" t="e">
        <f t="shared" si="98"/>
        <v>#DIV/0!</v>
      </c>
      <c r="AU112" s="404" t="e">
        <f t="shared" si="99"/>
        <v>#DIV/0!</v>
      </c>
      <c r="AV112" s="404" t="e">
        <f t="shared" si="100"/>
        <v>#DIV/0!</v>
      </c>
      <c r="AW112" s="404">
        <f t="shared" si="101"/>
        <v>0.65057142857142858</v>
      </c>
    </row>
    <row r="113" spans="1:49" ht="30" x14ac:dyDescent="0.25">
      <c r="A113" s="341">
        <v>21221015</v>
      </c>
      <c r="B113" s="342" t="s">
        <v>637</v>
      </c>
      <c r="C113" s="368">
        <v>1200000</v>
      </c>
      <c r="D113" s="368">
        <v>0</v>
      </c>
      <c r="E113" s="368">
        <v>1200000</v>
      </c>
      <c r="F113" s="368">
        <v>10000000</v>
      </c>
      <c r="G113" s="368">
        <f t="shared" si="171"/>
        <v>10000000</v>
      </c>
      <c r="H113" s="58">
        <v>11200000</v>
      </c>
      <c r="I113" s="210">
        <v>100000</v>
      </c>
      <c r="J113" s="210"/>
      <c r="K113" s="210"/>
      <c r="L113" s="210">
        <v>4100000</v>
      </c>
      <c r="M113" s="210">
        <v>5100000</v>
      </c>
      <c r="N113" s="210">
        <v>100000</v>
      </c>
      <c r="O113" s="210">
        <v>100000</v>
      </c>
      <c r="P113" s="210">
        <v>100000</v>
      </c>
      <c r="Q113" s="210">
        <v>100000</v>
      </c>
      <c r="R113" s="210">
        <v>100000</v>
      </c>
      <c r="S113" s="210">
        <v>100000</v>
      </c>
      <c r="T113" s="210">
        <v>100000</v>
      </c>
      <c r="U113" s="412">
        <f t="shared" si="119"/>
        <v>9800000</v>
      </c>
      <c r="V113" s="58">
        <f t="shared" si="132"/>
        <v>10000000</v>
      </c>
      <c r="W113" s="396">
        <f t="shared" si="104"/>
        <v>10000000</v>
      </c>
      <c r="X113" s="396">
        <f t="shared" si="105"/>
        <v>0</v>
      </c>
      <c r="Y113" s="396"/>
      <c r="Z113" s="55"/>
      <c r="AA113" s="210">
        <v>0</v>
      </c>
      <c r="AB113" s="210">
        <v>0</v>
      </c>
      <c r="AC113" s="210">
        <v>0</v>
      </c>
      <c r="AD113" s="210">
        <v>0</v>
      </c>
      <c r="AE113" s="210">
        <v>0</v>
      </c>
      <c r="AF113" s="210">
        <v>0</v>
      </c>
      <c r="AG113" s="210">
        <v>0</v>
      </c>
      <c r="AH113" s="368">
        <v>0</v>
      </c>
      <c r="AI113" s="368">
        <v>0</v>
      </c>
      <c r="AJ113" s="368">
        <v>0</v>
      </c>
      <c r="AK113" s="210">
        <f t="shared" si="116"/>
        <v>0</v>
      </c>
      <c r="AL113" s="386"/>
      <c r="AM113" s="404">
        <f t="shared" si="91"/>
        <v>-1</v>
      </c>
      <c r="AN113" s="404" t="e">
        <f t="shared" si="92"/>
        <v>#DIV/0!</v>
      </c>
      <c r="AO113" s="404" t="e">
        <f t="shared" si="93"/>
        <v>#DIV/0!</v>
      </c>
      <c r="AP113" s="404">
        <f t="shared" si="94"/>
        <v>-1</v>
      </c>
      <c r="AQ113" s="404">
        <f t="shared" si="95"/>
        <v>-1</v>
      </c>
      <c r="AR113" s="404">
        <f t="shared" si="96"/>
        <v>-1</v>
      </c>
      <c r="AS113" s="404">
        <f t="shared" si="97"/>
        <v>-1</v>
      </c>
      <c r="AT113" s="404">
        <f t="shared" si="98"/>
        <v>-1</v>
      </c>
      <c r="AU113" s="404">
        <f t="shared" si="99"/>
        <v>-1</v>
      </c>
      <c r="AV113" s="404">
        <f t="shared" si="100"/>
        <v>-1</v>
      </c>
      <c r="AW113" s="404">
        <f t="shared" si="101"/>
        <v>-1</v>
      </c>
    </row>
    <row r="114" spans="1:49" ht="30" x14ac:dyDescent="0.25">
      <c r="A114" s="339">
        <v>21221016</v>
      </c>
      <c r="B114" s="340" t="s">
        <v>52</v>
      </c>
      <c r="C114" s="367">
        <f>SUM(C115:C122)</f>
        <v>146800000</v>
      </c>
      <c r="D114" s="367">
        <f t="shared" ref="D114:G114" si="172">SUM(D115:D122)</f>
        <v>0</v>
      </c>
      <c r="E114" s="367">
        <f t="shared" si="172"/>
        <v>146800000</v>
      </c>
      <c r="F114" s="367">
        <f t="shared" si="172"/>
        <v>0</v>
      </c>
      <c r="G114" s="367">
        <f t="shared" si="172"/>
        <v>0</v>
      </c>
      <c r="H114" s="57">
        <f>SUM(H115:H122)</f>
        <v>146800000</v>
      </c>
      <c r="I114" s="208">
        <f t="shared" ref="I114:V114" si="173">SUM(I115:I122)</f>
        <v>0</v>
      </c>
      <c r="J114" s="208">
        <f t="shared" si="173"/>
        <v>0</v>
      </c>
      <c r="K114" s="208">
        <f t="shared" si="173"/>
        <v>0</v>
      </c>
      <c r="L114" s="208">
        <f t="shared" si="173"/>
        <v>0</v>
      </c>
      <c r="M114" s="208">
        <f t="shared" si="173"/>
        <v>0</v>
      </c>
      <c r="N114" s="208">
        <f t="shared" si="173"/>
        <v>0</v>
      </c>
      <c r="O114" s="208">
        <f t="shared" si="173"/>
        <v>0</v>
      </c>
      <c r="P114" s="208">
        <f t="shared" si="173"/>
        <v>0</v>
      </c>
      <c r="Q114" s="208">
        <f t="shared" si="173"/>
        <v>0</v>
      </c>
      <c r="R114" s="208">
        <f t="shared" si="173"/>
        <v>0</v>
      </c>
      <c r="S114" s="208">
        <f t="shared" si="173"/>
        <v>0</v>
      </c>
      <c r="T114" s="208">
        <f t="shared" si="173"/>
        <v>0</v>
      </c>
      <c r="U114" s="413">
        <f t="shared" si="119"/>
        <v>0</v>
      </c>
      <c r="V114" s="57">
        <f t="shared" si="173"/>
        <v>0</v>
      </c>
      <c r="W114" s="396">
        <f t="shared" si="104"/>
        <v>0</v>
      </c>
      <c r="X114" s="396">
        <f t="shared" si="105"/>
        <v>0</v>
      </c>
      <c r="Y114" s="396"/>
      <c r="AA114" s="208">
        <v>0</v>
      </c>
      <c r="AB114" s="209">
        <v>0</v>
      </c>
      <c r="AC114" s="209">
        <v>0</v>
      </c>
      <c r="AD114" s="209">
        <v>0</v>
      </c>
      <c r="AE114" s="209">
        <v>0</v>
      </c>
      <c r="AF114" s="209">
        <v>0</v>
      </c>
      <c r="AG114" s="209">
        <v>0</v>
      </c>
      <c r="AH114" s="367">
        <v>0</v>
      </c>
      <c r="AI114" s="367">
        <v>0</v>
      </c>
      <c r="AJ114" s="367">
        <v>0</v>
      </c>
      <c r="AK114" s="209">
        <f t="shared" si="116"/>
        <v>0</v>
      </c>
      <c r="AL114" s="387"/>
      <c r="AM114" s="405" t="e">
        <f t="shared" si="91"/>
        <v>#DIV/0!</v>
      </c>
      <c r="AN114" s="405" t="e">
        <f t="shared" si="92"/>
        <v>#DIV/0!</v>
      </c>
      <c r="AO114" s="405" t="e">
        <f t="shared" si="93"/>
        <v>#DIV/0!</v>
      </c>
      <c r="AP114" s="405" t="e">
        <f t="shared" si="94"/>
        <v>#DIV/0!</v>
      </c>
      <c r="AQ114" s="405" t="e">
        <f t="shared" si="95"/>
        <v>#DIV/0!</v>
      </c>
      <c r="AR114" s="405" t="e">
        <f t="shared" si="96"/>
        <v>#DIV/0!</v>
      </c>
      <c r="AS114" s="405" t="e">
        <f t="shared" si="97"/>
        <v>#DIV/0!</v>
      </c>
      <c r="AT114" s="405" t="e">
        <f t="shared" si="98"/>
        <v>#DIV/0!</v>
      </c>
      <c r="AU114" s="405" t="e">
        <f t="shared" si="99"/>
        <v>#DIV/0!</v>
      </c>
      <c r="AV114" s="405" t="e">
        <f t="shared" si="100"/>
        <v>#DIV/0!</v>
      </c>
      <c r="AW114" s="405" t="e">
        <f t="shared" si="101"/>
        <v>#DIV/0!</v>
      </c>
    </row>
    <row r="115" spans="1:49" x14ac:dyDescent="0.25">
      <c r="A115" s="341">
        <v>212210161</v>
      </c>
      <c r="B115" s="342" t="s">
        <v>557</v>
      </c>
      <c r="C115" s="368">
        <v>50000000</v>
      </c>
      <c r="D115" s="368">
        <v>0</v>
      </c>
      <c r="E115" s="368">
        <f>42000000+8000000</f>
        <v>50000000</v>
      </c>
      <c r="F115" s="368">
        <v>0</v>
      </c>
      <c r="G115" s="368">
        <f t="shared" ref="G115:G122" si="174">+C115+D115-E115+F115</f>
        <v>0</v>
      </c>
      <c r="H115" s="58">
        <v>50000000</v>
      </c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412">
        <f t="shared" si="119"/>
        <v>0</v>
      </c>
      <c r="V115" s="58">
        <f t="shared" si="132"/>
        <v>0</v>
      </c>
      <c r="W115" s="396">
        <f t="shared" si="104"/>
        <v>0</v>
      </c>
      <c r="X115" s="396">
        <f t="shared" si="105"/>
        <v>0</v>
      </c>
      <c r="Y115" s="396"/>
      <c r="AA115" s="210">
        <v>0</v>
      </c>
      <c r="AB115" s="210">
        <v>0</v>
      </c>
      <c r="AC115" s="210">
        <v>0</v>
      </c>
      <c r="AD115" s="210">
        <v>0</v>
      </c>
      <c r="AE115" s="210">
        <v>0</v>
      </c>
      <c r="AF115" s="210">
        <v>0</v>
      </c>
      <c r="AG115" s="210">
        <v>0</v>
      </c>
      <c r="AH115" s="368">
        <v>0</v>
      </c>
      <c r="AI115" s="368">
        <v>0</v>
      </c>
      <c r="AJ115" s="368">
        <v>0</v>
      </c>
      <c r="AK115" s="210">
        <f t="shared" si="116"/>
        <v>0</v>
      </c>
      <c r="AL115" s="387"/>
      <c r="AM115" s="404" t="e">
        <f t="shared" si="91"/>
        <v>#DIV/0!</v>
      </c>
      <c r="AN115" s="404" t="e">
        <f t="shared" si="92"/>
        <v>#DIV/0!</v>
      </c>
      <c r="AO115" s="404" t="e">
        <f t="shared" si="93"/>
        <v>#DIV/0!</v>
      </c>
      <c r="AP115" s="404" t="e">
        <f t="shared" si="94"/>
        <v>#DIV/0!</v>
      </c>
      <c r="AQ115" s="404" t="e">
        <f t="shared" si="95"/>
        <v>#DIV/0!</v>
      </c>
      <c r="AR115" s="404" t="e">
        <f t="shared" si="96"/>
        <v>#DIV/0!</v>
      </c>
      <c r="AS115" s="404" t="e">
        <f t="shared" si="97"/>
        <v>#DIV/0!</v>
      </c>
      <c r="AT115" s="404" t="e">
        <f t="shared" si="98"/>
        <v>#DIV/0!</v>
      </c>
      <c r="AU115" s="404" t="e">
        <f t="shared" si="99"/>
        <v>#DIV/0!</v>
      </c>
      <c r="AV115" s="404" t="e">
        <f t="shared" si="100"/>
        <v>#DIV/0!</v>
      </c>
      <c r="AW115" s="404" t="e">
        <f t="shared" si="101"/>
        <v>#DIV/0!</v>
      </c>
    </row>
    <row r="116" spans="1:49" x14ac:dyDescent="0.25">
      <c r="A116" s="341">
        <v>212210162</v>
      </c>
      <c r="B116" s="342" t="s">
        <v>558</v>
      </c>
      <c r="C116" s="368">
        <v>17000000</v>
      </c>
      <c r="D116" s="368">
        <v>0</v>
      </c>
      <c r="E116" s="368">
        <v>17000000</v>
      </c>
      <c r="F116" s="368">
        <v>0</v>
      </c>
      <c r="G116" s="368">
        <f t="shared" si="174"/>
        <v>0</v>
      </c>
      <c r="H116" s="58">
        <v>17000000</v>
      </c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412">
        <f t="shared" si="119"/>
        <v>0</v>
      </c>
      <c r="V116" s="58">
        <f t="shared" si="132"/>
        <v>0</v>
      </c>
      <c r="W116" s="396">
        <f t="shared" si="104"/>
        <v>0</v>
      </c>
      <c r="X116" s="396">
        <f t="shared" si="105"/>
        <v>0</v>
      </c>
      <c r="Y116" s="396"/>
      <c r="AA116" s="210">
        <v>0</v>
      </c>
      <c r="AB116" s="210">
        <v>0</v>
      </c>
      <c r="AC116" s="210">
        <v>0</v>
      </c>
      <c r="AD116" s="210">
        <v>0</v>
      </c>
      <c r="AE116" s="210">
        <v>0</v>
      </c>
      <c r="AF116" s="210">
        <v>0</v>
      </c>
      <c r="AG116" s="210">
        <v>0</v>
      </c>
      <c r="AH116" s="368">
        <v>0</v>
      </c>
      <c r="AI116" s="368">
        <v>0</v>
      </c>
      <c r="AJ116" s="368">
        <v>0</v>
      </c>
      <c r="AK116" s="210">
        <f t="shared" si="116"/>
        <v>0</v>
      </c>
      <c r="AL116" s="387"/>
      <c r="AM116" s="404" t="e">
        <f t="shared" si="91"/>
        <v>#DIV/0!</v>
      </c>
      <c r="AN116" s="404" t="e">
        <f t="shared" si="92"/>
        <v>#DIV/0!</v>
      </c>
      <c r="AO116" s="404" t="e">
        <f t="shared" si="93"/>
        <v>#DIV/0!</v>
      </c>
      <c r="AP116" s="404" t="e">
        <f t="shared" si="94"/>
        <v>#DIV/0!</v>
      </c>
      <c r="AQ116" s="404" t="e">
        <f t="shared" si="95"/>
        <v>#DIV/0!</v>
      </c>
      <c r="AR116" s="404" t="e">
        <f t="shared" si="96"/>
        <v>#DIV/0!</v>
      </c>
      <c r="AS116" s="404" t="e">
        <f t="shared" si="97"/>
        <v>#DIV/0!</v>
      </c>
      <c r="AT116" s="404" t="e">
        <f t="shared" si="98"/>
        <v>#DIV/0!</v>
      </c>
      <c r="AU116" s="404" t="e">
        <f t="shared" si="99"/>
        <v>#DIV/0!</v>
      </c>
      <c r="AV116" s="404" t="e">
        <f t="shared" si="100"/>
        <v>#DIV/0!</v>
      </c>
      <c r="AW116" s="404" t="e">
        <f t="shared" si="101"/>
        <v>#DIV/0!</v>
      </c>
    </row>
    <row r="117" spans="1:49" s="70" customFormat="1" x14ac:dyDescent="0.25">
      <c r="A117" s="341">
        <v>212210163</v>
      </c>
      <c r="B117" s="342" t="s">
        <v>559</v>
      </c>
      <c r="C117" s="368">
        <v>1200000</v>
      </c>
      <c r="D117" s="368">
        <v>0</v>
      </c>
      <c r="E117" s="368">
        <v>1200000</v>
      </c>
      <c r="F117" s="368">
        <v>0</v>
      </c>
      <c r="G117" s="368">
        <f t="shared" si="174"/>
        <v>0</v>
      </c>
      <c r="H117" s="58">
        <v>1200000</v>
      </c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412">
        <f t="shared" si="119"/>
        <v>0</v>
      </c>
      <c r="V117" s="58">
        <f t="shared" si="132"/>
        <v>0</v>
      </c>
      <c r="W117" s="396">
        <f t="shared" si="104"/>
        <v>0</v>
      </c>
      <c r="X117" s="396">
        <f t="shared" si="105"/>
        <v>0</v>
      </c>
      <c r="Y117" s="396"/>
      <c r="Z117" s="53"/>
      <c r="AA117" s="210">
        <v>0</v>
      </c>
      <c r="AB117" s="210">
        <v>0</v>
      </c>
      <c r="AC117" s="210">
        <v>0</v>
      </c>
      <c r="AD117" s="210">
        <v>0</v>
      </c>
      <c r="AE117" s="210">
        <v>0</v>
      </c>
      <c r="AF117" s="210">
        <v>0</v>
      </c>
      <c r="AG117" s="210">
        <v>0</v>
      </c>
      <c r="AH117" s="368">
        <v>0</v>
      </c>
      <c r="AI117" s="368">
        <v>0</v>
      </c>
      <c r="AJ117" s="368">
        <v>0</v>
      </c>
      <c r="AK117" s="210">
        <f t="shared" si="116"/>
        <v>0</v>
      </c>
      <c r="AL117" s="387"/>
      <c r="AM117" s="404" t="e">
        <f t="shared" si="91"/>
        <v>#DIV/0!</v>
      </c>
      <c r="AN117" s="404" t="e">
        <f t="shared" si="92"/>
        <v>#DIV/0!</v>
      </c>
      <c r="AO117" s="404" t="e">
        <f t="shared" si="93"/>
        <v>#DIV/0!</v>
      </c>
      <c r="AP117" s="404" t="e">
        <f t="shared" si="94"/>
        <v>#DIV/0!</v>
      </c>
      <c r="AQ117" s="404" t="e">
        <f t="shared" si="95"/>
        <v>#DIV/0!</v>
      </c>
      <c r="AR117" s="404" t="e">
        <f t="shared" si="96"/>
        <v>#DIV/0!</v>
      </c>
      <c r="AS117" s="404" t="e">
        <f t="shared" si="97"/>
        <v>#DIV/0!</v>
      </c>
      <c r="AT117" s="404" t="e">
        <f t="shared" si="98"/>
        <v>#DIV/0!</v>
      </c>
      <c r="AU117" s="404" t="e">
        <f t="shared" si="99"/>
        <v>#DIV/0!</v>
      </c>
      <c r="AV117" s="404" t="e">
        <f t="shared" si="100"/>
        <v>#DIV/0!</v>
      </c>
      <c r="AW117" s="404" t="e">
        <f t="shared" si="101"/>
        <v>#DIV/0!</v>
      </c>
    </row>
    <row r="118" spans="1:49" s="70" customFormat="1" x14ac:dyDescent="0.25">
      <c r="A118" s="341">
        <v>212210164</v>
      </c>
      <c r="B118" s="342" t="s">
        <v>560</v>
      </c>
      <c r="C118" s="368">
        <v>600000</v>
      </c>
      <c r="D118" s="368">
        <v>0</v>
      </c>
      <c r="E118" s="368">
        <v>600000</v>
      </c>
      <c r="F118" s="368">
        <v>0</v>
      </c>
      <c r="G118" s="368">
        <f t="shared" si="174"/>
        <v>0</v>
      </c>
      <c r="H118" s="58">
        <v>600000</v>
      </c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412">
        <f t="shared" si="119"/>
        <v>0</v>
      </c>
      <c r="V118" s="58">
        <f t="shared" si="132"/>
        <v>0</v>
      </c>
      <c r="W118" s="396">
        <f t="shared" si="104"/>
        <v>0</v>
      </c>
      <c r="X118" s="396">
        <f t="shared" si="105"/>
        <v>0</v>
      </c>
      <c r="Y118" s="396"/>
      <c r="Z118" s="53"/>
      <c r="AA118" s="210">
        <v>0</v>
      </c>
      <c r="AB118" s="210">
        <v>0</v>
      </c>
      <c r="AC118" s="210">
        <v>0</v>
      </c>
      <c r="AD118" s="210">
        <v>0</v>
      </c>
      <c r="AE118" s="210">
        <v>0</v>
      </c>
      <c r="AF118" s="210">
        <v>0</v>
      </c>
      <c r="AG118" s="210">
        <v>0</v>
      </c>
      <c r="AH118" s="368">
        <v>0</v>
      </c>
      <c r="AI118" s="368">
        <v>0</v>
      </c>
      <c r="AJ118" s="368">
        <v>0</v>
      </c>
      <c r="AK118" s="210">
        <f t="shared" si="116"/>
        <v>0</v>
      </c>
      <c r="AL118" s="387"/>
      <c r="AM118" s="404" t="e">
        <f t="shared" si="91"/>
        <v>#DIV/0!</v>
      </c>
      <c r="AN118" s="404" t="e">
        <f t="shared" si="92"/>
        <v>#DIV/0!</v>
      </c>
      <c r="AO118" s="404" t="e">
        <f t="shared" si="93"/>
        <v>#DIV/0!</v>
      </c>
      <c r="AP118" s="404" t="e">
        <f t="shared" si="94"/>
        <v>#DIV/0!</v>
      </c>
      <c r="AQ118" s="404" t="e">
        <f t="shared" si="95"/>
        <v>#DIV/0!</v>
      </c>
      <c r="AR118" s="404" t="e">
        <f t="shared" si="96"/>
        <v>#DIV/0!</v>
      </c>
      <c r="AS118" s="404" t="e">
        <f t="shared" si="97"/>
        <v>#DIV/0!</v>
      </c>
      <c r="AT118" s="404" t="e">
        <f t="shared" si="98"/>
        <v>#DIV/0!</v>
      </c>
      <c r="AU118" s="404" t="e">
        <f t="shared" si="99"/>
        <v>#DIV/0!</v>
      </c>
      <c r="AV118" s="404" t="e">
        <f t="shared" si="100"/>
        <v>#DIV/0!</v>
      </c>
      <c r="AW118" s="404" t="e">
        <f t="shared" si="101"/>
        <v>#DIV/0!</v>
      </c>
    </row>
    <row r="119" spans="1:49" s="70" customFormat="1" x14ac:dyDescent="0.25">
      <c r="A119" s="341">
        <v>212210165</v>
      </c>
      <c r="B119" s="342" t="s">
        <v>561</v>
      </c>
      <c r="C119" s="368">
        <v>12000000</v>
      </c>
      <c r="D119" s="368">
        <v>0</v>
      </c>
      <c r="E119" s="368">
        <v>12000000</v>
      </c>
      <c r="F119" s="368">
        <v>0</v>
      </c>
      <c r="G119" s="368">
        <f t="shared" si="174"/>
        <v>0</v>
      </c>
      <c r="H119" s="58">
        <v>12000000</v>
      </c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412">
        <f t="shared" si="119"/>
        <v>0</v>
      </c>
      <c r="V119" s="58">
        <f t="shared" si="132"/>
        <v>0</v>
      </c>
      <c r="W119" s="396">
        <f t="shared" si="104"/>
        <v>0</v>
      </c>
      <c r="X119" s="396">
        <f t="shared" si="105"/>
        <v>0</v>
      </c>
      <c r="Y119" s="396"/>
      <c r="Z119" s="53"/>
      <c r="AA119" s="210">
        <v>0</v>
      </c>
      <c r="AB119" s="210">
        <v>0</v>
      </c>
      <c r="AC119" s="210">
        <v>0</v>
      </c>
      <c r="AD119" s="210">
        <v>0</v>
      </c>
      <c r="AE119" s="210">
        <v>0</v>
      </c>
      <c r="AF119" s="210">
        <v>0</v>
      </c>
      <c r="AG119" s="210">
        <v>0</v>
      </c>
      <c r="AH119" s="368">
        <v>0</v>
      </c>
      <c r="AI119" s="368">
        <v>0</v>
      </c>
      <c r="AJ119" s="368">
        <v>0</v>
      </c>
      <c r="AK119" s="210">
        <f t="shared" si="116"/>
        <v>0</v>
      </c>
      <c r="AL119" s="387"/>
      <c r="AM119" s="404" t="e">
        <f t="shared" si="91"/>
        <v>#DIV/0!</v>
      </c>
      <c r="AN119" s="404" t="e">
        <f t="shared" si="92"/>
        <v>#DIV/0!</v>
      </c>
      <c r="AO119" s="404" t="e">
        <f t="shared" si="93"/>
        <v>#DIV/0!</v>
      </c>
      <c r="AP119" s="404" t="e">
        <f t="shared" si="94"/>
        <v>#DIV/0!</v>
      </c>
      <c r="AQ119" s="404" t="e">
        <f t="shared" si="95"/>
        <v>#DIV/0!</v>
      </c>
      <c r="AR119" s="404" t="e">
        <f t="shared" si="96"/>
        <v>#DIV/0!</v>
      </c>
      <c r="AS119" s="404" t="e">
        <f t="shared" si="97"/>
        <v>#DIV/0!</v>
      </c>
      <c r="AT119" s="404" t="e">
        <f t="shared" si="98"/>
        <v>#DIV/0!</v>
      </c>
      <c r="AU119" s="404" t="e">
        <f t="shared" si="99"/>
        <v>#DIV/0!</v>
      </c>
      <c r="AV119" s="404" t="e">
        <f t="shared" si="100"/>
        <v>#DIV/0!</v>
      </c>
      <c r="AW119" s="404" t="e">
        <f t="shared" si="101"/>
        <v>#DIV/0!</v>
      </c>
    </row>
    <row r="120" spans="1:49" x14ac:dyDescent="0.25">
      <c r="A120" s="341">
        <v>212210166</v>
      </c>
      <c r="B120" s="342" t="s">
        <v>562</v>
      </c>
      <c r="C120" s="368">
        <v>30000000</v>
      </c>
      <c r="D120" s="368">
        <v>0</v>
      </c>
      <c r="E120" s="368">
        <v>30000000</v>
      </c>
      <c r="F120" s="368">
        <v>0</v>
      </c>
      <c r="G120" s="368">
        <f t="shared" si="174"/>
        <v>0</v>
      </c>
      <c r="H120" s="58">
        <v>30000000</v>
      </c>
      <c r="I120" s="210"/>
      <c r="J120" s="210"/>
      <c r="K120" s="210"/>
      <c r="L120" s="210"/>
      <c r="M120" s="210"/>
      <c r="N120" s="210"/>
      <c r="O120" s="210"/>
      <c r="P120" s="210"/>
      <c r="Q120" s="210"/>
      <c r="R120" s="210"/>
      <c r="S120" s="210"/>
      <c r="T120" s="210"/>
      <c r="U120" s="412">
        <f t="shared" si="119"/>
        <v>0</v>
      </c>
      <c r="V120" s="58">
        <f t="shared" si="132"/>
        <v>0</v>
      </c>
      <c r="W120" s="396">
        <f t="shared" si="104"/>
        <v>0</v>
      </c>
      <c r="X120" s="396">
        <f t="shared" si="105"/>
        <v>0</v>
      </c>
      <c r="Y120" s="396"/>
      <c r="AA120" s="210">
        <v>0</v>
      </c>
      <c r="AB120" s="210">
        <v>0</v>
      </c>
      <c r="AC120" s="210">
        <v>0</v>
      </c>
      <c r="AD120" s="210">
        <v>0</v>
      </c>
      <c r="AE120" s="210">
        <v>0</v>
      </c>
      <c r="AF120" s="210">
        <v>0</v>
      </c>
      <c r="AG120" s="210">
        <v>0</v>
      </c>
      <c r="AH120" s="368">
        <v>0</v>
      </c>
      <c r="AI120" s="368">
        <v>0</v>
      </c>
      <c r="AJ120" s="368">
        <v>0</v>
      </c>
      <c r="AK120" s="210">
        <f t="shared" si="116"/>
        <v>0</v>
      </c>
      <c r="AL120" s="387"/>
      <c r="AM120" s="404" t="e">
        <f t="shared" si="91"/>
        <v>#DIV/0!</v>
      </c>
      <c r="AN120" s="404" t="e">
        <f t="shared" si="92"/>
        <v>#DIV/0!</v>
      </c>
      <c r="AO120" s="404" t="e">
        <f t="shared" si="93"/>
        <v>#DIV/0!</v>
      </c>
      <c r="AP120" s="404" t="e">
        <f t="shared" si="94"/>
        <v>#DIV/0!</v>
      </c>
      <c r="AQ120" s="404" t="e">
        <f t="shared" si="95"/>
        <v>#DIV/0!</v>
      </c>
      <c r="AR120" s="404" t="e">
        <f t="shared" si="96"/>
        <v>#DIV/0!</v>
      </c>
      <c r="AS120" s="404" t="e">
        <f t="shared" si="97"/>
        <v>#DIV/0!</v>
      </c>
      <c r="AT120" s="404" t="e">
        <f t="shared" si="98"/>
        <v>#DIV/0!</v>
      </c>
      <c r="AU120" s="404" t="e">
        <f t="shared" si="99"/>
        <v>#DIV/0!</v>
      </c>
      <c r="AV120" s="404" t="e">
        <f t="shared" si="100"/>
        <v>#DIV/0!</v>
      </c>
      <c r="AW120" s="404" t="e">
        <f t="shared" si="101"/>
        <v>#DIV/0!</v>
      </c>
    </row>
    <row r="121" spans="1:49" x14ac:dyDescent="0.25">
      <c r="A121" s="341">
        <v>212210168</v>
      </c>
      <c r="B121" s="342" t="s">
        <v>563</v>
      </c>
      <c r="C121" s="368">
        <v>8000000</v>
      </c>
      <c r="D121" s="368">
        <v>0</v>
      </c>
      <c r="E121" s="368">
        <v>8000000</v>
      </c>
      <c r="F121" s="368">
        <v>0</v>
      </c>
      <c r="G121" s="368">
        <f t="shared" si="174"/>
        <v>0</v>
      </c>
      <c r="H121" s="58">
        <v>8000000</v>
      </c>
      <c r="I121" s="210"/>
      <c r="J121" s="210"/>
      <c r="K121" s="210"/>
      <c r="L121" s="210"/>
      <c r="M121" s="210"/>
      <c r="N121" s="210"/>
      <c r="O121" s="210"/>
      <c r="P121" s="210"/>
      <c r="Q121" s="210"/>
      <c r="R121" s="210"/>
      <c r="S121" s="210"/>
      <c r="T121" s="210"/>
      <c r="U121" s="412">
        <f t="shared" si="119"/>
        <v>0</v>
      </c>
      <c r="V121" s="58">
        <f t="shared" si="132"/>
        <v>0</v>
      </c>
      <c r="W121" s="396">
        <f t="shared" si="104"/>
        <v>0</v>
      </c>
      <c r="X121" s="396">
        <f t="shared" si="105"/>
        <v>0</v>
      </c>
      <c r="Y121" s="396"/>
      <c r="AA121" s="210">
        <v>0</v>
      </c>
      <c r="AB121" s="210">
        <v>0</v>
      </c>
      <c r="AC121" s="210">
        <v>0</v>
      </c>
      <c r="AD121" s="210">
        <v>0</v>
      </c>
      <c r="AE121" s="210">
        <v>0</v>
      </c>
      <c r="AF121" s="210">
        <v>0</v>
      </c>
      <c r="AG121" s="210">
        <v>0</v>
      </c>
      <c r="AH121" s="368">
        <v>0</v>
      </c>
      <c r="AI121" s="368">
        <v>0</v>
      </c>
      <c r="AJ121" s="368">
        <v>0</v>
      </c>
      <c r="AK121" s="210">
        <f t="shared" si="116"/>
        <v>0</v>
      </c>
      <c r="AL121" s="387"/>
      <c r="AM121" s="404" t="e">
        <f t="shared" si="91"/>
        <v>#DIV/0!</v>
      </c>
      <c r="AN121" s="404" t="e">
        <f t="shared" si="92"/>
        <v>#DIV/0!</v>
      </c>
      <c r="AO121" s="404" t="e">
        <f t="shared" si="93"/>
        <v>#DIV/0!</v>
      </c>
      <c r="AP121" s="404" t="e">
        <f t="shared" si="94"/>
        <v>#DIV/0!</v>
      </c>
      <c r="AQ121" s="404" t="e">
        <f t="shared" si="95"/>
        <v>#DIV/0!</v>
      </c>
      <c r="AR121" s="404" t="e">
        <f t="shared" si="96"/>
        <v>#DIV/0!</v>
      </c>
      <c r="AS121" s="404" t="e">
        <f t="shared" si="97"/>
        <v>#DIV/0!</v>
      </c>
      <c r="AT121" s="404" t="e">
        <f t="shared" si="98"/>
        <v>#DIV/0!</v>
      </c>
      <c r="AU121" s="404" t="e">
        <f t="shared" si="99"/>
        <v>#DIV/0!</v>
      </c>
      <c r="AV121" s="404" t="e">
        <f t="shared" si="100"/>
        <v>#DIV/0!</v>
      </c>
      <c r="AW121" s="404" t="e">
        <f t="shared" si="101"/>
        <v>#DIV/0!</v>
      </c>
    </row>
    <row r="122" spans="1:49" s="70" customFormat="1" ht="30" x14ac:dyDescent="0.25">
      <c r="A122" s="341">
        <v>212210169</v>
      </c>
      <c r="B122" s="342" t="s">
        <v>564</v>
      </c>
      <c r="C122" s="368">
        <v>28000000</v>
      </c>
      <c r="D122" s="368">
        <v>0</v>
      </c>
      <c r="E122" s="368">
        <v>28000000</v>
      </c>
      <c r="F122" s="368">
        <v>0</v>
      </c>
      <c r="G122" s="368">
        <f t="shared" si="174"/>
        <v>0</v>
      </c>
      <c r="H122" s="58">
        <v>28000000</v>
      </c>
      <c r="I122" s="210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412">
        <f t="shared" si="119"/>
        <v>0</v>
      </c>
      <c r="V122" s="58">
        <f t="shared" si="132"/>
        <v>0</v>
      </c>
      <c r="W122" s="396">
        <f t="shared" si="104"/>
        <v>0</v>
      </c>
      <c r="X122" s="396">
        <f t="shared" si="105"/>
        <v>0</v>
      </c>
      <c r="Y122" s="396"/>
      <c r="Z122" s="55"/>
      <c r="AA122" s="210">
        <v>0</v>
      </c>
      <c r="AB122" s="210">
        <v>0</v>
      </c>
      <c r="AC122" s="210">
        <v>0</v>
      </c>
      <c r="AD122" s="210">
        <v>0</v>
      </c>
      <c r="AE122" s="210">
        <v>0</v>
      </c>
      <c r="AF122" s="210">
        <v>0</v>
      </c>
      <c r="AG122" s="210">
        <v>0</v>
      </c>
      <c r="AH122" s="368">
        <v>0</v>
      </c>
      <c r="AI122" s="368">
        <v>0</v>
      </c>
      <c r="AJ122" s="368">
        <v>0</v>
      </c>
      <c r="AK122" s="210">
        <f t="shared" si="116"/>
        <v>0</v>
      </c>
      <c r="AL122" s="386"/>
      <c r="AM122" s="404" t="e">
        <f t="shared" si="91"/>
        <v>#DIV/0!</v>
      </c>
      <c r="AN122" s="404" t="e">
        <f t="shared" si="92"/>
        <v>#DIV/0!</v>
      </c>
      <c r="AO122" s="404" t="e">
        <f t="shared" si="93"/>
        <v>#DIV/0!</v>
      </c>
      <c r="AP122" s="404" t="e">
        <f t="shared" si="94"/>
        <v>#DIV/0!</v>
      </c>
      <c r="AQ122" s="404" t="e">
        <f t="shared" si="95"/>
        <v>#DIV/0!</v>
      </c>
      <c r="AR122" s="404" t="e">
        <f t="shared" si="96"/>
        <v>#DIV/0!</v>
      </c>
      <c r="AS122" s="404" t="e">
        <f t="shared" si="97"/>
        <v>#DIV/0!</v>
      </c>
      <c r="AT122" s="404" t="e">
        <f t="shared" si="98"/>
        <v>#DIV/0!</v>
      </c>
      <c r="AU122" s="404" t="e">
        <f t="shared" si="99"/>
        <v>#DIV/0!</v>
      </c>
      <c r="AV122" s="404" t="e">
        <f t="shared" si="100"/>
        <v>#DIV/0!</v>
      </c>
      <c r="AW122" s="404" t="e">
        <f t="shared" si="101"/>
        <v>#DIV/0!</v>
      </c>
    </row>
    <row r="123" spans="1:49" s="70" customFormat="1" x14ac:dyDescent="0.25">
      <c r="A123" s="337">
        <v>212211</v>
      </c>
      <c r="B123" s="338" t="s">
        <v>61</v>
      </c>
      <c r="C123" s="366">
        <f>+C124</f>
        <v>975426925</v>
      </c>
      <c r="D123" s="366">
        <f t="shared" ref="D123:AK123" si="175">+D124</f>
        <v>0</v>
      </c>
      <c r="E123" s="366">
        <f t="shared" si="175"/>
        <v>0</v>
      </c>
      <c r="F123" s="366">
        <f t="shared" si="175"/>
        <v>0</v>
      </c>
      <c r="G123" s="366">
        <f t="shared" si="175"/>
        <v>975426925</v>
      </c>
      <c r="H123" s="366">
        <f t="shared" si="175"/>
        <v>975426925</v>
      </c>
      <c r="I123" s="366">
        <f t="shared" si="175"/>
        <v>81285577.079999998</v>
      </c>
      <c r="J123" s="366">
        <f t="shared" si="175"/>
        <v>81285577.079999998</v>
      </c>
      <c r="K123" s="366">
        <f t="shared" si="175"/>
        <v>81285577.079999998</v>
      </c>
      <c r="L123" s="366">
        <f t="shared" si="175"/>
        <v>81285577.079999998</v>
      </c>
      <c r="M123" s="366">
        <f t="shared" si="175"/>
        <v>81285577.079999998</v>
      </c>
      <c r="N123" s="366">
        <f t="shared" si="175"/>
        <v>81285577.079999998</v>
      </c>
      <c r="O123" s="366">
        <f t="shared" si="175"/>
        <v>81285577.079999998</v>
      </c>
      <c r="P123" s="366">
        <f t="shared" si="175"/>
        <v>81285577.079999998</v>
      </c>
      <c r="Q123" s="366">
        <f t="shared" si="175"/>
        <v>81285577.079999998</v>
      </c>
      <c r="R123" s="366">
        <f t="shared" si="175"/>
        <v>81285577.079999998</v>
      </c>
      <c r="S123" s="366">
        <f t="shared" si="175"/>
        <v>81285577.079999998</v>
      </c>
      <c r="T123" s="366">
        <f t="shared" si="175"/>
        <v>81285577.120000005</v>
      </c>
      <c r="U123" s="417">
        <f t="shared" si="119"/>
        <v>812855770.80000007</v>
      </c>
      <c r="V123" s="366">
        <f t="shared" si="175"/>
        <v>975426925</v>
      </c>
      <c r="W123" s="366">
        <f t="shared" si="175"/>
        <v>975426925</v>
      </c>
      <c r="X123" s="366">
        <f t="shared" si="175"/>
        <v>0</v>
      </c>
      <c r="Y123" s="366">
        <f t="shared" si="175"/>
        <v>0</v>
      </c>
      <c r="Z123" s="366">
        <f t="shared" si="175"/>
        <v>0</v>
      </c>
      <c r="AA123" s="366">
        <f t="shared" si="175"/>
        <v>105949949</v>
      </c>
      <c r="AB123" s="366">
        <f t="shared" si="175"/>
        <v>116522453</v>
      </c>
      <c r="AC123" s="366">
        <f t="shared" si="175"/>
        <v>77846526</v>
      </c>
      <c r="AD123" s="366">
        <f t="shared" si="175"/>
        <v>56806962</v>
      </c>
      <c r="AE123" s="366">
        <f t="shared" si="175"/>
        <v>63097413</v>
      </c>
      <c r="AF123" s="366">
        <f t="shared" si="175"/>
        <v>39132747</v>
      </c>
      <c r="AG123" s="366">
        <f t="shared" si="175"/>
        <v>83808066</v>
      </c>
      <c r="AH123" s="366">
        <f t="shared" si="175"/>
        <v>48878600</v>
      </c>
      <c r="AI123" s="366">
        <f t="shared" si="175"/>
        <v>49276781</v>
      </c>
      <c r="AJ123" s="366">
        <f t="shared" si="175"/>
        <v>46444796</v>
      </c>
      <c r="AK123" s="366">
        <f t="shared" si="175"/>
        <v>687764293</v>
      </c>
      <c r="AL123" s="402"/>
      <c r="AM123" s="399">
        <f t="shared" si="91"/>
        <v>0.3034286377240788</v>
      </c>
      <c r="AN123" s="399">
        <f t="shared" si="92"/>
        <v>0.43349481157426512</v>
      </c>
      <c r="AO123" s="399">
        <f t="shared" si="93"/>
        <v>-4.2308256932411734E-2</v>
      </c>
      <c r="AP123" s="399">
        <f t="shared" si="94"/>
        <v>-0.30114340033421338</v>
      </c>
      <c r="AQ123" s="399">
        <f t="shared" si="95"/>
        <v>-0.22375635055281073</v>
      </c>
      <c r="AR123" s="399">
        <f t="shared" si="96"/>
        <v>-0.51857699230595167</v>
      </c>
      <c r="AS123" s="399">
        <f t="shared" si="97"/>
        <v>3.1032429252700115E-2</v>
      </c>
      <c r="AT123" s="399">
        <f t="shared" si="98"/>
        <v>-0.39868053157948991</v>
      </c>
      <c r="AU123" s="399">
        <f t="shared" si="99"/>
        <v>-0.39378198728290309</v>
      </c>
      <c r="AV123" s="399">
        <f t="shared" si="100"/>
        <v>-0.42862193185526931</v>
      </c>
      <c r="AW123" s="399">
        <f t="shared" si="101"/>
        <v>7.4610864277079934</v>
      </c>
    </row>
    <row r="124" spans="1:49" ht="30" x14ac:dyDescent="0.25">
      <c r="A124" s="339">
        <v>2122112</v>
      </c>
      <c r="B124" s="340" t="s">
        <v>62</v>
      </c>
      <c r="C124" s="367">
        <f>+C125+C126</f>
        <v>975426925</v>
      </c>
      <c r="D124" s="367">
        <f t="shared" ref="D124:AK124" si="176">+D125+D126</f>
        <v>0</v>
      </c>
      <c r="E124" s="367">
        <f t="shared" si="176"/>
        <v>0</v>
      </c>
      <c r="F124" s="367">
        <f t="shared" si="176"/>
        <v>0</v>
      </c>
      <c r="G124" s="367">
        <f t="shared" si="176"/>
        <v>975426925</v>
      </c>
      <c r="H124" s="367">
        <f t="shared" si="176"/>
        <v>975426925</v>
      </c>
      <c r="I124" s="367">
        <f t="shared" si="176"/>
        <v>81285577.079999998</v>
      </c>
      <c r="J124" s="367">
        <f t="shared" si="176"/>
        <v>81285577.079999998</v>
      </c>
      <c r="K124" s="367">
        <f t="shared" si="176"/>
        <v>81285577.079999998</v>
      </c>
      <c r="L124" s="367">
        <f t="shared" si="176"/>
        <v>81285577.079999998</v>
      </c>
      <c r="M124" s="367">
        <f t="shared" si="176"/>
        <v>81285577.079999998</v>
      </c>
      <c r="N124" s="367">
        <f t="shared" si="176"/>
        <v>81285577.079999998</v>
      </c>
      <c r="O124" s="367">
        <f t="shared" si="176"/>
        <v>81285577.079999998</v>
      </c>
      <c r="P124" s="367">
        <f t="shared" si="176"/>
        <v>81285577.079999998</v>
      </c>
      <c r="Q124" s="367">
        <f t="shared" si="176"/>
        <v>81285577.079999998</v>
      </c>
      <c r="R124" s="367">
        <f t="shared" si="176"/>
        <v>81285577.079999998</v>
      </c>
      <c r="S124" s="367">
        <f t="shared" si="176"/>
        <v>81285577.079999998</v>
      </c>
      <c r="T124" s="367">
        <f t="shared" si="176"/>
        <v>81285577.120000005</v>
      </c>
      <c r="U124" s="418">
        <f t="shared" si="119"/>
        <v>812855770.80000007</v>
      </c>
      <c r="V124" s="367">
        <f t="shared" si="176"/>
        <v>975426925</v>
      </c>
      <c r="W124" s="367">
        <f t="shared" si="176"/>
        <v>975426925</v>
      </c>
      <c r="X124" s="367">
        <f t="shared" si="176"/>
        <v>0</v>
      </c>
      <c r="Y124" s="367">
        <f t="shared" si="176"/>
        <v>0</v>
      </c>
      <c r="Z124" s="367">
        <f t="shared" si="176"/>
        <v>0</v>
      </c>
      <c r="AA124" s="367">
        <f t="shared" si="176"/>
        <v>105949949</v>
      </c>
      <c r="AB124" s="367">
        <f t="shared" si="176"/>
        <v>116522453</v>
      </c>
      <c r="AC124" s="367">
        <f t="shared" si="176"/>
        <v>77846526</v>
      </c>
      <c r="AD124" s="367">
        <f t="shared" si="176"/>
        <v>56806962</v>
      </c>
      <c r="AE124" s="367">
        <f t="shared" si="176"/>
        <v>63097413</v>
      </c>
      <c r="AF124" s="367">
        <f t="shared" si="176"/>
        <v>39132747</v>
      </c>
      <c r="AG124" s="367">
        <f t="shared" si="176"/>
        <v>83808066</v>
      </c>
      <c r="AH124" s="367">
        <f t="shared" si="176"/>
        <v>48878600</v>
      </c>
      <c r="AI124" s="367">
        <f t="shared" si="176"/>
        <v>49276781</v>
      </c>
      <c r="AJ124" s="367">
        <f t="shared" si="176"/>
        <v>46444796</v>
      </c>
      <c r="AK124" s="367">
        <f t="shared" si="176"/>
        <v>687764293</v>
      </c>
      <c r="AL124" s="402"/>
      <c r="AM124" s="398">
        <f t="shared" si="91"/>
        <v>0.3034286377240788</v>
      </c>
      <c r="AN124" s="398">
        <f t="shared" si="92"/>
        <v>0.43349481157426512</v>
      </c>
      <c r="AO124" s="398">
        <f t="shared" si="93"/>
        <v>-4.2308256932411734E-2</v>
      </c>
      <c r="AP124" s="398">
        <f t="shared" si="94"/>
        <v>-0.30114340033421338</v>
      </c>
      <c r="AQ124" s="398">
        <f t="shared" si="95"/>
        <v>-0.22375635055281073</v>
      </c>
      <c r="AR124" s="398">
        <f t="shared" si="96"/>
        <v>-0.51857699230595167</v>
      </c>
      <c r="AS124" s="398">
        <f t="shared" si="97"/>
        <v>3.1032429252700115E-2</v>
      </c>
      <c r="AT124" s="398">
        <f t="shared" si="98"/>
        <v>-0.39868053157948991</v>
      </c>
      <c r="AU124" s="398">
        <f t="shared" si="99"/>
        <v>-0.39378198728290309</v>
      </c>
      <c r="AV124" s="398">
        <f t="shared" si="100"/>
        <v>-0.42862193185526931</v>
      </c>
      <c r="AW124" s="398">
        <f t="shared" si="101"/>
        <v>7.4610864277079934</v>
      </c>
    </row>
    <row r="125" spans="1:49" x14ac:dyDescent="0.25">
      <c r="A125" s="341">
        <v>21221121</v>
      </c>
      <c r="B125" s="342" t="s">
        <v>565</v>
      </c>
      <c r="C125" s="368">
        <v>772497771</v>
      </c>
      <c r="D125" s="368">
        <v>0</v>
      </c>
      <c r="E125" s="368">
        <v>0</v>
      </c>
      <c r="F125" s="368">
        <v>0</v>
      </c>
      <c r="G125" s="368">
        <f t="shared" ref="G125:G126" si="177">+C125+D125-E125+F125</f>
        <v>772497771</v>
      </c>
      <c r="H125" s="58">
        <v>772497771</v>
      </c>
      <c r="I125" s="210">
        <v>64374814.25</v>
      </c>
      <c r="J125" s="210">
        <v>64374814.25</v>
      </c>
      <c r="K125" s="210">
        <v>64374814.25</v>
      </c>
      <c r="L125" s="210">
        <v>64374814.25</v>
      </c>
      <c r="M125" s="210">
        <v>64374814.25</v>
      </c>
      <c r="N125" s="210">
        <v>64374814.25</v>
      </c>
      <c r="O125" s="210">
        <v>64374814.25</v>
      </c>
      <c r="P125" s="210">
        <v>64374814.25</v>
      </c>
      <c r="Q125" s="210">
        <v>64374814.25</v>
      </c>
      <c r="R125" s="210">
        <v>64374814.25</v>
      </c>
      <c r="S125" s="210">
        <v>64374814.25</v>
      </c>
      <c r="T125" s="210">
        <v>64374814.25</v>
      </c>
      <c r="U125" s="412">
        <f t="shared" si="119"/>
        <v>643748142.5</v>
      </c>
      <c r="V125" s="58">
        <f t="shared" si="132"/>
        <v>772497771</v>
      </c>
      <c r="W125" s="396">
        <f t="shared" si="104"/>
        <v>772497771</v>
      </c>
      <c r="X125" s="396">
        <f t="shared" si="105"/>
        <v>0</v>
      </c>
      <c r="Y125" s="396"/>
      <c r="AA125" s="210">
        <v>86701849</v>
      </c>
      <c r="AB125" s="210">
        <v>115151253</v>
      </c>
      <c r="AC125" s="210">
        <v>66758426</v>
      </c>
      <c r="AD125" s="210">
        <f>17580935+37782807</f>
        <v>55363742</v>
      </c>
      <c r="AE125" s="210">
        <v>36235523</v>
      </c>
      <c r="AF125" s="210">
        <v>37814397</v>
      </c>
      <c r="AG125" s="210">
        <v>37755846</v>
      </c>
      <c r="AH125" s="368">
        <f>36980603+471997</f>
        <v>37452600</v>
      </c>
      <c r="AI125" s="368">
        <v>48281981</v>
      </c>
      <c r="AJ125" s="368">
        <v>46444796</v>
      </c>
      <c r="AK125" s="210">
        <f t="shared" si="116"/>
        <v>567960413</v>
      </c>
      <c r="AL125" s="387"/>
      <c r="AM125" s="404">
        <f t="shared" si="91"/>
        <v>0.34682872502424344</v>
      </c>
      <c r="AN125" s="404">
        <f t="shared" si="92"/>
        <v>0.7887624895166202</v>
      </c>
      <c r="AO125" s="404">
        <f t="shared" si="93"/>
        <v>3.7027085480095194E-2</v>
      </c>
      <c r="AP125" s="404">
        <f t="shared" si="94"/>
        <v>-0.13997822525755871</v>
      </c>
      <c r="AQ125" s="404">
        <f t="shared" si="95"/>
        <v>-0.43711646515547031</v>
      </c>
      <c r="AR125" s="404">
        <f t="shared" si="96"/>
        <v>-0.41259019632821697</v>
      </c>
      <c r="AS125" s="404">
        <f t="shared" si="97"/>
        <v>-0.41349972904970361</v>
      </c>
      <c r="AT125" s="404">
        <f t="shared" si="98"/>
        <v>-0.41821036011766044</v>
      </c>
      <c r="AU125" s="404">
        <f t="shared" si="99"/>
        <v>-0.24998648054351474</v>
      </c>
      <c r="AV125" s="404">
        <f t="shared" si="100"/>
        <v>-0.27852535900715242</v>
      </c>
      <c r="AW125" s="404">
        <f t="shared" si="101"/>
        <v>7.8227114845616814</v>
      </c>
    </row>
    <row r="126" spans="1:49" x14ac:dyDescent="0.25">
      <c r="A126" s="341">
        <v>21221122</v>
      </c>
      <c r="B126" s="342" t="s">
        <v>566</v>
      </c>
      <c r="C126" s="368">
        <v>202929154</v>
      </c>
      <c r="D126" s="368">
        <v>0</v>
      </c>
      <c r="E126" s="368">
        <v>0</v>
      </c>
      <c r="F126" s="368">
        <v>0</v>
      </c>
      <c r="G126" s="368">
        <f t="shared" si="177"/>
        <v>202929154</v>
      </c>
      <c r="H126" s="58">
        <v>202929154</v>
      </c>
      <c r="I126" s="210">
        <v>16910762.829999998</v>
      </c>
      <c r="J126" s="210">
        <v>16910762.829999998</v>
      </c>
      <c r="K126" s="210">
        <v>16910762.829999998</v>
      </c>
      <c r="L126" s="210">
        <v>16910762.829999998</v>
      </c>
      <c r="M126" s="210">
        <v>16910762.829999998</v>
      </c>
      <c r="N126" s="210">
        <v>16910762.829999998</v>
      </c>
      <c r="O126" s="210">
        <v>16910762.829999998</v>
      </c>
      <c r="P126" s="210">
        <v>16910762.829999998</v>
      </c>
      <c r="Q126" s="210">
        <v>16910762.829999998</v>
      </c>
      <c r="R126" s="210">
        <v>16910762.829999998</v>
      </c>
      <c r="S126" s="210">
        <v>16910762.829999998</v>
      </c>
      <c r="T126" s="210">
        <v>16910762.870000001</v>
      </c>
      <c r="U126" s="412">
        <f t="shared" si="119"/>
        <v>169107628.29999995</v>
      </c>
      <c r="V126" s="58">
        <f t="shared" si="132"/>
        <v>202929153.99999994</v>
      </c>
      <c r="W126" s="396">
        <f t="shared" si="104"/>
        <v>202929154</v>
      </c>
      <c r="X126" s="396">
        <f t="shared" si="105"/>
        <v>0</v>
      </c>
      <c r="Y126" s="396"/>
      <c r="AA126" s="210">
        <v>19248100</v>
      </c>
      <c r="AB126" s="210">
        <v>1371200</v>
      </c>
      <c r="AC126" s="210">
        <v>11088100</v>
      </c>
      <c r="AD126" s="210">
        <f>1025210+418010</f>
        <v>1443220</v>
      </c>
      <c r="AE126" s="210">
        <v>26861890</v>
      </c>
      <c r="AF126" s="210">
        <v>1318350</v>
      </c>
      <c r="AG126" s="210">
        <f>45927520+124700</f>
        <v>46052220</v>
      </c>
      <c r="AH126" s="368">
        <v>11426000</v>
      </c>
      <c r="AI126" s="368">
        <v>994800</v>
      </c>
      <c r="AJ126" s="368">
        <v>0</v>
      </c>
      <c r="AK126" s="210">
        <f t="shared" si="116"/>
        <v>119803880</v>
      </c>
      <c r="AL126" s="386"/>
      <c r="AM126" s="404">
        <f t="shared" si="91"/>
        <v>0.13821595119609409</v>
      </c>
      <c r="AN126" s="404">
        <f t="shared" si="92"/>
        <v>-0.91891554427293687</v>
      </c>
      <c r="AO126" s="404">
        <f t="shared" si="93"/>
        <v>-0.3443169825355536</v>
      </c>
      <c r="AP126" s="404">
        <f t="shared" si="94"/>
        <v>-0.91465671806125137</v>
      </c>
      <c r="AQ126" s="404">
        <f t="shared" si="95"/>
        <v>0.58844933667607957</v>
      </c>
      <c r="AR126" s="404">
        <f t="shared" si="96"/>
        <v>-0.92204077289398068</v>
      </c>
      <c r="AS126" s="404">
        <f t="shared" si="97"/>
        <v>1.72324912027638</v>
      </c>
      <c r="AT126" s="404">
        <f t="shared" si="98"/>
        <v>-0.32433562489977863</v>
      </c>
      <c r="AU126" s="404">
        <f t="shared" si="99"/>
        <v>-0.94117355852006823</v>
      </c>
      <c r="AV126" s="404">
        <f t="shared" si="100"/>
        <v>-1</v>
      </c>
      <c r="AW126" s="404">
        <f t="shared" si="101"/>
        <v>6.0844752069649841</v>
      </c>
    </row>
    <row r="127" spans="1:49" ht="45" x14ac:dyDescent="0.25">
      <c r="A127" s="337">
        <v>212212</v>
      </c>
      <c r="B127" s="338" t="s">
        <v>63</v>
      </c>
      <c r="C127" s="366">
        <f>+C128+C132</f>
        <v>270310500</v>
      </c>
      <c r="D127" s="366">
        <f t="shared" ref="D127:G127" si="178">+D128+D132</f>
        <v>3000000</v>
      </c>
      <c r="E127" s="366">
        <f t="shared" si="178"/>
        <v>0</v>
      </c>
      <c r="F127" s="366">
        <f t="shared" si="178"/>
        <v>0</v>
      </c>
      <c r="G127" s="366">
        <f t="shared" si="178"/>
        <v>273310500</v>
      </c>
      <c r="H127" s="56">
        <f>+H128+H132</f>
        <v>270310500.00999999</v>
      </c>
      <c r="I127" s="206">
        <f t="shared" ref="I127:V127" si="179">+I128+I132</f>
        <v>0</v>
      </c>
      <c r="J127" s="206">
        <f t="shared" si="179"/>
        <v>5450000</v>
      </c>
      <c r="K127" s="206">
        <f t="shared" si="179"/>
        <v>0</v>
      </c>
      <c r="L127" s="206">
        <f t="shared" si="179"/>
        <v>0</v>
      </c>
      <c r="M127" s="206">
        <f t="shared" si="179"/>
        <v>0</v>
      </c>
      <c r="N127" s="206">
        <f t="shared" si="179"/>
        <v>0</v>
      </c>
      <c r="O127" s="206">
        <f t="shared" si="179"/>
        <v>0</v>
      </c>
      <c r="P127" s="206">
        <f t="shared" si="179"/>
        <v>5450000</v>
      </c>
      <c r="Q127" s="206">
        <f t="shared" si="179"/>
        <v>1500000</v>
      </c>
      <c r="R127" s="206">
        <f t="shared" si="179"/>
        <v>1500000</v>
      </c>
      <c r="S127" s="206">
        <f t="shared" si="179"/>
        <v>0</v>
      </c>
      <c r="T127" s="206">
        <f t="shared" si="179"/>
        <v>0</v>
      </c>
      <c r="U127" s="414">
        <f t="shared" si="119"/>
        <v>13900000</v>
      </c>
      <c r="V127" s="56">
        <f t="shared" si="179"/>
        <v>273310500.00999999</v>
      </c>
      <c r="W127" s="396">
        <f t="shared" si="104"/>
        <v>273310500</v>
      </c>
      <c r="X127" s="396">
        <f t="shared" si="105"/>
        <v>-9.9999904632568359E-3</v>
      </c>
      <c r="Y127" s="396"/>
      <c r="Z127" s="55"/>
      <c r="AA127" s="207">
        <f>+AA128</f>
        <v>1700000</v>
      </c>
      <c r="AB127" s="207">
        <f t="shared" ref="AB127:AG127" si="180">+AB128</f>
        <v>797500</v>
      </c>
      <c r="AC127" s="207">
        <f t="shared" si="180"/>
        <v>0</v>
      </c>
      <c r="AD127" s="207">
        <f t="shared" si="180"/>
        <v>0</v>
      </c>
      <c r="AE127" s="207">
        <f t="shared" si="180"/>
        <v>480600</v>
      </c>
      <c r="AF127" s="207">
        <f t="shared" si="180"/>
        <v>0</v>
      </c>
      <c r="AG127" s="207">
        <f t="shared" si="180"/>
        <v>0</v>
      </c>
      <c r="AH127" s="366">
        <v>0</v>
      </c>
      <c r="AI127" s="366">
        <v>0</v>
      </c>
      <c r="AJ127" s="366">
        <v>0</v>
      </c>
      <c r="AK127" s="207">
        <f t="shared" si="116"/>
        <v>2978100</v>
      </c>
      <c r="AL127" s="386"/>
      <c r="AM127" s="406" t="e">
        <f t="shared" si="91"/>
        <v>#DIV/0!</v>
      </c>
      <c r="AN127" s="406">
        <f t="shared" si="92"/>
        <v>-0.85366972477064218</v>
      </c>
      <c r="AO127" s="406" t="e">
        <f t="shared" si="93"/>
        <v>#DIV/0!</v>
      </c>
      <c r="AP127" s="406" t="e">
        <f t="shared" si="94"/>
        <v>#DIV/0!</v>
      </c>
      <c r="AQ127" s="406" t="e">
        <f t="shared" si="95"/>
        <v>#DIV/0!</v>
      </c>
      <c r="AR127" s="406" t="e">
        <f t="shared" si="96"/>
        <v>#DIV/0!</v>
      </c>
      <c r="AS127" s="406" t="e">
        <f t="shared" si="97"/>
        <v>#DIV/0!</v>
      </c>
      <c r="AT127" s="406">
        <f t="shared" si="98"/>
        <v>-1</v>
      </c>
      <c r="AU127" s="406">
        <f t="shared" si="99"/>
        <v>-1</v>
      </c>
      <c r="AV127" s="406">
        <f t="shared" si="100"/>
        <v>-1</v>
      </c>
      <c r="AW127" s="406" t="e">
        <f t="shared" si="101"/>
        <v>#DIV/0!</v>
      </c>
    </row>
    <row r="128" spans="1:49" ht="45" x14ac:dyDescent="0.25">
      <c r="A128" s="339">
        <v>2122122</v>
      </c>
      <c r="B128" s="340" t="s">
        <v>64</v>
      </c>
      <c r="C128" s="367">
        <f>+C129+C130+C131</f>
        <v>10900000</v>
      </c>
      <c r="D128" s="367">
        <f t="shared" ref="D128:G128" si="181">+D129+D130+D131</f>
        <v>3000000</v>
      </c>
      <c r="E128" s="367">
        <f t="shared" si="181"/>
        <v>0</v>
      </c>
      <c r="F128" s="367">
        <f t="shared" si="181"/>
        <v>0</v>
      </c>
      <c r="G128" s="367">
        <f t="shared" si="181"/>
        <v>13900000</v>
      </c>
      <c r="H128" s="57">
        <f>+H129+H130+H131</f>
        <v>10900000</v>
      </c>
      <c r="I128" s="208">
        <f t="shared" ref="I128:V128" si="182">+I129+I130+I131</f>
        <v>0</v>
      </c>
      <c r="J128" s="208">
        <f t="shared" si="182"/>
        <v>5450000</v>
      </c>
      <c r="K128" s="208">
        <f t="shared" si="182"/>
        <v>0</v>
      </c>
      <c r="L128" s="208">
        <f t="shared" si="182"/>
        <v>0</v>
      </c>
      <c r="M128" s="208">
        <f t="shared" si="182"/>
        <v>0</v>
      </c>
      <c r="N128" s="208">
        <f t="shared" si="182"/>
        <v>0</v>
      </c>
      <c r="O128" s="208">
        <f t="shared" si="182"/>
        <v>0</v>
      </c>
      <c r="P128" s="208">
        <f t="shared" si="182"/>
        <v>5450000</v>
      </c>
      <c r="Q128" s="208">
        <f t="shared" si="182"/>
        <v>1500000</v>
      </c>
      <c r="R128" s="208">
        <f t="shared" si="182"/>
        <v>1500000</v>
      </c>
      <c r="S128" s="208">
        <f t="shared" si="182"/>
        <v>0</v>
      </c>
      <c r="T128" s="208">
        <f t="shared" si="182"/>
        <v>0</v>
      </c>
      <c r="U128" s="413">
        <f t="shared" si="119"/>
        <v>13900000</v>
      </c>
      <c r="V128" s="57">
        <f t="shared" si="182"/>
        <v>13900000</v>
      </c>
      <c r="W128" s="396">
        <f t="shared" si="104"/>
        <v>13900000</v>
      </c>
      <c r="X128" s="396">
        <f t="shared" si="105"/>
        <v>0</v>
      </c>
      <c r="Y128" s="396"/>
      <c r="Z128" s="55"/>
      <c r="AA128" s="209">
        <f t="shared" ref="AA128:AD128" si="183">+AA129+AA130+AA131</f>
        <v>1700000</v>
      </c>
      <c r="AB128" s="209">
        <f t="shared" si="183"/>
        <v>797500</v>
      </c>
      <c r="AC128" s="209">
        <f t="shared" si="183"/>
        <v>0</v>
      </c>
      <c r="AD128" s="209">
        <f t="shared" si="183"/>
        <v>0</v>
      </c>
      <c r="AE128" s="209">
        <f>+AE129+AE130+AE131</f>
        <v>480600</v>
      </c>
      <c r="AF128" s="209">
        <f t="shared" ref="AF128:AG128" si="184">+AF129+AF130+AF131</f>
        <v>0</v>
      </c>
      <c r="AG128" s="209">
        <f t="shared" si="184"/>
        <v>0</v>
      </c>
      <c r="AH128" s="367">
        <v>0</v>
      </c>
      <c r="AI128" s="367">
        <v>0</v>
      </c>
      <c r="AJ128" s="367">
        <v>0</v>
      </c>
      <c r="AK128" s="209">
        <f t="shared" si="116"/>
        <v>2978100</v>
      </c>
      <c r="AL128" s="387"/>
      <c r="AM128" s="405" t="e">
        <f t="shared" si="91"/>
        <v>#DIV/0!</v>
      </c>
      <c r="AN128" s="405">
        <f t="shared" si="92"/>
        <v>-0.85366972477064218</v>
      </c>
      <c r="AO128" s="405" t="e">
        <f t="shared" si="93"/>
        <v>#DIV/0!</v>
      </c>
      <c r="AP128" s="405" t="e">
        <f t="shared" si="94"/>
        <v>#DIV/0!</v>
      </c>
      <c r="AQ128" s="405" t="e">
        <f t="shared" si="95"/>
        <v>#DIV/0!</v>
      </c>
      <c r="AR128" s="405" t="e">
        <f t="shared" si="96"/>
        <v>#DIV/0!</v>
      </c>
      <c r="AS128" s="405" t="e">
        <f t="shared" si="97"/>
        <v>#DIV/0!</v>
      </c>
      <c r="AT128" s="405">
        <f t="shared" si="98"/>
        <v>-1</v>
      </c>
      <c r="AU128" s="405">
        <f t="shared" si="99"/>
        <v>-1</v>
      </c>
      <c r="AV128" s="405">
        <f t="shared" si="100"/>
        <v>-1</v>
      </c>
      <c r="AW128" s="405" t="e">
        <f t="shared" si="101"/>
        <v>#DIV/0!</v>
      </c>
    </row>
    <row r="129" spans="1:49" s="70" customFormat="1" x14ac:dyDescent="0.25">
      <c r="A129" s="341">
        <v>21221225</v>
      </c>
      <c r="B129" s="342" t="s">
        <v>567</v>
      </c>
      <c r="C129" s="368">
        <v>5000000</v>
      </c>
      <c r="D129" s="368">
        <v>3000000</v>
      </c>
      <c r="E129" s="368">
        <v>0</v>
      </c>
      <c r="F129" s="368">
        <v>0</v>
      </c>
      <c r="G129" s="368">
        <f t="shared" ref="G129:G131" si="185">+C129+D129-E129+F129</f>
        <v>8000000</v>
      </c>
      <c r="H129" s="58">
        <v>5000000</v>
      </c>
      <c r="I129" s="210">
        <v>0</v>
      </c>
      <c r="J129" s="210">
        <v>2500000</v>
      </c>
      <c r="K129" s="210">
        <v>0</v>
      </c>
      <c r="L129" s="210">
        <v>0</v>
      </c>
      <c r="M129" s="210">
        <v>0</v>
      </c>
      <c r="N129" s="210">
        <v>0</v>
      </c>
      <c r="O129" s="210">
        <v>0</v>
      </c>
      <c r="P129" s="210">
        <v>2500000</v>
      </c>
      <c r="Q129" s="210">
        <v>1500000</v>
      </c>
      <c r="R129" s="210">
        <v>1500000</v>
      </c>
      <c r="S129" s="210">
        <v>0</v>
      </c>
      <c r="T129" s="210">
        <v>0</v>
      </c>
      <c r="U129" s="412">
        <f t="shared" si="119"/>
        <v>8000000</v>
      </c>
      <c r="V129" s="58">
        <f t="shared" si="132"/>
        <v>8000000</v>
      </c>
      <c r="W129" s="396">
        <f t="shared" si="104"/>
        <v>8000000</v>
      </c>
      <c r="X129" s="396">
        <f t="shared" si="105"/>
        <v>0</v>
      </c>
      <c r="Y129" s="396"/>
      <c r="Z129" s="53"/>
      <c r="AA129" s="210">
        <v>400000</v>
      </c>
      <c r="AB129" s="210">
        <v>180000</v>
      </c>
      <c r="AC129" s="210">
        <v>0</v>
      </c>
      <c r="AD129" s="210">
        <v>0</v>
      </c>
      <c r="AE129" s="210">
        <v>12250</v>
      </c>
      <c r="AF129" s="210">
        <v>0</v>
      </c>
      <c r="AG129" s="210">
        <v>0</v>
      </c>
      <c r="AH129" s="368">
        <v>0</v>
      </c>
      <c r="AI129" s="368">
        <v>0</v>
      </c>
      <c r="AJ129" s="368">
        <v>0</v>
      </c>
      <c r="AK129" s="210">
        <f t="shared" si="116"/>
        <v>592250</v>
      </c>
      <c r="AL129" s="387"/>
      <c r="AM129" s="404" t="e">
        <f t="shared" si="91"/>
        <v>#DIV/0!</v>
      </c>
      <c r="AN129" s="404">
        <f t="shared" si="92"/>
        <v>-0.92800000000000005</v>
      </c>
      <c r="AO129" s="404" t="e">
        <f t="shared" si="93"/>
        <v>#DIV/0!</v>
      </c>
      <c r="AP129" s="404" t="e">
        <f t="shared" si="94"/>
        <v>#DIV/0!</v>
      </c>
      <c r="AQ129" s="404" t="e">
        <f t="shared" si="95"/>
        <v>#DIV/0!</v>
      </c>
      <c r="AR129" s="404" t="e">
        <f t="shared" si="96"/>
        <v>#DIV/0!</v>
      </c>
      <c r="AS129" s="404" t="e">
        <f t="shared" si="97"/>
        <v>#DIV/0!</v>
      </c>
      <c r="AT129" s="404">
        <f t="shared" si="98"/>
        <v>-1</v>
      </c>
      <c r="AU129" s="404">
        <f t="shared" si="99"/>
        <v>-1</v>
      </c>
      <c r="AV129" s="404">
        <f t="shared" si="100"/>
        <v>-1</v>
      </c>
      <c r="AW129" s="404" t="e">
        <f t="shared" si="101"/>
        <v>#DIV/0!</v>
      </c>
    </row>
    <row r="130" spans="1:49" s="70" customFormat="1" x14ac:dyDescent="0.25">
      <c r="A130" s="341">
        <v>21221228</v>
      </c>
      <c r="B130" s="342" t="s">
        <v>568</v>
      </c>
      <c r="C130" s="368">
        <v>5000000</v>
      </c>
      <c r="D130" s="368">
        <v>0</v>
      </c>
      <c r="E130" s="368">
        <v>0</v>
      </c>
      <c r="F130" s="368">
        <v>0</v>
      </c>
      <c r="G130" s="368">
        <f t="shared" si="185"/>
        <v>5000000</v>
      </c>
      <c r="H130" s="58">
        <v>5000000</v>
      </c>
      <c r="I130" s="210">
        <v>0</v>
      </c>
      <c r="J130" s="210">
        <v>2500000</v>
      </c>
      <c r="K130" s="210">
        <v>0</v>
      </c>
      <c r="L130" s="210">
        <v>0</v>
      </c>
      <c r="M130" s="210">
        <v>0</v>
      </c>
      <c r="N130" s="210">
        <v>0</v>
      </c>
      <c r="O130" s="210">
        <v>0</v>
      </c>
      <c r="P130" s="210">
        <v>2500000</v>
      </c>
      <c r="Q130" s="210">
        <v>0</v>
      </c>
      <c r="R130" s="210">
        <v>0</v>
      </c>
      <c r="S130" s="210">
        <v>0</v>
      </c>
      <c r="T130" s="210">
        <v>0</v>
      </c>
      <c r="U130" s="412">
        <f t="shared" si="119"/>
        <v>5000000</v>
      </c>
      <c r="V130" s="58">
        <f t="shared" si="132"/>
        <v>5000000</v>
      </c>
      <c r="W130" s="396">
        <f t="shared" si="104"/>
        <v>5000000</v>
      </c>
      <c r="X130" s="396">
        <f t="shared" si="105"/>
        <v>0</v>
      </c>
      <c r="Y130" s="396"/>
      <c r="Z130" s="53"/>
      <c r="AA130" s="210">
        <v>800000</v>
      </c>
      <c r="AB130" s="210">
        <v>617500</v>
      </c>
      <c r="AC130" s="210">
        <v>0</v>
      </c>
      <c r="AD130" s="210">
        <v>0</v>
      </c>
      <c r="AE130" s="210">
        <v>103200</v>
      </c>
      <c r="AF130" s="210">
        <v>0</v>
      </c>
      <c r="AG130" s="210">
        <v>0</v>
      </c>
      <c r="AH130" s="368">
        <v>0</v>
      </c>
      <c r="AI130" s="368">
        <v>0</v>
      </c>
      <c r="AJ130" s="368">
        <v>0</v>
      </c>
      <c r="AK130" s="210">
        <f t="shared" si="116"/>
        <v>1520700</v>
      </c>
      <c r="AL130" s="387"/>
      <c r="AM130" s="404" t="e">
        <f t="shared" ref="AM130:AM193" si="186">(AA130-I130)/I130</f>
        <v>#DIV/0!</v>
      </c>
      <c r="AN130" s="404">
        <f t="shared" ref="AN130:AN193" si="187">(AB130-J130)/J130</f>
        <v>-0.753</v>
      </c>
      <c r="AO130" s="404" t="e">
        <f t="shared" ref="AO130:AO193" si="188">(AC130-K130)/K130</f>
        <v>#DIV/0!</v>
      </c>
      <c r="AP130" s="404" t="e">
        <f t="shared" ref="AP130:AP193" si="189">(AD130-L130)/L130</f>
        <v>#DIV/0!</v>
      </c>
      <c r="AQ130" s="404" t="e">
        <f t="shared" ref="AQ130:AQ193" si="190">(AE130-M130)/M130</f>
        <v>#DIV/0!</v>
      </c>
      <c r="AR130" s="404" t="e">
        <f t="shared" ref="AR130:AR193" si="191">(AF130-N130)/N130</f>
        <v>#DIV/0!</v>
      </c>
      <c r="AS130" s="404" t="e">
        <f t="shared" ref="AS130:AS193" si="192">(AG130-O130)/O130</f>
        <v>#DIV/0!</v>
      </c>
      <c r="AT130" s="404">
        <f t="shared" ref="AT130:AT193" si="193">(AH130-P130)/P130</f>
        <v>-1</v>
      </c>
      <c r="AU130" s="404" t="e">
        <f t="shared" ref="AU130:AU193" si="194">(AI130-Q130)/Q130</f>
        <v>#DIV/0!</v>
      </c>
      <c r="AV130" s="404" t="e">
        <f t="shared" ref="AV130:AV193" si="195">(AJ130-R130)/R130</f>
        <v>#DIV/0!</v>
      </c>
      <c r="AW130" s="404" t="e">
        <f t="shared" ref="AW130:AW193" si="196">(AK130-S130)/S130</f>
        <v>#DIV/0!</v>
      </c>
    </row>
    <row r="131" spans="1:49" x14ac:dyDescent="0.25">
      <c r="A131" s="341">
        <v>21221229</v>
      </c>
      <c r="B131" s="342" t="s">
        <v>569</v>
      </c>
      <c r="C131" s="368">
        <v>900000</v>
      </c>
      <c r="D131" s="368">
        <v>0</v>
      </c>
      <c r="E131" s="368">
        <v>0</v>
      </c>
      <c r="F131" s="368">
        <v>0</v>
      </c>
      <c r="G131" s="368">
        <f t="shared" si="185"/>
        <v>900000</v>
      </c>
      <c r="H131" s="58">
        <v>900000</v>
      </c>
      <c r="I131" s="210">
        <v>0</v>
      </c>
      <c r="J131" s="210">
        <v>450000</v>
      </c>
      <c r="K131" s="210">
        <v>0</v>
      </c>
      <c r="L131" s="210">
        <v>0</v>
      </c>
      <c r="M131" s="210">
        <v>0</v>
      </c>
      <c r="N131" s="210">
        <v>0</v>
      </c>
      <c r="O131" s="210">
        <v>0</v>
      </c>
      <c r="P131" s="210">
        <v>450000</v>
      </c>
      <c r="Q131" s="210">
        <v>0</v>
      </c>
      <c r="R131" s="210">
        <v>0</v>
      </c>
      <c r="S131" s="210">
        <v>0</v>
      </c>
      <c r="T131" s="210">
        <v>0</v>
      </c>
      <c r="U131" s="412">
        <f t="shared" si="119"/>
        <v>900000</v>
      </c>
      <c r="V131" s="58">
        <f t="shared" si="132"/>
        <v>900000</v>
      </c>
      <c r="W131" s="396">
        <f t="shared" ref="W131:W194" si="197">+G131</f>
        <v>900000</v>
      </c>
      <c r="X131" s="396">
        <f t="shared" ref="X131:X194" si="198">+W131-V131</f>
        <v>0</v>
      </c>
      <c r="Y131" s="396"/>
      <c r="AA131" s="210">
        <v>500000</v>
      </c>
      <c r="AB131" s="210">
        <v>0</v>
      </c>
      <c r="AC131" s="210">
        <v>0</v>
      </c>
      <c r="AD131" s="210">
        <v>0</v>
      </c>
      <c r="AE131" s="210">
        <v>365150</v>
      </c>
      <c r="AF131" s="210">
        <v>0</v>
      </c>
      <c r="AG131" s="210">
        <v>0</v>
      </c>
      <c r="AH131" s="368">
        <v>0</v>
      </c>
      <c r="AI131" s="368">
        <v>0</v>
      </c>
      <c r="AJ131" s="368">
        <v>0</v>
      </c>
      <c r="AK131" s="210">
        <f t="shared" si="116"/>
        <v>865150</v>
      </c>
      <c r="AL131" s="386"/>
      <c r="AM131" s="404" t="e">
        <f t="shared" si="186"/>
        <v>#DIV/0!</v>
      </c>
      <c r="AN131" s="404">
        <f t="shared" si="187"/>
        <v>-1</v>
      </c>
      <c r="AO131" s="404" t="e">
        <f t="shared" si="188"/>
        <v>#DIV/0!</v>
      </c>
      <c r="AP131" s="404" t="e">
        <f t="shared" si="189"/>
        <v>#DIV/0!</v>
      </c>
      <c r="AQ131" s="404" t="e">
        <f t="shared" si="190"/>
        <v>#DIV/0!</v>
      </c>
      <c r="AR131" s="404" t="e">
        <f t="shared" si="191"/>
        <v>#DIV/0!</v>
      </c>
      <c r="AS131" s="404" t="e">
        <f t="shared" si="192"/>
        <v>#DIV/0!</v>
      </c>
      <c r="AT131" s="404">
        <f t="shared" si="193"/>
        <v>-1</v>
      </c>
      <c r="AU131" s="404" t="e">
        <f t="shared" si="194"/>
        <v>#DIV/0!</v>
      </c>
      <c r="AV131" s="404" t="e">
        <f t="shared" si="195"/>
        <v>#DIV/0!</v>
      </c>
      <c r="AW131" s="404" t="e">
        <f t="shared" si="196"/>
        <v>#DIV/0!</v>
      </c>
    </row>
    <row r="132" spans="1:49" x14ac:dyDescent="0.25">
      <c r="A132" s="339">
        <v>2122123</v>
      </c>
      <c r="B132" s="340" t="s">
        <v>65</v>
      </c>
      <c r="C132" s="367">
        <f>+C133</f>
        <v>259410500</v>
      </c>
      <c r="D132" s="367">
        <f t="shared" ref="D132:G132" si="199">+D133</f>
        <v>0</v>
      </c>
      <c r="E132" s="367">
        <f t="shared" si="199"/>
        <v>0</v>
      </c>
      <c r="F132" s="367">
        <f t="shared" si="199"/>
        <v>0</v>
      </c>
      <c r="G132" s="367">
        <f t="shared" si="199"/>
        <v>259410500</v>
      </c>
      <c r="H132" s="57">
        <f>+H133</f>
        <v>259410500.00999999</v>
      </c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  <c r="S132" s="208"/>
      <c r="T132" s="208"/>
      <c r="U132" s="413">
        <f t="shared" si="119"/>
        <v>0</v>
      </c>
      <c r="V132" s="57">
        <f>+V133</f>
        <v>259410500.00999999</v>
      </c>
      <c r="W132" s="396">
        <f t="shared" si="197"/>
        <v>259410500</v>
      </c>
      <c r="X132" s="396">
        <f t="shared" si="198"/>
        <v>-9.9999904632568359E-3</v>
      </c>
      <c r="Y132" s="396"/>
      <c r="AA132" s="208">
        <v>0</v>
      </c>
      <c r="AB132" s="209">
        <v>0</v>
      </c>
      <c r="AC132" s="209">
        <v>0</v>
      </c>
      <c r="AD132" s="209">
        <v>0</v>
      </c>
      <c r="AE132" s="209">
        <v>0</v>
      </c>
      <c r="AF132" s="209">
        <v>0</v>
      </c>
      <c r="AG132" s="209">
        <v>0</v>
      </c>
      <c r="AH132" s="367">
        <v>0</v>
      </c>
      <c r="AI132" s="367">
        <v>0</v>
      </c>
      <c r="AJ132" s="367">
        <v>0</v>
      </c>
      <c r="AK132" s="209">
        <f t="shared" si="116"/>
        <v>0</v>
      </c>
      <c r="AL132" s="387"/>
      <c r="AM132" s="405" t="e">
        <f t="shared" si="186"/>
        <v>#DIV/0!</v>
      </c>
      <c r="AN132" s="405" t="e">
        <f t="shared" si="187"/>
        <v>#DIV/0!</v>
      </c>
      <c r="AO132" s="405" t="e">
        <f t="shared" si="188"/>
        <v>#DIV/0!</v>
      </c>
      <c r="AP132" s="405" t="e">
        <f t="shared" si="189"/>
        <v>#DIV/0!</v>
      </c>
      <c r="AQ132" s="405" t="e">
        <f t="shared" si="190"/>
        <v>#DIV/0!</v>
      </c>
      <c r="AR132" s="405" t="e">
        <f t="shared" si="191"/>
        <v>#DIV/0!</v>
      </c>
      <c r="AS132" s="405" t="e">
        <f t="shared" si="192"/>
        <v>#DIV/0!</v>
      </c>
      <c r="AT132" s="405" t="e">
        <f t="shared" si="193"/>
        <v>#DIV/0!</v>
      </c>
      <c r="AU132" s="405" t="e">
        <f t="shared" si="194"/>
        <v>#DIV/0!</v>
      </c>
      <c r="AV132" s="405" t="e">
        <f t="shared" si="195"/>
        <v>#DIV/0!</v>
      </c>
      <c r="AW132" s="405" t="e">
        <f t="shared" si="196"/>
        <v>#DIV/0!</v>
      </c>
    </row>
    <row r="133" spans="1:49" x14ac:dyDescent="0.25">
      <c r="A133" s="341">
        <v>21221238</v>
      </c>
      <c r="B133" s="342" t="s">
        <v>570</v>
      </c>
      <c r="C133" s="368">
        <v>259410500</v>
      </c>
      <c r="D133" s="368">
        <v>0</v>
      </c>
      <c r="E133" s="368">
        <v>0</v>
      </c>
      <c r="F133" s="368">
        <v>0</v>
      </c>
      <c r="G133" s="368">
        <f t="shared" ref="G133" si="200">+C133+D133-E133+F133</f>
        <v>259410500</v>
      </c>
      <c r="H133" s="58">
        <v>259410500.00999999</v>
      </c>
      <c r="I133" s="210">
        <v>0</v>
      </c>
      <c r="J133" s="210">
        <v>0</v>
      </c>
      <c r="K133" s="210">
        <v>0</v>
      </c>
      <c r="L133" s="210">
        <v>86470166.670000002</v>
      </c>
      <c r="M133" s="210">
        <v>0</v>
      </c>
      <c r="N133" s="210">
        <v>0</v>
      </c>
      <c r="O133" s="210">
        <v>0</v>
      </c>
      <c r="P133" s="210">
        <v>86470166.670000002</v>
      </c>
      <c r="Q133" s="210">
        <v>0</v>
      </c>
      <c r="R133" s="210">
        <v>0</v>
      </c>
      <c r="S133" s="210">
        <v>86470166.670000002</v>
      </c>
      <c r="T133" s="210">
        <v>0</v>
      </c>
      <c r="U133" s="412">
        <f t="shared" si="119"/>
        <v>172940333.34</v>
      </c>
      <c r="V133" s="58">
        <f t="shared" si="132"/>
        <v>259410500.00999999</v>
      </c>
      <c r="W133" s="396">
        <f t="shared" si="197"/>
        <v>259410500</v>
      </c>
      <c r="X133" s="396">
        <f t="shared" si="198"/>
        <v>-9.9999904632568359E-3</v>
      </c>
      <c r="Y133" s="396"/>
      <c r="AA133" s="210">
        <v>0</v>
      </c>
      <c r="AB133" s="210">
        <v>0</v>
      </c>
      <c r="AC133" s="210">
        <v>0</v>
      </c>
      <c r="AD133" s="210">
        <v>0</v>
      </c>
      <c r="AE133" s="210">
        <v>0</v>
      </c>
      <c r="AF133" s="210">
        <v>0</v>
      </c>
      <c r="AG133" s="210">
        <v>0</v>
      </c>
      <c r="AH133" s="368">
        <v>0</v>
      </c>
      <c r="AI133" s="368">
        <v>0</v>
      </c>
      <c r="AJ133" s="368">
        <v>0</v>
      </c>
      <c r="AK133" s="210">
        <f t="shared" si="116"/>
        <v>0</v>
      </c>
      <c r="AL133" s="386"/>
      <c r="AM133" s="404" t="e">
        <f t="shared" si="186"/>
        <v>#DIV/0!</v>
      </c>
      <c r="AN133" s="404" t="e">
        <f t="shared" si="187"/>
        <v>#DIV/0!</v>
      </c>
      <c r="AO133" s="404" t="e">
        <f t="shared" si="188"/>
        <v>#DIV/0!</v>
      </c>
      <c r="AP133" s="404">
        <f t="shared" si="189"/>
        <v>-1</v>
      </c>
      <c r="AQ133" s="404" t="e">
        <f t="shared" si="190"/>
        <v>#DIV/0!</v>
      </c>
      <c r="AR133" s="404" t="e">
        <f t="shared" si="191"/>
        <v>#DIV/0!</v>
      </c>
      <c r="AS133" s="404" t="e">
        <f t="shared" si="192"/>
        <v>#DIV/0!</v>
      </c>
      <c r="AT133" s="404">
        <f t="shared" si="193"/>
        <v>-1</v>
      </c>
      <c r="AU133" s="404" t="e">
        <f t="shared" si="194"/>
        <v>#DIV/0!</v>
      </c>
      <c r="AV133" s="404" t="e">
        <f t="shared" si="195"/>
        <v>#DIV/0!</v>
      </c>
      <c r="AW133" s="404">
        <f t="shared" si="196"/>
        <v>-1</v>
      </c>
    </row>
    <row r="134" spans="1:49" ht="45" x14ac:dyDescent="0.25">
      <c r="A134" s="337">
        <v>212213</v>
      </c>
      <c r="B134" s="338" t="s">
        <v>66</v>
      </c>
      <c r="C134" s="366">
        <f>+C135+C143+C145</f>
        <v>555400000</v>
      </c>
      <c r="D134" s="366">
        <f>+D135+D143+D145</f>
        <v>230551881</v>
      </c>
      <c r="E134" s="366">
        <f t="shared" ref="E134:G134" si="201">+E135+E143+E145</f>
        <v>40058470</v>
      </c>
      <c r="F134" s="366">
        <f t="shared" si="201"/>
        <v>140000000</v>
      </c>
      <c r="G134" s="366">
        <f t="shared" si="201"/>
        <v>885893411</v>
      </c>
      <c r="H134" s="366">
        <f t="shared" ref="H134:V134" si="202">+H135+H143+H145</f>
        <v>695400000</v>
      </c>
      <c r="I134" s="366">
        <f t="shared" si="202"/>
        <v>49795990.083333328</v>
      </c>
      <c r="J134" s="366">
        <f t="shared" si="202"/>
        <v>121295990.08333333</v>
      </c>
      <c r="K134" s="366">
        <f t="shared" si="202"/>
        <v>135795990.08333331</v>
      </c>
      <c r="L134" s="366">
        <f t="shared" si="202"/>
        <v>88795990.083333328</v>
      </c>
      <c r="M134" s="366">
        <f t="shared" si="202"/>
        <v>87695990.083333328</v>
      </c>
      <c r="N134" s="366">
        <f t="shared" si="202"/>
        <v>59795990.083333328</v>
      </c>
      <c r="O134" s="366">
        <f t="shared" si="202"/>
        <v>89795990.083333328</v>
      </c>
      <c r="P134" s="366">
        <f t="shared" si="202"/>
        <v>50795990.083333328</v>
      </c>
      <c r="Q134" s="366">
        <f t="shared" si="202"/>
        <v>50795990.083333328</v>
      </c>
      <c r="R134" s="366">
        <f t="shared" si="202"/>
        <v>50279520.083333328</v>
      </c>
      <c r="S134" s="366">
        <f t="shared" si="202"/>
        <v>54424990.083333328</v>
      </c>
      <c r="T134" s="366">
        <f t="shared" si="202"/>
        <v>46624990.083333328</v>
      </c>
      <c r="U134" s="417">
        <f t="shared" si="119"/>
        <v>784843430.83333349</v>
      </c>
      <c r="V134" s="366">
        <f t="shared" si="202"/>
        <v>885893411</v>
      </c>
      <c r="W134" s="396">
        <f t="shared" si="197"/>
        <v>885893411</v>
      </c>
      <c r="X134" s="396">
        <f t="shared" si="198"/>
        <v>0</v>
      </c>
      <c r="Y134" s="396"/>
      <c r="Z134" s="55"/>
      <c r="AA134" s="207">
        <f t="shared" ref="AA134:AI134" si="203">+AA135+AA145+AA143</f>
        <v>6000000</v>
      </c>
      <c r="AB134" s="207">
        <f t="shared" si="203"/>
        <v>5940000</v>
      </c>
      <c r="AC134" s="207">
        <f t="shared" si="203"/>
        <v>18570943</v>
      </c>
      <c r="AD134" s="207">
        <f t="shared" si="203"/>
        <v>8928047</v>
      </c>
      <c r="AE134" s="207">
        <f t="shared" si="203"/>
        <v>54764807</v>
      </c>
      <c r="AF134" s="207">
        <f t="shared" si="203"/>
        <v>13231619</v>
      </c>
      <c r="AG134" s="207">
        <f t="shared" si="203"/>
        <v>13123753</v>
      </c>
      <c r="AH134" s="207">
        <f t="shared" si="203"/>
        <v>20014664.880000003</v>
      </c>
      <c r="AI134" s="207">
        <f t="shared" si="203"/>
        <v>84122011.140000001</v>
      </c>
      <c r="AJ134" s="207">
        <v>2416079</v>
      </c>
      <c r="AK134" s="207">
        <f t="shared" si="116"/>
        <v>227111924.01999998</v>
      </c>
      <c r="AL134" s="386"/>
      <c r="AM134" s="406">
        <f t="shared" si="186"/>
        <v>-0.87950837025312623</v>
      </c>
      <c r="AN134" s="406">
        <f t="shared" si="187"/>
        <v>-0.95102888400581853</v>
      </c>
      <c r="AO134" s="406">
        <f t="shared" si="188"/>
        <v>-0.86324380426400182</v>
      </c>
      <c r="AP134" s="406">
        <f t="shared" si="189"/>
        <v>-0.8994543898702948</v>
      </c>
      <c r="AQ134" s="406">
        <f t="shared" si="190"/>
        <v>-0.37551526645677175</v>
      </c>
      <c r="AR134" s="406">
        <f t="shared" si="191"/>
        <v>-0.77872063023690963</v>
      </c>
      <c r="AS134" s="406">
        <f t="shared" si="192"/>
        <v>-0.85384923104226851</v>
      </c>
      <c r="AT134" s="406">
        <f t="shared" si="193"/>
        <v>-0.60597943169992441</v>
      </c>
      <c r="AU134" s="406">
        <f t="shared" si="194"/>
        <v>0.65607582413481247</v>
      </c>
      <c r="AV134" s="406">
        <f t="shared" si="195"/>
        <v>-0.95194705526234957</v>
      </c>
      <c r="AW134" s="406">
        <f t="shared" si="196"/>
        <v>3.1729345962627731</v>
      </c>
    </row>
    <row r="135" spans="1:49" ht="45" x14ac:dyDescent="0.25">
      <c r="A135" s="339">
        <v>2122132</v>
      </c>
      <c r="B135" s="340" t="s">
        <v>67</v>
      </c>
      <c r="C135" s="367">
        <f>SUM(C136:C142)</f>
        <v>172500000</v>
      </c>
      <c r="D135" s="367">
        <f t="shared" ref="D135:G135" si="204">SUM(D136:D142)</f>
        <v>0</v>
      </c>
      <c r="E135" s="367">
        <f t="shared" si="204"/>
        <v>35942000</v>
      </c>
      <c r="F135" s="367">
        <f t="shared" si="204"/>
        <v>0</v>
      </c>
      <c r="G135" s="367">
        <f t="shared" si="204"/>
        <v>136558000</v>
      </c>
      <c r="H135" s="367">
        <f t="shared" ref="H135:V135" si="205">SUM(H136:H142)</f>
        <v>172500000</v>
      </c>
      <c r="I135" s="367">
        <f t="shared" si="205"/>
        <v>8750000</v>
      </c>
      <c r="J135" s="367">
        <f t="shared" si="205"/>
        <v>20750000</v>
      </c>
      <c r="K135" s="367">
        <f t="shared" si="205"/>
        <v>13750000</v>
      </c>
      <c r="L135" s="367">
        <f t="shared" si="205"/>
        <v>12250000</v>
      </c>
      <c r="M135" s="367">
        <f t="shared" si="205"/>
        <v>15750000</v>
      </c>
      <c r="N135" s="367">
        <f t="shared" si="205"/>
        <v>8750000</v>
      </c>
      <c r="O135" s="367">
        <f t="shared" si="205"/>
        <v>8750000</v>
      </c>
      <c r="P135" s="367">
        <f t="shared" si="205"/>
        <v>8750000</v>
      </c>
      <c r="Q135" s="367">
        <f t="shared" si="205"/>
        <v>8750000</v>
      </c>
      <c r="R135" s="367">
        <f t="shared" si="205"/>
        <v>8750000</v>
      </c>
      <c r="S135" s="367">
        <f t="shared" si="205"/>
        <v>10779000</v>
      </c>
      <c r="T135" s="367">
        <f t="shared" si="205"/>
        <v>10779000</v>
      </c>
      <c r="U135" s="418">
        <f t="shared" si="119"/>
        <v>115000000</v>
      </c>
      <c r="V135" s="367">
        <f t="shared" si="205"/>
        <v>136558000</v>
      </c>
      <c r="W135" s="396">
        <f t="shared" si="197"/>
        <v>136558000</v>
      </c>
      <c r="X135" s="396">
        <f t="shared" si="198"/>
        <v>0</v>
      </c>
      <c r="Y135" s="396"/>
      <c r="Z135" s="55"/>
      <c r="AA135" s="209">
        <f t="shared" ref="AA135:AE135" si="206">SUM(AA136:AA142)</f>
        <v>3000000</v>
      </c>
      <c r="AB135" s="209">
        <f t="shared" si="206"/>
        <v>0</v>
      </c>
      <c r="AC135" s="209">
        <f t="shared" si="206"/>
        <v>9690780</v>
      </c>
      <c r="AD135" s="209">
        <f t="shared" si="206"/>
        <v>291010</v>
      </c>
      <c r="AE135" s="209">
        <f t="shared" si="206"/>
        <v>29297800</v>
      </c>
      <c r="AF135" s="209">
        <f>SUM(AF136:AF142)</f>
        <v>892091</v>
      </c>
      <c r="AG135" s="209">
        <f t="shared" ref="AG135:AI135" si="207">SUM(AG136:AG142)</f>
        <v>138000</v>
      </c>
      <c r="AH135" s="209">
        <f t="shared" si="207"/>
        <v>307930</v>
      </c>
      <c r="AI135" s="209">
        <f t="shared" si="207"/>
        <v>35020100</v>
      </c>
      <c r="AJ135" s="209">
        <v>86500</v>
      </c>
      <c r="AK135" s="209">
        <f t="shared" si="116"/>
        <v>78724211</v>
      </c>
      <c r="AL135" s="387"/>
      <c r="AM135" s="405">
        <f t="shared" si="186"/>
        <v>-0.65714285714285714</v>
      </c>
      <c r="AN135" s="405">
        <f t="shared" si="187"/>
        <v>-1</v>
      </c>
      <c r="AO135" s="405">
        <f t="shared" si="188"/>
        <v>-0.29521599999999998</v>
      </c>
      <c r="AP135" s="405">
        <f t="shared" si="189"/>
        <v>-0.97624408163265308</v>
      </c>
      <c r="AQ135" s="405">
        <f t="shared" si="190"/>
        <v>0.86017777777777782</v>
      </c>
      <c r="AR135" s="405">
        <f t="shared" si="191"/>
        <v>-0.89804674285714281</v>
      </c>
      <c r="AS135" s="405">
        <f t="shared" si="192"/>
        <v>-0.98422857142857145</v>
      </c>
      <c r="AT135" s="405">
        <f t="shared" si="193"/>
        <v>-0.964808</v>
      </c>
      <c r="AU135" s="405">
        <f t="shared" si="194"/>
        <v>3.002297142857143</v>
      </c>
      <c r="AV135" s="405">
        <f t="shared" si="195"/>
        <v>-0.99011428571428572</v>
      </c>
      <c r="AW135" s="405">
        <f t="shared" si="196"/>
        <v>6.3034800074218387</v>
      </c>
    </row>
    <row r="136" spans="1:49" s="70" customFormat="1" x14ac:dyDescent="0.25">
      <c r="A136" s="341">
        <v>21221321</v>
      </c>
      <c r="B136" s="342" t="s">
        <v>571</v>
      </c>
      <c r="C136" s="368">
        <v>80000000</v>
      </c>
      <c r="D136" s="368">
        <v>0</v>
      </c>
      <c r="E136" s="368">
        <v>0</v>
      </c>
      <c r="F136" s="368">
        <v>0</v>
      </c>
      <c r="G136" s="368">
        <f t="shared" ref="G136:G142" si="208">+C136+D136-E136+F136</f>
        <v>80000000</v>
      </c>
      <c r="H136" s="59">
        <v>80000000</v>
      </c>
      <c r="I136" s="210">
        <v>6666666.6699999999</v>
      </c>
      <c r="J136" s="210">
        <v>6666666.6699999999</v>
      </c>
      <c r="K136" s="210">
        <v>6666666.6699999999</v>
      </c>
      <c r="L136" s="210">
        <v>6666666.6699999999</v>
      </c>
      <c r="M136" s="210">
        <v>6666666.6699999999</v>
      </c>
      <c r="N136" s="210">
        <v>6666666.6699999999</v>
      </c>
      <c r="O136" s="210">
        <v>6666666.6699999999</v>
      </c>
      <c r="P136" s="210">
        <v>6666666.6699999999</v>
      </c>
      <c r="Q136" s="210">
        <v>6666666.6699999999</v>
      </c>
      <c r="R136" s="210">
        <v>6666666.6699999999</v>
      </c>
      <c r="S136" s="210">
        <v>6666666.6699999999</v>
      </c>
      <c r="T136" s="210">
        <v>6666666.6299999999</v>
      </c>
      <c r="U136" s="412">
        <f t="shared" si="119"/>
        <v>66666666.70000001</v>
      </c>
      <c r="V136" s="58">
        <f t="shared" si="132"/>
        <v>80000000</v>
      </c>
      <c r="W136" s="396">
        <f t="shared" si="197"/>
        <v>80000000</v>
      </c>
      <c r="X136" s="396">
        <f t="shared" si="198"/>
        <v>0</v>
      </c>
      <c r="Y136" s="396"/>
      <c r="Z136" s="53"/>
      <c r="AA136" s="210">
        <v>600000</v>
      </c>
      <c r="AB136" s="210">
        <v>0</v>
      </c>
      <c r="AC136" s="210">
        <v>6618370</v>
      </c>
      <c r="AD136" s="210">
        <v>111860</v>
      </c>
      <c r="AE136" s="210">
        <v>29297800</v>
      </c>
      <c r="AF136" s="210">
        <v>65000</v>
      </c>
      <c r="AG136" s="210">
        <v>42000</v>
      </c>
      <c r="AH136" s="368">
        <v>180000</v>
      </c>
      <c r="AI136" s="368">
        <v>0</v>
      </c>
      <c r="AJ136" s="368">
        <v>0</v>
      </c>
      <c r="AK136" s="210">
        <f t="shared" si="116"/>
        <v>36915030</v>
      </c>
      <c r="AL136" s="387"/>
      <c r="AM136" s="404">
        <f t="shared" si="186"/>
        <v>-0.91000000004500003</v>
      </c>
      <c r="AN136" s="404">
        <f t="shared" si="187"/>
        <v>-1</v>
      </c>
      <c r="AO136" s="404">
        <f t="shared" si="188"/>
        <v>-7.2445004963777385E-3</v>
      </c>
      <c r="AP136" s="404">
        <f t="shared" si="189"/>
        <v>-0.98322100000838952</v>
      </c>
      <c r="AQ136" s="404">
        <f t="shared" si="190"/>
        <v>3.3946699978026649</v>
      </c>
      <c r="AR136" s="404">
        <f t="shared" si="191"/>
        <v>-0.99025000000487495</v>
      </c>
      <c r="AS136" s="404">
        <f t="shared" si="192"/>
        <v>-0.99370000000314995</v>
      </c>
      <c r="AT136" s="404">
        <f t="shared" si="193"/>
        <v>-0.97300000001349995</v>
      </c>
      <c r="AU136" s="404">
        <f t="shared" si="194"/>
        <v>-1</v>
      </c>
      <c r="AV136" s="404">
        <f t="shared" si="195"/>
        <v>-1</v>
      </c>
      <c r="AW136" s="404">
        <f t="shared" si="196"/>
        <v>4.5372544972313724</v>
      </c>
    </row>
    <row r="137" spans="1:49" x14ac:dyDescent="0.25">
      <c r="A137" s="341">
        <v>21221322</v>
      </c>
      <c r="B137" s="342" t="s">
        <v>572</v>
      </c>
      <c r="C137" s="368">
        <v>25000000</v>
      </c>
      <c r="D137" s="368">
        <v>0</v>
      </c>
      <c r="E137" s="368">
        <v>0</v>
      </c>
      <c r="F137" s="368">
        <v>0</v>
      </c>
      <c r="G137" s="368">
        <f t="shared" si="208"/>
        <v>25000000</v>
      </c>
      <c r="H137" s="59">
        <v>25000000</v>
      </c>
      <c r="I137" s="210">
        <v>2083333.33</v>
      </c>
      <c r="J137" s="210">
        <v>2083333.33</v>
      </c>
      <c r="K137" s="210">
        <v>2083333.33</v>
      </c>
      <c r="L137" s="210">
        <v>2083333.33</v>
      </c>
      <c r="M137" s="210">
        <v>2083333.33</v>
      </c>
      <c r="N137" s="210">
        <v>2083333.33</v>
      </c>
      <c r="O137" s="210">
        <v>2083333.33</v>
      </c>
      <c r="P137" s="210">
        <v>2083333.33</v>
      </c>
      <c r="Q137" s="210">
        <v>2083333.33</v>
      </c>
      <c r="R137" s="210">
        <v>2083333.33</v>
      </c>
      <c r="S137" s="210">
        <v>2083333.33</v>
      </c>
      <c r="T137" s="210">
        <v>2083333.37</v>
      </c>
      <c r="U137" s="412">
        <f t="shared" si="119"/>
        <v>20833333.299999997</v>
      </c>
      <c r="V137" s="58">
        <f t="shared" si="132"/>
        <v>24999999.999999996</v>
      </c>
      <c r="W137" s="396">
        <f t="shared" si="197"/>
        <v>25000000</v>
      </c>
      <c r="X137" s="396">
        <f t="shared" si="198"/>
        <v>0</v>
      </c>
      <c r="Y137" s="396"/>
      <c r="AA137" s="210">
        <v>0</v>
      </c>
      <c r="AB137" s="210">
        <v>0</v>
      </c>
      <c r="AC137" s="210">
        <v>0</v>
      </c>
      <c r="AD137" s="210">
        <v>0</v>
      </c>
      <c r="AE137" s="210">
        <v>0</v>
      </c>
      <c r="AF137" s="210">
        <v>0</v>
      </c>
      <c r="AG137" s="210">
        <v>0</v>
      </c>
      <c r="AH137" s="368">
        <v>0</v>
      </c>
      <c r="AI137" s="368">
        <v>25000000</v>
      </c>
      <c r="AJ137" s="368">
        <v>0</v>
      </c>
      <c r="AK137" s="210">
        <f t="shared" ref="AK137:AK200" si="209">SUM(AA137:AJ137)</f>
        <v>25000000</v>
      </c>
      <c r="AL137" s="387"/>
      <c r="AM137" s="404">
        <f t="shared" si="186"/>
        <v>-1</v>
      </c>
      <c r="AN137" s="404">
        <f t="shared" si="187"/>
        <v>-1</v>
      </c>
      <c r="AO137" s="404">
        <f t="shared" si="188"/>
        <v>-1</v>
      </c>
      <c r="AP137" s="404">
        <f t="shared" si="189"/>
        <v>-1</v>
      </c>
      <c r="AQ137" s="404">
        <f t="shared" si="190"/>
        <v>-1</v>
      </c>
      <c r="AR137" s="404">
        <f t="shared" si="191"/>
        <v>-1</v>
      </c>
      <c r="AS137" s="404">
        <f t="shared" si="192"/>
        <v>-1</v>
      </c>
      <c r="AT137" s="404">
        <f t="shared" si="193"/>
        <v>-1</v>
      </c>
      <c r="AU137" s="404">
        <f t="shared" si="194"/>
        <v>11.0000000192</v>
      </c>
      <c r="AV137" s="404">
        <f t="shared" si="195"/>
        <v>-1</v>
      </c>
      <c r="AW137" s="404">
        <f t="shared" si="196"/>
        <v>11.0000000192</v>
      </c>
    </row>
    <row r="138" spans="1:49" s="70" customFormat="1" ht="45" x14ac:dyDescent="0.25">
      <c r="A138" s="341">
        <v>21221323</v>
      </c>
      <c r="B138" s="342" t="s">
        <v>573</v>
      </c>
      <c r="C138" s="368">
        <v>8000000</v>
      </c>
      <c r="D138" s="368">
        <v>0</v>
      </c>
      <c r="E138" s="368">
        <v>0</v>
      </c>
      <c r="F138" s="368">
        <v>0</v>
      </c>
      <c r="G138" s="368">
        <f t="shared" si="208"/>
        <v>8000000</v>
      </c>
      <c r="H138" s="59">
        <v>8000000</v>
      </c>
      <c r="I138" s="210">
        <v>0</v>
      </c>
      <c r="J138" s="210">
        <v>4000000</v>
      </c>
      <c r="K138" s="210">
        <v>0</v>
      </c>
      <c r="L138" s="210">
        <v>0</v>
      </c>
      <c r="M138" s="210">
        <v>4000000</v>
      </c>
      <c r="N138" s="210">
        <v>0</v>
      </c>
      <c r="O138" s="210">
        <v>0</v>
      </c>
      <c r="P138" s="210">
        <v>0</v>
      </c>
      <c r="Q138" s="210">
        <v>0</v>
      </c>
      <c r="R138" s="210">
        <v>0</v>
      </c>
      <c r="S138" s="210">
        <v>0</v>
      </c>
      <c r="T138" s="210">
        <v>0</v>
      </c>
      <c r="U138" s="412">
        <f t="shared" ref="U138:U201" si="210">SUM(I138:R138)</f>
        <v>8000000</v>
      </c>
      <c r="V138" s="58">
        <f t="shared" si="132"/>
        <v>8000000</v>
      </c>
      <c r="W138" s="396">
        <f t="shared" si="197"/>
        <v>8000000</v>
      </c>
      <c r="X138" s="396">
        <f t="shared" si="198"/>
        <v>0</v>
      </c>
      <c r="Y138" s="396"/>
      <c r="Z138" s="53"/>
      <c r="AA138" s="210">
        <v>0</v>
      </c>
      <c r="AB138" s="210">
        <v>0</v>
      </c>
      <c r="AC138" s="210">
        <v>0</v>
      </c>
      <c r="AD138" s="210">
        <v>0</v>
      </c>
      <c r="AE138" s="210">
        <v>0</v>
      </c>
      <c r="AF138" s="210">
        <v>0</v>
      </c>
      <c r="AG138" s="210">
        <v>0</v>
      </c>
      <c r="AH138" s="368">
        <v>0</v>
      </c>
      <c r="AI138" s="368">
        <v>8000000</v>
      </c>
      <c r="AJ138" s="368">
        <v>0</v>
      </c>
      <c r="AK138" s="210">
        <f t="shared" si="209"/>
        <v>8000000</v>
      </c>
      <c r="AL138" s="387"/>
      <c r="AM138" s="404" t="e">
        <f t="shared" si="186"/>
        <v>#DIV/0!</v>
      </c>
      <c r="AN138" s="404">
        <f t="shared" si="187"/>
        <v>-1</v>
      </c>
      <c r="AO138" s="404" t="e">
        <f t="shared" si="188"/>
        <v>#DIV/0!</v>
      </c>
      <c r="AP138" s="404" t="e">
        <f t="shared" si="189"/>
        <v>#DIV/0!</v>
      </c>
      <c r="AQ138" s="404">
        <f t="shared" si="190"/>
        <v>-1</v>
      </c>
      <c r="AR138" s="404" t="e">
        <f t="shared" si="191"/>
        <v>#DIV/0!</v>
      </c>
      <c r="AS138" s="404" t="e">
        <f t="shared" si="192"/>
        <v>#DIV/0!</v>
      </c>
      <c r="AT138" s="404" t="e">
        <f t="shared" si="193"/>
        <v>#DIV/0!</v>
      </c>
      <c r="AU138" s="404" t="e">
        <f t="shared" si="194"/>
        <v>#DIV/0!</v>
      </c>
      <c r="AV138" s="404" t="e">
        <f t="shared" si="195"/>
        <v>#DIV/0!</v>
      </c>
      <c r="AW138" s="404" t="e">
        <f t="shared" si="196"/>
        <v>#DIV/0!</v>
      </c>
    </row>
    <row r="139" spans="1:49" ht="45" x14ac:dyDescent="0.25">
      <c r="A139" s="341">
        <v>21221324</v>
      </c>
      <c r="B139" s="342" t="s">
        <v>574</v>
      </c>
      <c r="C139" s="368">
        <v>15000000</v>
      </c>
      <c r="D139" s="368">
        <v>0</v>
      </c>
      <c r="E139" s="368">
        <v>0</v>
      </c>
      <c r="F139" s="368">
        <v>0</v>
      </c>
      <c r="G139" s="368">
        <f t="shared" si="208"/>
        <v>15000000</v>
      </c>
      <c r="H139" s="59">
        <v>15000000</v>
      </c>
      <c r="I139" s="210"/>
      <c r="J139" s="210">
        <v>5000000</v>
      </c>
      <c r="K139" s="210">
        <v>3500000</v>
      </c>
      <c r="L139" s="210">
        <v>3500000</v>
      </c>
      <c r="M139" s="210">
        <v>3000000</v>
      </c>
      <c r="N139" s="210"/>
      <c r="O139" s="210"/>
      <c r="P139" s="210"/>
      <c r="Q139" s="210"/>
      <c r="R139" s="210"/>
      <c r="S139" s="210"/>
      <c r="T139" s="210"/>
      <c r="U139" s="412">
        <f t="shared" si="210"/>
        <v>15000000</v>
      </c>
      <c r="V139" s="58">
        <f t="shared" si="132"/>
        <v>15000000</v>
      </c>
      <c r="W139" s="396">
        <f t="shared" si="197"/>
        <v>15000000</v>
      </c>
      <c r="X139" s="396">
        <f t="shared" si="198"/>
        <v>0</v>
      </c>
      <c r="Y139" s="396"/>
      <c r="AA139" s="210">
        <v>500000</v>
      </c>
      <c r="AB139" s="210">
        <v>0</v>
      </c>
      <c r="AC139" s="210">
        <v>0</v>
      </c>
      <c r="AD139" s="210">
        <v>0</v>
      </c>
      <c r="AE139" s="210">
        <v>0</v>
      </c>
      <c r="AF139" s="210">
        <v>0</v>
      </c>
      <c r="AG139" s="210">
        <v>0</v>
      </c>
      <c r="AH139" s="368">
        <v>0</v>
      </c>
      <c r="AI139" s="368">
        <v>2020100</v>
      </c>
      <c r="AJ139" s="368">
        <v>0</v>
      </c>
      <c r="AK139" s="210">
        <f t="shared" si="209"/>
        <v>2520100</v>
      </c>
      <c r="AL139" s="387"/>
      <c r="AM139" s="404" t="e">
        <f t="shared" si="186"/>
        <v>#DIV/0!</v>
      </c>
      <c r="AN139" s="404">
        <f t="shared" si="187"/>
        <v>-1</v>
      </c>
      <c r="AO139" s="404">
        <f t="shared" si="188"/>
        <v>-1</v>
      </c>
      <c r="AP139" s="404">
        <f t="shared" si="189"/>
        <v>-1</v>
      </c>
      <c r="AQ139" s="404">
        <f t="shared" si="190"/>
        <v>-1</v>
      </c>
      <c r="AR139" s="404" t="e">
        <f t="shared" si="191"/>
        <v>#DIV/0!</v>
      </c>
      <c r="AS139" s="404" t="e">
        <f t="shared" si="192"/>
        <v>#DIV/0!</v>
      </c>
      <c r="AT139" s="404" t="e">
        <f t="shared" si="193"/>
        <v>#DIV/0!</v>
      </c>
      <c r="AU139" s="404" t="e">
        <f t="shared" si="194"/>
        <v>#DIV/0!</v>
      </c>
      <c r="AV139" s="404" t="e">
        <f t="shared" si="195"/>
        <v>#DIV/0!</v>
      </c>
      <c r="AW139" s="404" t="e">
        <f t="shared" si="196"/>
        <v>#DIV/0!</v>
      </c>
    </row>
    <row r="140" spans="1:49" ht="45" x14ac:dyDescent="0.25">
      <c r="A140" s="341">
        <v>21221326</v>
      </c>
      <c r="B140" s="342" t="s">
        <v>575</v>
      </c>
      <c r="C140" s="368">
        <v>40000000</v>
      </c>
      <c r="D140" s="368">
        <v>0</v>
      </c>
      <c r="E140" s="368">
        <v>35942000</v>
      </c>
      <c r="F140" s="368">
        <v>0</v>
      </c>
      <c r="G140" s="368">
        <f t="shared" si="208"/>
        <v>4058000</v>
      </c>
      <c r="H140" s="59">
        <v>40000000</v>
      </c>
      <c r="I140" s="210"/>
      <c r="J140" s="210"/>
      <c r="K140" s="210"/>
      <c r="L140" s="210"/>
      <c r="M140" s="210"/>
      <c r="N140" s="210"/>
      <c r="O140" s="210"/>
      <c r="P140" s="210"/>
      <c r="Q140" s="210"/>
      <c r="R140" s="210"/>
      <c r="S140" s="210">
        <v>2029000</v>
      </c>
      <c r="T140" s="210">
        <v>2029000</v>
      </c>
      <c r="U140" s="412">
        <f t="shared" si="210"/>
        <v>0</v>
      </c>
      <c r="V140" s="58">
        <f t="shared" si="132"/>
        <v>4058000</v>
      </c>
      <c r="W140" s="396">
        <f t="shared" si="197"/>
        <v>4058000</v>
      </c>
      <c r="X140" s="396">
        <f t="shared" si="198"/>
        <v>0</v>
      </c>
      <c r="Y140" s="396">
        <f>+W140/2</f>
        <v>2029000</v>
      </c>
      <c r="AA140" s="210">
        <v>800000</v>
      </c>
      <c r="AB140" s="210">
        <v>0</v>
      </c>
      <c r="AC140" s="210">
        <v>2768000</v>
      </c>
      <c r="AD140" s="210">
        <v>150000</v>
      </c>
      <c r="AE140" s="210">
        <v>0</v>
      </c>
      <c r="AF140" s="210">
        <v>240000</v>
      </c>
      <c r="AG140" s="210">
        <v>0</v>
      </c>
      <c r="AH140" s="368">
        <v>0</v>
      </c>
      <c r="AI140" s="368">
        <v>0</v>
      </c>
      <c r="AJ140" s="368">
        <v>0</v>
      </c>
      <c r="AK140" s="210">
        <f t="shared" si="209"/>
        <v>3958000</v>
      </c>
      <c r="AL140" s="387"/>
      <c r="AM140" s="404" t="e">
        <f t="shared" si="186"/>
        <v>#DIV/0!</v>
      </c>
      <c r="AN140" s="404" t="e">
        <f t="shared" si="187"/>
        <v>#DIV/0!</v>
      </c>
      <c r="AO140" s="404" t="e">
        <f t="shared" si="188"/>
        <v>#DIV/0!</v>
      </c>
      <c r="AP140" s="404" t="e">
        <f t="shared" si="189"/>
        <v>#DIV/0!</v>
      </c>
      <c r="AQ140" s="404" t="e">
        <f t="shared" si="190"/>
        <v>#DIV/0!</v>
      </c>
      <c r="AR140" s="404" t="e">
        <f t="shared" si="191"/>
        <v>#DIV/0!</v>
      </c>
      <c r="AS140" s="404" t="e">
        <f t="shared" si="192"/>
        <v>#DIV/0!</v>
      </c>
      <c r="AT140" s="404" t="e">
        <f t="shared" si="193"/>
        <v>#DIV/0!</v>
      </c>
      <c r="AU140" s="404" t="e">
        <f t="shared" si="194"/>
        <v>#DIV/0!</v>
      </c>
      <c r="AV140" s="404" t="e">
        <f t="shared" si="195"/>
        <v>#DIV/0!</v>
      </c>
      <c r="AW140" s="404">
        <f t="shared" si="196"/>
        <v>0.95071463775258747</v>
      </c>
    </row>
    <row r="141" spans="1:49" s="70" customFormat="1" ht="45" x14ac:dyDescent="0.25">
      <c r="A141" s="341">
        <v>21221327</v>
      </c>
      <c r="B141" s="342" t="s">
        <v>638</v>
      </c>
      <c r="C141" s="368">
        <v>3000000</v>
      </c>
      <c r="D141" s="368">
        <v>0</v>
      </c>
      <c r="E141" s="368">
        <v>0</v>
      </c>
      <c r="F141" s="368">
        <v>0</v>
      </c>
      <c r="G141" s="368">
        <f t="shared" si="208"/>
        <v>3000000</v>
      </c>
      <c r="H141" s="59">
        <v>3000000</v>
      </c>
      <c r="I141" s="210"/>
      <c r="J141" s="210">
        <v>3000000</v>
      </c>
      <c r="K141" s="210"/>
      <c r="L141" s="210"/>
      <c r="M141" s="210"/>
      <c r="N141" s="210"/>
      <c r="O141" s="210"/>
      <c r="P141" s="210"/>
      <c r="Q141" s="210"/>
      <c r="R141" s="210"/>
      <c r="S141" s="210"/>
      <c r="T141" s="210"/>
      <c r="U141" s="412">
        <f t="shared" si="210"/>
        <v>3000000</v>
      </c>
      <c r="V141" s="58">
        <f t="shared" si="132"/>
        <v>3000000</v>
      </c>
      <c r="W141" s="396">
        <f t="shared" si="197"/>
        <v>3000000</v>
      </c>
      <c r="X141" s="396">
        <f t="shared" si="198"/>
        <v>0</v>
      </c>
      <c r="Y141" s="396"/>
      <c r="Z141" s="55"/>
      <c r="AA141" s="210">
        <v>700000</v>
      </c>
      <c r="AB141" s="210">
        <v>0</v>
      </c>
      <c r="AC141" s="210">
        <v>304410</v>
      </c>
      <c r="AD141" s="210">
        <v>29150</v>
      </c>
      <c r="AE141" s="210">
        <v>0</v>
      </c>
      <c r="AF141" s="210">
        <v>587091</v>
      </c>
      <c r="AG141" s="210">
        <v>96000</v>
      </c>
      <c r="AH141" s="368">
        <v>127930</v>
      </c>
      <c r="AI141" s="368">
        <v>0</v>
      </c>
      <c r="AJ141" s="368">
        <v>86500</v>
      </c>
      <c r="AK141" s="210">
        <f t="shared" si="209"/>
        <v>1931081</v>
      </c>
      <c r="AL141" s="387"/>
      <c r="AM141" s="404" t="e">
        <f t="shared" si="186"/>
        <v>#DIV/0!</v>
      </c>
      <c r="AN141" s="404">
        <f t="shared" si="187"/>
        <v>-1</v>
      </c>
      <c r="AO141" s="404" t="e">
        <f t="shared" si="188"/>
        <v>#DIV/0!</v>
      </c>
      <c r="AP141" s="404" t="e">
        <f t="shared" si="189"/>
        <v>#DIV/0!</v>
      </c>
      <c r="AQ141" s="404" t="e">
        <f t="shared" si="190"/>
        <v>#DIV/0!</v>
      </c>
      <c r="AR141" s="404" t="e">
        <f t="shared" si="191"/>
        <v>#DIV/0!</v>
      </c>
      <c r="AS141" s="404" t="e">
        <f t="shared" si="192"/>
        <v>#DIV/0!</v>
      </c>
      <c r="AT141" s="404" t="e">
        <f t="shared" si="193"/>
        <v>#DIV/0!</v>
      </c>
      <c r="AU141" s="404" t="e">
        <f t="shared" si="194"/>
        <v>#DIV/0!</v>
      </c>
      <c r="AV141" s="404" t="e">
        <f t="shared" si="195"/>
        <v>#DIV/0!</v>
      </c>
      <c r="AW141" s="404" t="e">
        <f t="shared" si="196"/>
        <v>#DIV/0!</v>
      </c>
    </row>
    <row r="142" spans="1:49" ht="45" x14ac:dyDescent="0.25">
      <c r="A142" s="341">
        <v>21221328</v>
      </c>
      <c r="B142" s="342" t="s">
        <v>639</v>
      </c>
      <c r="C142" s="368">
        <v>1500000</v>
      </c>
      <c r="D142" s="368">
        <v>0</v>
      </c>
      <c r="E142" s="368">
        <v>0</v>
      </c>
      <c r="F142" s="368">
        <v>0</v>
      </c>
      <c r="G142" s="368">
        <f t="shared" si="208"/>
        <v>1500000</v>
      </c>
      <c r="H142" s="59">
        <v>1500000</v>
      </c>
      <c r="I142" s="210">
        <v>0</v>
      </c>
      <c r="J142" s="210">
        <v>0</v>
      </c>
      <c r="K142" s="210">
        <v>1500000</v>
      </c>
      <c r="L142" s="210">
        <v>0</v>
      </c>
      <c r="M142" s="210">
        <v>0</v>
      </c>
      <c r="N142" s="210">
        <v>0</v>
      </c>
      <c r="O142" s="210">
        <v>0</v>
      </c>
      <c r="P142" s="210">
        <v>0</v>
      </c>
      <c r="Q142" s="210">
        <v>0</v>
      </c>
      <c r="R142" s="210">
        <v>0</v>
      </c>
      <c r="S142" s="210">
        <v>0</v>
      </c>
      <c r="T142" s="210">
        <v>0</v>
      </c>
      <c r="U142" s="412">
        <f t="shared" si="210"/>
        <v>1500000</v>
      </c>
      <c r="V142" s="58">
        <f t="shared" si="132"/>
        <v>1500000</v>
      </c>
      <c r="W142" s="396">
        <f t="shared" si="197"/>
        <v>1500000</v>
      </c>
      <c r="X142" s="396">
        <f t="shared" si="198"/>
        <v>0</v>
      </c>
      <c r="Y142" s="396"/>
      <c r="AA142" s="210">
        <v>400000</v>
      </c>
      <c r="AB142" s="210">
        <v>0</v>
      </c>
      <c r="AC142" s="210">
        <v>0</v>
      </c>
      <c r="AD142" s="210">
        <v>0</v>
      </c>
      <c r="AE142" s="210">
        <v>0</v>
      </c>
      <c r="AF142" s="210">
        <v>0</v>
      </c>
      <c r="AG142" s="210">
        <v>0</v>
      </c>
      <c r="AH142" s="368">
        <v>0</v>
      </c>
      <c r="AI142" s="368">
        <v>0</v>
      </c>
      <c r="AJ142" s="368">
        <v>0</v>
      </c>
      <c r="AK142" s="210">
        <f t="shared" si="209"/>
        <v>400000</v>
      </c>
      <c r="AL142" s="386"/>
      <c r="AM142" s="404" t="e">
        <f t="shared" si="186"/>
        <v>#DIV/0!</v>
      </c>
      <c r="AN142" s="404" t="e">
        <f t="shared" si="187"/>
        <v>#DIV/0!</v>
      </c>
      <c r="AO142" s="404">
        <f t="shared" si="188"/>
        <v>-1</v>
      </c>
      <c r="AP142" s="404" t="e">
        <f t="shared" si="189"/>
        <v>#DIV/0!</v>
      </c>
      <c r="AQ142" s="404" t="e">
        <f t="shared" si="190"/>
        <v>#DIV/0!</v>
      </c>
      <c r="AR142" s="404" t="e">
        <f t="shared" si="191"/>
        <v>#DIV/0!</v>
      </c>
      <c r="AS142" s="404" t="e">
        <f t="shared" si="192"/>
        <v>#DIV/0!</v>
      </c>
      <c r="AT142" s="404" t="e">
        <f t="shared" si="193"/>
        <v>#DIV/0!</v>
      </c>
      <c r="AU142" s="404" t="e">
        <f t="shared" si="194"/>
        <v>#DIV/0!</v>
      </c>
      <c r="AV142" s="404" t="e">
        <f t="shared" si="195"/>
        <v>#DIV/0!</v>
      </c>
      <c r="AW142" s="404" t="e">
        <f t="shared" si="196"/>
        <v>#DIV/0!</v>
      </c>
    </row>
    <row r="143" spans="1:49" s="70" customFormat="1" ht="45" x14ac:dyDescent="0.25">
      <c r="A143" s="339">
        <v>2122133</v>
      </c>
      <c r="B143" s="340" t="s">
        <v>68</v>
      </c>
      <c r="C143" s="367">
        <f>+C144</f>
        <v>16000000</v>
      </c>
      <c r="D143" s="367">
        <f t="shared" ref="D143:G143" si="211">+D144</f>
        <v>47351881</v>
      </c>
      <c r="E143" s="367">
        <f t="shared" si="211"/>
        <v>0</v>
      </c>
      <c r="F143" s="367">
        <f t="shared" si="211"/>
        <v>0</v>
      </c>
      <c r="G143" s="367">
        <f t="shared" si="211"/>
        <v>63351881</v>
      </c>
      <c r="H143" s="57">
        <f>+H144</f>
        <v>16000000</v>
      </c>
      <c r="I143" s="208">
        <f t="shared" ref="I143:AI143" si="212">+I144</f>
        <v>5279323.416666667</v>
      </c>
      <c r="J143" s="208">
        <f t="shared" si="212"/>
        <v>5279323.416666667</v>
      </c>
      <c r="K143" s="208">
        <f t="shared" si="212"/>
        <v>5279323.416666667</v>
      </c>
      <c r="L143" s="208">
        <f t="shared" si="212"/>
        <v>5279323.416666667</v>
      </c>
      <c r="M143" s="208">
        <f t="shared" si="212"/>
        <v>5279323.416666667</v>
      </c>
      <c r="N143" s="208">
        <f t="shared" si="212"/>
        <v>5279323.416666667</v>
      </c>
      <c r="O143" s="208">
        <f t="shared" si="212"/>
        <v>5279323.416666667</v>
      </c>
      <c r="P143" s="208">
        <f t="shared" si="212"/>
        <v>5279323.416666667</v>
      </c>
      <c r="Q143" s="208">
        <f t="shared" si="212"/>
        <v>5279323.416666667</v>
      </c>
      <c r="R143" s="208">
        <f t="shared" si="212"/>
        <v>5279323.416666667</v>
      </c>
      <c r="S143" s="208">
        <f t="shared" si="212"/>
        <v>5279323.416666667</v>
      </c>
      <c r="T143" s="208">
        <f t="shared" si="212"/>
        <v>5279323.416666667</v>
      </c>
      <c r="U143" s="413">
        <f t="shared" si="210"/>
        <v>52793234.166666664</v>
      </c>
      <c r="V143" s="57">
        <f t="shared" si="212"/>
        <v>63351880.999999993</v>
      </c>
      <c r="W143" s="396">
        <f t="shared" si="197"/>
        <v>63351881</v>
      </c>
      <c r="X143" s="396">
        <f t="shared" si="198"/>
        <v>0</v>
      </c>
      <c r="Y143" s="396"/>
      <c r="Z143" s="55"/>
      <c r="AA143" s="208">
        <f t="shared" si="212"/>
        <v>0</v>
      </c>
      <c r="AB143" s="208">
        <f t="shared" si="212"/>
        <v>0</v>
      </c>
      <c r="AC143" s="208">
        <f t="shared" si="212"/>
        <v>0</v>
      </c>
      <c r="AD143" s="208">
        <f t="shared" si="212"/>
        <v>1200046</v>
      </c>
      <c r="AE143" s="208">
        <f t="shared" si="212"/>
        <v>1656407</v>
      </c>
      <c r="AF143" s="208">
        <f t="shared" si="212"/>
        <v>3086517</v>
      </c>
      <c r="AG143" s="208">
        <f t="shared" si="212"/>
        <v>3217176</v>
      </c>
      <c r="AH143" s="208">
        <f t="shared" si="212"/>
        <v>2043275</v>
      </c>
      <c r="AI143" s="208">
        <f t="shared" si="212"/>
        <v>8220144</v>
      </c>
      <c r="AJ143" s="208">
        <v>1842716</v>
      </c>
      <c r="AK143" s="208">
        <f t="shared" si="209"/>
        <v>21266281</v>
      </c>
      <c r="AL143" s="387"/>
      <c r="AM143" s="409">
        <f t="shared" si="186"/>
        <v>-1</v>
      </c>
      <c r="AN143" s="409">
        <f t="shared" si="187"/>
        <v>-1</v>
      </c>
      <c r="AO143" s="409">
        <f t="shared" si="188"/>
        <v>-1</v>
      </c>
      <c r="AP143" s="409">
        <f t="shared" si="189"/>
        <v>-0.77268943285204117</v>
      </c>
      <c r="AQ143" s="409">
        <f t="shared" si="190"/>
        <v>-0.68624634839177079</v>
      </c>
      <c r="AR143" s="409">
        <f t="shared" si="191"/>
        <v>-0.41535746981214344</v>
      </c>
      <c r="AS143" s="409">
        <f t="shared" si="192"/>
        <v>-0.39060827570376327</v>
      </c>
      <c r="AT143" s="409">
        <f t="shared" si="193"/>
        <v>-0.61296650370965311</v>
      </c>
      <c r="AU143" s="409">
        <f t="shared" si="194"/>
        <v>0.55704497550751486</v>
      </c>
      <c r="AV143" s="409">
        <f t="shared" si="195"/>
        <v>-0.65095603080830389</v>
      </c>
      <c r="AW143" s="409">
        <f t="shared" si="196"/>
        <v>3.0282209142298391</v>
      </c>
    </row>
    <row r="144" spans="1:49" s="70" customFormat="1" ht="30" x14ac:dyDescent="0.25">
      <c r="A144" s="341">
        <v>21221334</v>
      </c>
      <c r="B144" s="342" t="s">
        <v>576</v>
      </c>
      <c r="C144" s="368">
        <v>16000000</v>
      </c>
      <c r="D144" s="368">
        <f>35000000+12351881</f>
        <v>47351881</v>
      </c>
      <c r="E144" s="368">
        <v>0</v>
      </c>
      <c r="F144" s="368">
        <v>0</v>
      </c>
      <c r="G144" s="368">
        <f t="shared" ref="G144" si="213">+C144+D144-E144+F144</f>
        <v>63351881</v>
      </c>
      <c r="H144" s="59">
        <v>16000000</v>
      </c>
      <c r="I144" s="210">
        <v>5279323.416666667</v>
      </c>
      <c r="J144" s="210">
        <v>5279323.416666667</v>
      </c>
      <c r="K144" s="210">
        <v>5279323.416666667</v>
      </c>
      <c r="L144" s="210">
        <v>5279323.416666667</v>
      </c>
      <c r="M144" s="210">
        <v>5279323.416666667</v>
      </c>
      <c r="N144" s="210">
        <v>5279323.416666667</v>
      </c>
      <c r="O144" s="210">
        <v>5279323.416666667</v>
      </c>
      <c r="P144" s="210">
        <v>5279323.416666667</v>
      </c>
      <c r="Q144" s="210">
        <v>5279323.416666667</v>
      </c>
      <c r="R144" s="210">
        <v>5279323.416666667</v>
      </c>
      <c r="S144" s="210">
        <v>5279323.416666667</v>
      </c>
      <c r="T144" s="210">
        <v>5279323.416666667</v>
      </c>
      <c r="U144" s="412">
        <f t="shared" si="210"/>
        <v>52793234.166666664</v>
      </c>
      <c r="V144" s="58">
        <f t="shared" ref="V144:V245" si="214">SUM(I144:T144)</f>
        <v>63351880.999999993</v>
      </c>
      <c r="W144" s="396">
        <f t="shared" si="197"/>
        <v>63351881</v>
      </c>
      <c r="X144" s="396">
        <f t="shared" si="198"/>
        <v>0</v>
      </c>
      <c r="Y144" s="396">
        <f>+W144/12</f>
        <v>5279323.416666667</v>
      </c>
      <c r="Z144" s="53"/>
      <c r="AA144" s="210">
        <v>0</v>
      </c>
      <c r="AB144" s="210">
        <v>0</v>
      </c>
      <c r="AC144" s="210">
        <v>0</v>
      </c>
      <c r="AD144" s="210">
        <v>1200046</v>
      </c>
      <c r="AE144" s="210">
        <v>1656407</v>
      </c>
      <c r="AF144" s="210">
        <v>3086517</v>
      </c>
      <c r="AG144" s="210">
        <f>3117176+100000</f>
        <v>3217176</v>
      </c>
      <c r="AH144" s="368">
        <v>2043275</v>
      </c>
      <c r="AI144" s="368">
        <v>8220144</v>
      </c>
      <c r="AJ144" s="368">
        <v>1842716</v>
      </c>
      <c r="AK144" s="210">
        <f t="shared" si="209"/>
        <v>21266281</v>
      </c>
      <c r="AL144" s="386"/>
      <c r="AM144" s="404">
        <f t="shared" si="186"/>
        <v>-1</v>
      </c>
      <c r="AN144" s="404">
        <f t="shared" si="187"/>
        <v>-1</v>
      </c>
      <c r="AO144" s="404">
        <f t="shared" si="188"/>
        <v>-1</v>
      </c>
      <c r="AP144" s="404">
        <f t="shared" si="189"/>
        <v>-0.77268943285204117</v>
      </c>
      <c r="AQ144" s="404">
        <f t="shared" si="190"/>
        <v>-0.68624634839177079</v>
      </c>
      <c r="AR144" s="404">
        <f t="shared" si="191"/>
        <v>-0.41535746981214344</v>
      </c>
      <c r="AS144" s="404">
        <f t="shared" si="192"/>
        <v>-0.39060827570376327</v>
      </c>
      <c r="AT144" s="404">
        <f t="shared" si="193"/>
        <v>-0.61296650370965311</v>
      </c>
      <c r="AU144" s="404">
        <f t="shared" si="194"/>
        <v>0.55704497550751486</v>
      </c>
      <c r="AV144" s="404">
        <f t="shared" si="195"/>
        <v>-0.65095603080830389</v>
      </c>
      <c r="AW144" s="404">
        <f t="shared" si="196"/>
        <v>3.0282209142298391</v>
      </c>
    </row>
    <row r="145" spans="1:49" s="70" customFormat="1" x14ac:dyDescent="0.25">
      <c r="A145" s="339">
        <v>2122134</v>
      </c>
      <c r="B145" s="340" t="s">
        <v>69</v>
      </c>
      <c r="C145" s="367">
        <f>SUM(C146:C150)</f>
        <v>366900000</v>
      </c>
      <c r="D145" s="367">
        <f>SUM(D146:D150)</f>
        <v>183200000</v>
      </c>
      <c r="E145" s="367">
        <f t="shared" ref="E145:G145" si="215">SUM(E146:E150)</f>
        <v>4116470</v>
      </c>
      <c r="F145" s="367">
        <f t="shared" si="215"/>
        <v>140000000</v>
      </c>
      <c r="G145" s="367">
        <f t="shared" si="215"/>
        <v>685983530</v>
      </c>
      <c r="H145" s="367">
        <f t="shared" ref="H145:V145" si="216">SUM(H146:H150)</f>
        <v>506900000</v>
      </c>
      <c r="I145" s="367">
        <f t="shared" si="216"/>
        <v>35766666.666666664</v>
      </c>
      <c r="J145" s="367">
        <f t="shared" si="216"/>
        <v>95266666.666666657</v>
      </c>
      <c r="K145" s="367">
        <f t="shared" si="216"/>
        <v>116766666.66666666</v>
      </c>
      <c r="L145" s="367">
        <f t="shared" si="216"/>
        <v>71266666.666666657</v>
      </c>
      <c r="M145" s="367">
        <f t="shared" si="216"/>
        <v>66666666.666666664</v>
      </c>
      <c r="N145" s="367">
        <f t="shared" si="216"/>
        <v>45766666.666666664</v>
      </c>
      <c r="O145" s="367">
        <f t="shared" si="216"/>
        <v>75766666.666666657</v>
      </c>
      <c r="P145" s="367">
        <f t="shared" si="216"/>
        <v>36766666.666666664</v>
      </c>
      <c r="Q145" s="367">
        <f t="shared" si="216"/>
        <v>36766666.666666664</v>
      </c>
      <c r="R145" s="367">
        <f t="shared" si="216"/>
        <v>36250196.666666664</v>
      </c>
      <c r="S145" s="367">
        <f t="shared" si="216"/>
        <v>38366666.666666664</v>
      </c>
      <c r="T145" s="367">
        <f t="shared" si="216"/>
        <v>30566666.666666664</v>
      </c>
      <c r="U145" s="418">
        <f t="shared" si="210"/>
        <v>617050196.66666651</v>
      </c>
      <c r="V145" s="367">
        <f t="shared" si="216"/>
        <v>685983530</v>
      </c>
      <c r="W145" s="396">
        <f t="shared" si="197"/>
        <v>685983530</v>
      </c>
      <c r="X145" s="396">
        <f t="shared" si="198"/>
        <v>0</v>
      </c>
      <c r="Y145" s="396"/>
      <c r="Z145" s="53"/>
      <c r="AA145" s="209">
        <f t="shared" ref="AA145:AI145" si="217">SUM(AA146:AA150)</f>
        <v>3000000</v>
      </c>
      <c r="AB145" s="209">
        <f t="shared" si="217"/>
        <v>5940000</v>
      </c>
      <c r="AC145" s="209">
        <f t="shared" si="217"/>
        <v>8880163</v>
      </c>
      <c r="AD145" s="209">
        <f t="shared" si="217"/>
        <v>7436991</v>
      </c>
      <c r="AE145" s="209">
        <f t="shared" si="217"/>
        <v>23810600</v>
      </c>
      <c r="AF145" s="209">
        <f t="shared" ref="AF145" si="218">SUM(AF146:AF150)</f>
        <v>9253011</v>
      </c>
      <c r="AG145" s="209">
        <f t="shared" si="217"/>
        <v>9768577</v>
      </c>
      <c r="AH145" s="209">
        <f t="shared" si="217"/>
        <v>17663459.880000003</v>
      </c>
      <c r="AI145" s="209">
        <f t="shared" si="217"/>
        <v>40881767.140000001</v>
      </c>
      <c r="AJ145" s="209">
        <v>486863</v>
      </c>
      <c r="AK145" s="209">
        <f t="shared" si="209"/>
        <v>127121432.02</v>
      </c>
      <c r="AL145" s="387"/>
      <c r="AM145" s="405">
        <f t="shared" si="186"/>
        <v>-0.91612301957129538</v>
      </c>
      <c r="AN145" s="405">
        <f t="shared" si="187"/>
        <v>-0.93764870538838352</v>
      </c>
      <c r="AO145" s="405">
        <f t="shared" si="188"/>
        <v>-0.92394950328290038</v>
      </c>
      <c r="AP145" s="405">
        <f t="shared" si="189"/>
        <v>-0.89564558933582783</v>
      </c>
      <c r="AQ145" s="405">
        <f t="shared" si="190"/>
        <v>-0.642841</v>
      </c>
      <c r="AR145" s="405">
        <f t="shared" si="191"/>
        <v>-0.79782204661325562</v>
      </c>
      <c r="AS145" s="405">
        <f t="shared" si="192"/>
        <v>-0.87107025516937964</v>
      </c>
      <c r="AT145" s="405">
        <f t="shared" si="193"/>
        <v>-0.51957951368993638</v>
      </c>
      <c r="AU145" s="405">
        <f t="shared" si="194"/>
        <v>0.11192476355394389</v>
      </c>
      <c r="AV145" s="405">
        <f t="shared" si="195"/>
        <v>-0.98656936941675444</v>
      </c>
      <c r="AW145" s="405">
        <f t="shared" si="196"/>
        <v>2.3133301134665509</v>
      </c>
    </row>
    <row r="146" spans="1:49" s="70" customFormat="1" x14ac:dyDescent="0.25">
      <c r="A146" s="341">
        <v>21221341</v>
      </c>
      <c r="B146" s="342" t="s">
        <v>577</v>
      </c>
      <c r="C146" s="368">
        <v>85000000</v>
      </c>
      <c r="D146" s="368">
        <v>0</v>
      </c>
      <c r="E146" s="368">
        <v>0</v>
      </c>
      <c r="F146" s="368">
        <v>70000000</v>
      </c>
      <c r="G146" s="368">
        <f t="shared" ref="G146:G149" si="219">+C146+D146-E146+F146</f>
        <v>155000000</v>
      </c>
      <c r="H146" s="58">
        <v>155000000</v>
      </c>
      <c r="I146" s="210">
        <v>0</v>
      </c>
      <c r="J146" s="210">
        <v>25000000</v>
      </c>
      <c r="K146" s="210">
        <v>60000000</v>
      </c>
      <c r="L146" s="210">
        <v>15000000</v>
      </c>
      <c r="M146" s="210">
        <v>10000000</v>
      </c>
      <c r="N146" s="210">
        <v>5000000</v>
      </c>
      <c r="O146" s="210">
        <v>40000000</v>
      </c>
      <c r="P146" s="210">
        <v>0</v>
      </c>
      <c r="Q146" s="210">
        <v>0</v>
      </c>
      <c r="R146" s="210">
        <v>0</v>
      </c>
      <c r="S146" s="210">
        <v>0</v>
      </c>
      <c r="T146" s="210">
        <v>0</v>
      </c>
      <c r="U146" s="412">
        <f t="shared" si="210"/>
        <v>155000000</v>
      </c>
      <c r="V146" s="58">
        <v>155000000</v>
      </c>
      <c r="W146" s="396">
        <f t="shared" si="197"/>
        <v>155000000</v>
      </c>
      <c r="X146" s="396">
        <f t="shared" si="198"/>
        <v>0</v>
      </c>
      <c r="Y146" s="396"/>
      <c r="Z146" s="55"/>
      <c r="AA146" s="210">
        <v>1000000</v>
      </c>
      <c r="AB146" s="210">
        <v>0</v>
      </c>
      <c r="AC146" s="210">
        <v>405936</v>
      </c>
      <c r="AD146" s="210">
        <v>0</v>
      </c>
      <c r="AE146" s="210">
        <v>219100</v>
      </c>
      <c r="AF146" s="210">
        <v>542953</v>
      </c>
      <c r="AG146" s="210">
        <v>182500</v>
      </c>
      <c r="AH146" s="368">
        <f>617449.92+465650</f>
        <v>1083099.92</v>
      </c>
      <c r="AI146" s="368">
        <v>395828</v>
      </c>
      <c r="AJ146" s="368">
        <v>486863</v>
      </c>
      <c r="AK146" s="210">
        <f t="shared" si="209"/>
        <v>4316279.92</v>
      </c>
      <c r="AL146" s="387"/>
      <c r="AM146" s="404" t="e">
        <f t="shared" si="186"/>
        <v>#DIV/0!</v>
      </c>
      <c r="AN146" s="404">
        <f t="shared" si="187"/>
        <v>-1</v>
      </c>
      <c r="AO146" s="404">
        <f t="shared" si="188"/>
        <v>-0.99323439999999996</v>
      </c>
      <c r="AP146" s="404">
        <f t="shared" si="189"/>
        <v>-1</v>
      </c>
      <c r="AQ146" s="404">
        <f t="shared" si="190"/>
        <v>-0.97809000000000001</v>
      </c>
      <c r="AR146" s="404">
        <f t="shared" si="191"/>
        <v>-0.89140940000000002</v>
      </c>
      <c r="AS146" s="404">
        <f t="shared" si="192"/>
        <v>-0.99543749999999998</v>
      </c>
      <c r="AT146" s="404" t="e">
        <f t="shared" si="193"/>
        <v>#DIV/0!</v>
      </c>
      <c r="AU146" s="404" t="e">
        <f t="shared" si="194"/>
        <v>#DIV/0!</v>
      </c>
      <c r="AV146" s="404" t="e">
        <f t="shared" si="195"/>
        <v>#DIV/0!</v>
      </c>
      <c r="AW146" s="404" t="e">
        <f t="shared" si="196"/>
        <v>#DIV/0!</v>
      </c>
    </row>
    <row r="147" spans="1:49" ht="30" x14ac:dyDescent="0.25">
      <c r="A147" s="341">
        <v>21221342</v>
      </c>
      <c r="B147" s="342" t="s">
        <v>578</v>
      </c>
      <c r="C147" s="368">
        <v>18000000</v>
      </c>
      <c r="D147" s="368">
        <v>4000000</v>
      </c>
      <c r="E147" s="368">
        <v>1516470</v>
      </c>
      <c r="F147" s="368">
        <v>0</v>
      </c>
      <c r="G147" s="368">
        <f t="shared" si="219"/>
        <v>20483530</v>
      </c>
      <c r="H147" s="59">
        <v>18000000</v>
      </c>
      <c r="I147" s="210">
        <v>0</v>
      </c>
      <c r="J147" s="210">
        <v>4000000</v>
      </c>
      <c r="K147" s="210">
        <v>2000000</v>
      </c>
      <c r="L147" s="210">
        <v>2000000</v>
      </c>
      <c r="M147" s="210">
        <v>10000000</v>
      </c>
      <c r="N147" s="210">
        <v>0</v>
      </c>
      <c r="O147" s="210">
        <v>0</v>
      </c>
      <c r="P147" s="210">
        <v>1000000</v>
      </c>
      <c r="Q147" s="210">
        <v>1000000</v>
      </c>
      <c r="R147" s="210">
        <f>1000000-516470</f>
        <v>483530</v>
      </c>
      <c r="S147" s="210"/>
      <c r="T147" s="210">
        <v>0</v>
      </c>
      <c r="U147" s="412">
        <f t="shared" si="210"/>
        <v>20483530</v>
      </c>
      <c r="V147" s="58">
        <f t="shared" si="214"/>
        <v>20483530</v>
      </c>
      <c r="W147" s="396">
        <f t="shared" si="197"/>
        <v>20483530</v>
      </c>
      <c r="X147" s="396">
        <f t="shared" si="198"/>
        <v>0</v>
      </c>
      <c r="Y147" s="396"/>
      <c r="AA147" s="210">
        <v>0</v>
      </c>
      <c r="AB147" s="210">
        <v>0</v>
      </c>
      <c r="AC147" s="210">
        <v>779884</v>
      </c>
      <c r="AD147" s="210">
        <v>190000</v>
      </c>
      <c r="AE147" s="210">
        <v>0</v>
      </c>
      <c r="AF147" s="210">
        <v>0</v>
      </c>
      <c r="AG147" s="210">
        <v>0</v>
      </c>
      <c r="AH147" s="368">
        <v>100755</v>
      </c>
      <c r="AI147" s="368">
        <v>2483530</v>
      </c>
      <c r="AJ147" s="368">
        <v>0</v>
      </c>
      <c r="AK147" s="210">
        <f t="shared" si="209"/>
        <v>3554169</v>
      </c>
      <c r="AL147" s="387"/>
      <c r="AM147" s="404" t="e">
        <f t="shared" si="186"/>
        <v>#DIV/0!</v>
      </c>
      <c r="AN147" s="404">
        <f t="shared" si="187"/>
        <v>-1</v>
      </c>
      <c r="AO147" s="404">
        <f t="shared" si="188"/>
        <v>-0.61005799999999999</v>
      </c>
      <c r="AP147" s="404">
        <f t="shared" si="189"/>
        <v>-0.90500000000000003</v>
      </c>
      <c r="AQ147" s="404">
        <f t="shared" si="190"/>
        <v>-1</v>
      </c>
      <c r="AR147" s="404" t="e">
        <f t="shared" si="191"/>
        <v>#DIV/0!</v>
      </c>
      <c r="AS147" s="404" t="e">
        <f t="shared" si="192"/>
        <v>#DIV/0!</v>
      </c>
      <c r="AT147" s="404">
        <f t="shared" si="193"/>
        <v>-0.89924499999999996</v>
      </c>
      <c r="AU147" s="404">
        <f t="shared" si="194"/>
        <v>1.48353</v>
      </c>
      <c r="AV147" s="404">
        <f t="shared" si="195"/>
        <v>-1</v>
      </c>
      <c r="AW147" s="404" t="e">
        <f t="shared" si="196"/>
        <v>#DIV/0!</v>
      </c>
    </row>
    <row r="148" spans="1:49" x14ac:dyDescent="0.25">
      <c r="A148" s="341">
        <v>21221345</v>
      </c>
      <c r="B148" s="342" t="s">
        <v>579</v>
      </c>
      <c r="C148" s="368">
        <v>7000000</v>
      </c>
      <c r="D148" s="368">
        <v>0</v>
      </c>
      <c r="E148" s="368">
        <v>0</v>
      </c>
      <c r="F148" s="368">
        <v>70000000</v>
      </c>
      <c r="G148" s="368">
        <f t="shared" si="219"/>
        <v>77000000</v>
      </c>
      <c r="H148" s="59">
        <v>77000000</v>
      </c>
      <c r="I148" s="210">
        <v>0</v>
      </c>
      <c r="J148" s="210">
        <v>28000000</v>
      </c>
      <c r="K148" s="210">
        <v>17000000</v>
      </c>
      <c r="L148" s="210">
        <v>17000000</v>
      </c>
      <c r="M148" s="210">
        <v>10000000</v>
      </c>
      <c r="N148" s="210">
        <v>5000000</v>
      </c>
      <c r="O148" s="210">
        <v>0</v>
      </c>
      <c r="P148" s="210">
        <v>0</v>
      </c>
      <c r="Q148" s="210">
        <v>0</v>
      </c>
      <c r="R148" s="210">
        <v>0</v>
      </c>
      <c r="S148" s="210">
        <v>0</v>
      </c>
      <c r="T148" s="210">
        <v>0</v>
      </c>
      <c r="U148" s="412">
        <f t="shared" si="210"/>
        <v>77000000</v>
      </c>
      <c r="V148" s="58">
        <v>77000000</v>
      </c>
      <c r="W148" s="396">
        <f t="shared" si="197"/>
        <v>77000000</v>
      </c>
      <c r="X148" s="396">
        <f t="shared" si="198"/>
        <v>0</v>
      </c>
      <c r="Y148" s="396"/>
      <c r="Z148" s="55"/>
      <c r="AA148" s="210">
        <v>0</v>
      </c>
      <c r="AB148" s="210">
        <v>0</v>
      </c>
      <c r="AC148" s="210">
        <v>200000</v>
      </c>
      <c r="AD148" s="210">
        <v>0</v>
      </c>
      <c r="AE148" s="210">
        <v>0</v>
      </c>
      <c r="AF148" s="210">
        <v>0</v>
      </c>
      <c r="AG148" s="210">
        <v>0</v>
      </c>
      <c r="AH148" s="368">
        <v>0</v>
      </c>
      <c r="AI148" s="368">
        <v>0</v>
      </c>
      <c r="AJ148" s="368">
        <v>0</v>
      </c>
      <c r="AK148" s="210">
        <f t="shared" si="209"/>
        <v>200000</v>
      </c>
      <c r="AL148" s="387"/>
      <c r="AM148" s="404" t="e">
        <f t="shared" si="186"/>
        <v>#DIV/0!</v>
      </c>
      <c r="AN148" s="404">
        <f t="shared" si="187"/>
        <v>-1</v>
      </c>
      <c r="AO148" s="404">
        <f t="shared" si="188"/>
        <v>-0.9882352941176471</v>
      </c>
      <c r="AP148" s="404">
        <f t="shared" si="189"/>
        <v>-1</v>
      </c>
      <c r="AQ148" s="404">
        <f t="shared" si="190"/>
        <v>-1</v>
      </c>
      <c r="AR148" s="404">
        <f t="shared" si="191"/>
        <v>-1</v>
      </c>
      <c r="AS148" s="404" t="e">
        <f t="shared" si="192"/>
        <v>#DIV/0!</v>
      </c>
      <c r="AT148" s="404" t="e">
        <f t="shared" si="193"/>
        <v>#DIV/0!</v>
      </c>
      <c r="AU148" s="404" t="e">
        <f t="shared" si="194"/>
        <v>#DIV/0!</v>
      </c>
      <c r="AV148" s="404" t="e">
        <f t="shared" si="195"/>
        <v>#DIV/0!</v>
      </c>
      <c r="AW148" s="404" t="e">
        <f t="shared" si="196"/>
        <v>#DIV/0!</v>
      </c>
    </row>
    <row r="149" spans="1:49" x14ac:dyDescent="0.25">
      <c r="A149" s="341">
        <v>21221346</v>
      </c>
      <c r="B149" s="342" t="s">
        <v>810</v>
      </c>
      <c r="C149" s="368"/>
      <c r="D149" s="368">
        <f>61600000+50000000</f>
        <v>111600000</v>
      </c>
      <c r="E149" s="368">
        <v>0</v>
      </c>
      <c r="F149" s="368">
        <v>0</v>
      </c>
      <c r="G149" s="368">
        <f t="shared" si="219"/>
        <v>111600000</v>
      </c>
      <c r="H149" s="176"/>
      <c r="I149" s="210">
        <v>9300000</v>
      </c>
      <c r="J149" s="210">
        <v>9300000</v>
      </c>
      <c r="K149" s="210">
        <v>9300000</v>
      </c>
      <c r="L149" s="210">
        <v>9300000</v>
      </c>
      <c r="M149" s="210">
        <v>9300000</v>
      </c>
      <c r="N149" s="210">
        <v>9300000</v>
      </c>
      <c r="O149" s="210">
        <v>9300000</v>
      </c>
      <c r="P149" s="210">
        <v>9300000</v>
      </c>
      <c r="Q149" s="210">
        <v>9300000</v>
      </c>
      <c r="R149" s="210">
        <v>9300000</v>
      </c>
      <c r="S149" s="210">
        <v>9300000</v>
      </c>
      <c r="T149" s="210">
        <v>9300000</v>
      </c>
      <c r="U149" s="412">
        <f t="shared" si="210"/>
        <v>93000000</v>
      </c>
      <c r="V149" s="58">
        <f t="shared" si="214"/>
        <v>111600000</v>
      </c>
      <c r="W149" s="396">
        <f t="shared" si="197"/>
        <v>111600000</v>
      </c>
      <c r="X149" s="396">
        <f t="shared" si="198"/>
        <v>0</v>
      </c>
      <c r="Y149" s="396">
        <f>+W149/12</f>
        <v>9300000</v>
      </c>
      <c r="Z149" s="55"/>
      <c r="AA149" s="210"/>
      <c r="AB149" s="210">
        <v>0</v>
      </c>
      <c r="AC149" s="210">
        <v>0</v>
      </c>
      <c r="AD149" s="210">
        <v>6596900</v>
      </c>
      <c r="AE149" s="210">
        <v>22986500</v>
      </c>
      <c r="AF149" s="210">
        <v>7693800</v>
      </c>
      <c r="AG149" s="210">
        <v>7140000</v>
      </c>
      <c r="AH149" s="368">
        <v>0</v>
      </c>
      <c r="AI149" s="368">
        <v>10401500</v>
      </c>
      <c r="AJ149" s="368">
        <v>0</v>
      </c>
      <c r="AK149" s="210">
        <f t="shared" si="209"/>
        <v>54818700</v>
      </c>
      <c r="AL149" s="386"/>
      <c r="AM149" s="404">
        <f t="shared" si="186"/>
        <v>-1</v>
      </c>
      <c r="AN149" s="404">
        <f t="shared" si="187"/>
        <v>-1</v>
      </c>
      <c r="AO149" s="404">
        <f t="shared" si="188"/>
        <v>-1</v>
      </c>
      <c r="AP149" s="404">
        <f t="shared" si="189"/>
        <v>-0.29065591397849461</v>
      </c>
      <c r="AQ149" s="404">
        <f t="shared" si="190"/>
        <v>1.4716666666666667</v>
      </c>
      <c r="AR149" s="404">
        <f t="shared" si="191"/>
        <v>-0.17270967741935483</v>
      </c>
      <c r="AS149" s="404">
        <f t="shared" si="192"/>
        <v>-0.23225806451612904</v>
      </c>
      <c r="AT149" s="404">
        <f t="shared" si="193"/>
        <v>-1</v>
      </c>
      <c r="AU149" s="404">
        <f t="shared" si="194"/>
        <v>0.11844086021505376</v>
      </c>
      <c r="AV149" s="404">
        <f t="shared" si="195"/>
        <v>-1</v>
      </c>
      <c r="AW149" s="404">
        <f t="shared" si="196"/>
        <v>4.8944838709677416</v>
      </c>
    </row>
    <row r="150" spans="1:49" s="70" customFormat="1" ht="45" x14ac:dyDescent="0.25">
      <c r="A150" s="339">
        <v>21221349</v>
      </c>
      <c r="B150" s="340" t="s">
        <v>70</v>
      </c>
      <c r="C150" s="367">
        <f>+C151+C152+C153+C156</f>
        <v>256900000</v>
      </c>
      <c r="D150" s="367">
        <f>+D151+D152+D153+D156</f>
        <v>67600000</v>
      </c>
      <c r="E150" s="367">
        <f t="shared" ref="E150:G150" si="220">+E151+E152+E153+E156</f>
        <v>2600000</v>
      </c>
      <c r="F150" s="367">
        <f t="shared" si="220"/>
        <v>0</v>
      </c>
      <c r="G150" s="367">
        <f t="shared" si="220"/>
        <v>321900000</v>
      </c>
      <c r="H150" s="367">
        <f t="shared" ref="H150:V150" si="221">+H151+H152+H153+H156</f>
        <v>256900000</v>
      </c>
      <c r="I150" s="367">
        <f t="shared" si="221"/>
        <v>26466666.666666664</v>
      </c>
      <c r="J150" s="367">
        <f t="shared" si="221"/>
        <v>28966666.666666664</v>
      </c>
      <c r="K150" s="367">
        <f t="shared" si="221"/>
        <v>28466666.666666664</v>
      </c>
      <c r="L150" s="367">
        <f t="shared" si="221"/>
        <v>27966666.666666664</v>
      </c>
      <c r="M150" s="367">
        <f t="shared" si="221"/>
        <v>27366666.666666664</v>
      </c>
      <c r="N150" s="367">
        <f t="shared" si="221"/>
        <v>26466666.666666664</v>
      </c>
      <c r="O150" s="367">
        <f t="shared" si="221"/>
        <v>26466666.666666664</v>
      </c>
      <c r="P150" s="367">
        <f t="shared" si="221"/>
        <v>26466666.666666664</v>
      </c>
      <c r="Q150" s="367">
        <f t="shared" si="221"/>
        <v>26466666.666666664</v>
      </c>
      <c r="R150" s="367">
        <f t="shared" si="221"/>
        <v>26466666.666666664</v>
      </c>
      <c r="S150" s="367">
        <f t="shared" si="221"/>
        <v>29066666.666666664</v>
      </c>
      <c r="T150" s="367">
        <f t="shared" si="221"/>
        <v>21266666.666666664</v>
      </c>
      <c r="U150" s="418">
        <f t="shared" si="210"/>
        <v>271566666.66666663</v>
      </c>
      <c r="V150" s="367">
        <f t="shared" si="221"/>
        <v>321900000</v>
      </c>
      <c r="W150" s="396">
        <f t="shared" si="197"/>
        <v>321900000</v>
      </c>
      <c r="X150" s="396">
        <f t="shared" si="198"/>
        <v>0</v>
      </c>
      <c r="Y150" s="396"/>
      <c r="Z150" s="55"/>
      <c r="AA150" s="209">
        <f t="shared" ref="AA150:AI150" si="222">+AA151+AA152+AA153+AA156</f>
        <v>2000000</v>
      </c>
      <c r="AB150" s="209">
        <f t="shared" si="222"/>
        <v>5940000</v>
      </c>
      <c r="AC150" s="209">
        <f t="shared" si="222"/>
        <v>7494343</v>
      </c>
      <c r="AD150" s="209">
        <f t="shared" si="222"/>
        <v>650091</v>
      </c>
      <c r="AE150" s="209">
        <f t="shared" si="222"/>
        <v>605000</v>
      </c>
      <c r="AF150" s="209">
        <f t="shared" si="222"/>
        <v>1016258</v>
      </c>
      <c r="AG150" s="209">
        <f t="shared" si="222"/>
        <v>2446077</v>
      </c>
      <c r="AH150" s="209">
        <f t="shared" si="222"/>
        <v>16479604.960000001</v>
      </c>
      <c r="AI150" s="209">
        <f t="shared" si="222"/>
        <v>27600909.140000001</v>
      </c>
      <c r="AJ150" s="209">
        <v>0</v>
      </c>
      <c r="AK150" s="209">
        <f t="shared" si="209"/>
        <v>64232283.100000001</v>
      </c>
      <c r="AL150" s="387"/>
      <c r="AM150" s="405">
        <f t="shared" si="186"/>
        <v>-0.92443324937027704</v>
      </c>
      <c r="AN150" s="405">
        <f t="shared" si="187"/>
        <v>-0.79493670886075951</v>
      </c>
      <c r="AO150" s="405">
        <f t="shared" si="188"/>
        <v>-0.73673268149882898</v>
      </c>
      <c r="AP150" s="405">
        <f t="shared" si="189"/>
        <v>-0.97675479141835519</v>
      </c>
      <c r="AQ150" s="405">
        <f t="shared" si="190"/>
        <v>-0.97789281364190017</v>
      </c>
      <c r="AR150" s="405">
        <f t="shared" si="191"/>
        <v>-0.96160234256926946</v>
      </c>
      <c r="AS150" s="405">
        <f t="shared" si="192"/>
        <v>-0.90757895465994964</v>
      </c>
      <c r="AT150" s="405">
        <f t="shared" si="193"/>
        <v>-0.3773449007556674</v>
      </c>
      <c r="AU150" s="405">
        <f t="shared" si="194"/>
        <v>4.2855509068010195E-2</v>
      </c>
      <c r="AV150" s="405">
        <f t="shared" si="195"/>
        <v>-1</v>
      </c>
      <c r="AW150" s="405">
        <f t="shared" si="196"/>
        <v>1.2098262534403672</v>
      </c>
    </row>
    <row r="151" spans="1:49" s="70" customFormat="1" ht="45" x14ac:dyDescent="0.25">
      <c r="A151" s="341">
        <v>212213491</v>
      </c>
      <c r="B151" s="342" t="s">
        <v>580</v>
      </c>
      <c r="C151" s="368">
        <v>6900000</v>
      </c>
      <c r="D151" s="368">
        <v>0</v>
      </c>
      <c r="E151" s="368">
        <v>0</v>
      </c>
      <c r="F151" s="368">
        <v>0</v>
      </c>
      <c r="G151" s="368">
        <f t="shared" ref="G151:G152" si="223">+C151+D151-E151+F151</f>
        <v>6900000</v>
      </c>
      <c r="H151" s="59">
        <v>6900000</v>
      </c>
      <c r="I151" s="210"/>
      <c r="J151" s="210">
        <v>2500000</v>
      </c>
      <c r="K151" s="210">
        <v>2000000</v>
      </c>
      <c r="L151" s="210">
        <v>1500000</v>
      </c>
      <c r="M151" s="210">
        <v>900000</v>
      </c>
      <c r="N151" s="210"/>
      <c r="O151" s="210"/>
      <c r="P151" s="210"/>
      <c r="Q151" s="210"/>
      <c r="R151" s="210"/>
      <c r="S151" s="210"/>
      <c r="T151" s="210"/>
      <c r="U151" s="412">
        <f t="shared" si="210"/>
        <v>6900000</v>
      </c>
      <c r="V151" s="58">
        <f t="shared" si="214"/>
        <v>6900000</v>
      </c>
      <c r="W151" s="396">
        <f t="shared" si="197"/>
        <v>6900000</v>
      </c>
      <c r="X151" s="396">
        <f t="shared" si="198"/>
        <v>0</v>
      </c>
      <c r="Y151" s="396"/>
      <c r="Z151" s="55"/>
      <c r="AA151" s="210">
        <v>0</v>
      </c>
      <c r="AB151" s="210">
        <v>0</v>
      </c>
      <c r="AC151" s="210">
        <v>0</v>
      </c>
      <c r="AD151" s="210">
        <v>0</v>
      </c>
      <c r="AE151" s="210">
        <v>0</v>
      </c>
      <c r="AF151" s="210">
        <v>0</v>
      </c>
      <c r="AG151" s="210">
        <v>0</v>
      </c>
      <c r="AH151" s="368">
        <v>0</v>
      </c>
      <c r="AI151" s="368">
        <v>0</v>
      </c>
      <c r="AJ151" s="368">
        <v>0</v>
      </c>
      <c r="AK151" s="210">
        <f t="shared" si="209"/>
        <v>0</v>
      </c>
      <c r="AL151" s="387"/>
      <c r="AM151" s="404" t="e">
        <f t="shared" si="186"/>
        <v>#DIV/0!</v>
      </c>
      <c r="AN151" s="404">
        <f t="shared" si="187"/>
        <v>-1</v>
      </c>
      <c r="AO151" s="404">
        <f t="shared" si="188"/>
        <v>-1</v>
      </c>
      <c r="AP151" s="404">
        <f t="shared" si="189"/>
        <v>-1</v>
      </c>
      <c r="AQ151" s="404">
        <f t="shared" si="190"/>
        <v>-1</v>
      </c>
      <c r="AR151" s="404" t="e">
        <f t="shared" si="191"/>
        <v>#DIV/0!</v>
      </c>
      <c r="AS151" s="404" t="e">
        <f t="shared" si="192"/>
        <v>#DIV/0!</v>
      </c>
      <c r="AT151" s="404" t="e">
        <f t="shared" si="193"/>
        <v>#DIV/0!</v>
      </c>
      <c r="AU151" s="404" t="e">
        <f t="shared" si="194"/>
        <v>#DIV/0!</v>
      </c>
      <c r="AV151" s="404" t="e">
        <f t="shared" si="195"/>
        <v>#DIV/0!</v>
      </c>
      <c r="AW151" s="404" t="e">
        <f t="shared" si="196"/>
        <v>#DIV/0!</v>
      </c>
    </row>
    <row r="152" spans="1:49" s="70" customFormat="1" x14ac:dyDescent="0.25">
      <c r="A152" s="341">
        <v>212213492</v>
      </c>
      <c r="B152" s="342" t="s">
        <v>581</v>
      </c>
      <c r="C152" s="368">
        <v>250000000</v>
      </c>
      <c r="D152" s="368">
        <v>2600000</v>
      </c>
      <c r="E152" s="368">
        <v>2600000</v>
      </c>
      <c r="F152" s="368">
        <v>0</v>
      </c>
      <c r="G152" s="368">
        <f t="shared" si="223"/>
        <v>250000000</v>
      </c>
      <c r="H152" s="58">
        <v>250000000</v>
      </c>
      <c r="I152" s="210">
        <v>21050000</v>
      </c>
      <c r="J152" s="210">
        <v>21050000</v>
      </c>
      <c r="K152" s="210">
        <v>21050000</v>
      </c>
      <c r="L152" s="210">
        <v>21050000</v>
      </c>
      <c r="M152" s="210">
        <v>21050000</v>
      </c>
      <c r="N152" s="210">
        <v>21050000</v>
      </c>
      <c r="O152" s="210">
        <v>21050000</v>
      </c>
      <c r="P152" s="210">
        <v>21050000</v>
      </c>
      <c r="Q152" s="210">
        <v>21050000</v>
      </c>
      <c r="R152" s="210">
        <v>21050000</v>
      </c>
      <c r="S152" s="210">
        <f>21050000+2600000</f>
        <v>23650000</v>
      </c>
      <c r="T152" s="210">
        <f>21050000-5200000</f>
        <v>15850000</v>
      </c>
      <c r="U152" s="412">
        <f t="shared" si="210"/>
        <v>210500000</v>
      </c>
      <c r="V152" s="58">
        <f t="shared" si="214"/>
        <v>250000000</v>
      </c>
      <c r="W152" s="396">
        <f t="shared" si="197"/>
        <v>250000000</v>
      </c>
      <c r="X152" s="396">
        <f t="shared" si="198"/>
        <v>0</v>
      </c>
      <c r="Y152" s="396">
        <f>+W152/12</f>
        <v>20833333.333333332</v>
      </c>
      <c r="Z152" s="55"/>
      <c r="AA152" s="210">
        <v>0</v>
      </c>
      <c r="AB152" s="210">
        <v>5940000</v>
      </c>
      <c r="AC152" s="210">
        <v>1045525</v>
      </c>
      <c r="AD152" s="210">
        <v>650091</v>
      </c>
      <c r="AE152" s="210">
        <v>605000</v>
      </c>
      <c r="AF152" s="210">
        <v>489508</v>
      </c>
      <c r="AG152" s="210">
        <v>1544077</v>
      </c>
      <c r="AH152" s="368">
        <v>1737265</v>
      </c>
      <c r="AI152" s="368">
        <v>27600909.140000001</v>
      </c>
      <c r="AJ152" s="368">
        <v>0</v>
      </c>
      <c r="AK152" s="210">
        <f t="shared" si="209"/>
        <v>39612375.140000001</v>
      </c>
      <c r="AL152" s="386"/>
      <c r="AM152" s="404">
        <f t="shared" si="186"/>
        <v>-1</v>
      </c>
      <c r="AN152" s="404">
        <f t="shared" si="187"/>
        <v>-0.71781472684085512</v>
      </c>
      <c r="AO152" s="404">
        <f t="shared" si="188"/>
        <v>-0.95033135391923995</v>
      </c>
      <c r="AP152" s="404">
        <f t="shared" si="189"/>
        <v>-0.96911681710213782</v>
      </c>
      <c r="AQ152" s="404">
        <f t="shared" si="190"/>
        <v>-0.97125890736342047</v>
      </c>
      <c r="AR152" s="404">
        <f t="shared" si="191"/>
        <v>-0.9767454631828979</v>
      </c>
      <c r="AS152" s="404">
        <f t="shared" si="192"/>
        <v>-0.92664717339667457</v>
      </c>
      <c r="AT152" s="404">
        <f t="shared" si="193"/>
        <v>-0.91746959619952495</v>
      </c>
      <c r="AU152" s="404">
        <f t="shared" si="194"/>
        <v>0.31120708503562949</v>
      </c>
      <c r="AV152" s="404">
        <f t="shared" si="195"/>
        <v>-1</v>
      </c>
      <c r="AW152" s="404">
        <f t="shared" si="196"/>
        <v>0.67494186638477804</v>
      </c>
    </row>
    <row r="153" spans="1:49" s="70" customFormat="1" x14ac:dyDescent="0.25">
      <c r="A153" s="339">
        <v>212213496</v>
      </c>
      <c r="B153" s="340" t="s">
        <v>71</v>
      </c>
      <c r="C153" s="367">
        <f>+C154+C155</f>
        <v>0</v>
      </c>
      <c r="D153" s="367">
        <f>+D154+D155</f>
        <v>25000000</v>
      </c>
      <c r="E153" s="367">
        <f t="shared" ref="E153:G153" si="224">+E154+E155</f>
        <v>0</v>
      </c>
      <c r="F153" s="367">
        <f t="shared" si="224"/>
        <v>0</v>
      </c>
      <c r="G153" s="367">
        <f t="shared" si="224"/>
        <v>25000000</v>
      </c>
      <c r="H153" s="367">
        <f t="shared" ref="H153:V153" si="225">+H154+H155</f>
        <v>0</v>
      </c>
      <c r="I153" s="367">
        <f t="shared" si="225"/>
        <v>2083333.3333333335</v>
      </c>
      <c r="J153" s="367">
        <f t="shared" si="225"/>
        <v>2083333.3333333335</v>
      </c>
      <c r="K153" s="367">
        <f t="shared" si="225"/>
        <v>2083333.3333333335</v>
      </c>
      <c r="L153" s="367">
        <f t="shared" si="225"/>
        <v>2083333.3333333335</v>
      </c>
      <c r="M153" s="367">
        <f t="shared" si="225"/>
        <v>2083333.3333333335</v>
      </c>
      <c r="N153" s="367">
        <f t="shared" si="225"/>
        <v>2083333.3333333335</v>
      </c>
      <c r="O153" s="367">
        <f t="shared" si="225"/>
        <v>2083333.3333333335</v>
      </c>
      <c r="P153" s="367">
        <f t="shared" si="225"/>
        <v>2083333.3333333335</v>
      </c>
      <c r="Q153" s="367">
        <f t="shared" si="225"/>
        <v>2083333.3333333335</v>
      </c>
      <c r="R153" s="367">
        <f t="shared" si="225"/>
        <v>2083333.3333333335</v>
      </c>
      <c r="S153" s="367">
        <f t="shared" si="225"/>
        <v>2083333.3333333335</v>
      </c>
      <c r="T153" s="367">
        <f t="shared" si="225"/>
        <v>2083333.3333333335</v>
      </c>
      <c r="U153" s="418">
        <f t="shared" si="210"/>
        <v>20833333.333333336</v>
      </c>
      <c r="V153" s="367">
        <f t="shared" si="225"/>
        <v>25000000</v>
      </c>
      <c r="W153" s="396">
        <f t="shared" si="197"/>
        <v>25000000</v>
      </c>
      <c r="X153" s="396">
        <f t="shared" si="198"/>
        <v>0</v>
      </c>
      <c r="Y153" s="396"/>
      <c r="Z153" s="53"/>
      <c r="AA153" s="209">
        <f t="shared" ref="AA153:AE153" si="226">+AA154+AA155</f>
        <v>2000000</v>
      </c>
      <c r="AB153" s="209">
        <f t="shared" si="226"/>
        <v>0</v>
      </c>
      <c r="AC153" s="209">
        <f t="shared" si="226"/>
        <v>1582000</v>
      </c>
      <c r="AD153" s="209">
        <f t="shared" si="226"/>
        <v>0</v>
      </c>
      <c r="AE153" s="209">
        <f t="shared" si="226"/>
        <v>0</v>
      </c>
      <c r="AF153" s="209">
        <f>+AF154+AF155</f>
        <v>56750</v>
      </c>
      <c r="AG153" s="209">
        <f t="shared" ref="AG153:AI153" si="227">+AG154+AG155</f>
        <v>260000</v>
      </c>
      <c r="AH153" s="209">
        <f t="shared" si="227"/>
        <v>2962289.96</v>
      </c>
      <c r="AI153" s="209">
        <f t="shared" si="227"/>
        <v>0</v>
      </c>
      <c r="AJ153" s="209">
        <v>0</v>
      </c>
      <c r="AK153" s="209">
        <f t="shared" si="209"/>
        <v>6861039.96</v>
      </c>
      <c r="AL153" s="387"/>
      <c r="AM153" s="405">
        <f t="shared" si="186"/>
        <v>-4.000000000000007E-2</v>
      </c>
      <c r="AN153" s="405">
        <f t="shared" si="187"/>
        <v>-1</v>
      </c>
      <c r="AO153" s="405">
        <f t="shared" si="188"/>
        <v>-0.24064000000000005</v>
      </c>
      <c r="AP153" s="405">
        <f t="shared" si="189"/>
        <v>-1</v>
      </c>
      <c r="AQ153" s="405">
        <f t="shared" si="190"/>
        <v>-1</v>
      </c>
      <c r="AR153" s="405">
        <f t="shared" si="191"/>
        <v>-0.97275999999999996</v>
      </c>
      <c r="AS153" s="405">
        <f t="shared" si="192"/>
        <v>-0.87519999999999998</v>
      </c>
      <c r="AT153" s="405">
        <f t="shared" si="193"/>
        <v>0.42189918079999988</v>
      </c>
      <c r="AU153" s="405">
        <f t="shared" si="194"/>
        <v>-1</v>
      </c>
      <c r="AV153" s="405">
        <f t="shared" si="195"/>
        <v>-1</v>
      </c>
      <c r="AW153" s="405">
        <f t="shared" si="196"/>
        <v>2.2932991808000001</v>
      </c>
    </row>
    <row r="154" spans="1:49" s="70" customFormat="1" ht="30" x14ac:dyDescent="0.25">
      <c r="A154" s="341">
        <v>2122134962</v>
      </c>
      <c r="B154" s="342" t="s">
        <v>582</v>
      </c>
      <c r="C154" s="368">
        <v>0</v>
      </c>
      <c r="D154" s="368">
        <v>10000000</v>
      </c>
      <c r="E154" s="368">
        <v>0</v>
      </c>
      <c r="F154" s="368">
        <v>0</v>
      </c>
      <c r="G154" s="368">
        <f t="shared" ref="G154:G155" si="228">+C154+D154-E154+F154</f>
        <v>10000000</v>
      </c>
      <c r="H154" s="68"/>
      <c r="I154" s="210">
        <v>833333.33333333337</v>
      </c>
      <c r="J154" s="210">
        <v>833333.33333333337</v>
      </c>
      <c r="K154" s="210">
        <v>833333.33333333337</v>
      </c>
      <c r="L154" s="210">
        <v>833333.33333333337</v>
      </c>
      <c r="M154" s="210">
        <v>833333.33333333337</v>
      </c>
      <c r="N154" s="210">
        <v>833333.33333333337</v>
      </c>
      <c r="O154" s="210">
        <v>833333.33333333337</v>
      </c>
      <c r="P154" s="210">
        <v>833333.33333333337</v>
      </c>
      <c r="Q154" s="210">
        <v>833333.33333333337</v>
      </c>
      <c r="R154" s="210">
        <v>833333.33333333337</v>
      </c>
      <c r="S154" s="210">
        <v>833333.33333333337</v>
      </c>
      <c r="T154" s="210">
        <v>833333.33333333337</v>
      </c>
      <c r="U154" s="412">
        <f t="shared" si="210"/>
        <v>8333333.3333333321</v>
      </c>
      <c r="V154" s="58">
        <f t="shared" si="214"/>
        <v>10000000</v>
      </c>
      <c r="W154" s="396">
        <f t="shared" si="197"/>
        <v>10000000</v>
      </c>
      <c r="X154" s="396">
        <f t="shared" si="198"/>
        <v>0</v>
      </c>
      <c r="Y154" s="396">
        <f t="shared" ref="Y154:Y158" si="229">+W154/12</f>
        <v>833333.33333333337</v>
      </c>
      <c r="Z154" s="53"/>
      <c r="AA154" s="210">
        <v>1000000</v>
      </c>
      <c r="AB154" s="210">
        <v>0</v>
      </c>
      <c r="AC154" s="210">
        <v>700000</v>
      </c>
      <c r="AD154" s="210">
        <v>0</v>
      </c>
      <c r="AE154" s="210">
        <v>0</v>
      </c>
      <c r="AF154" s="210">
        <v>50150</v>
      </c>
      <c r="AG154" s="210">
        <v>0</v>
      </c>
      <c r="AH154" s="368">
        <v>170100</v>
      </c>
      <c r="AI154" s="368">
        <v>0</v>
      </c>
      <c r="AJ154" s="368">
        <v>0</v>
      </c>
      <c r="AK154" s="210">
        <f t="shared" si="209"/>
        <v>1920250</v>
      </c>
      <c r="AL154" s="387"/>
      <c r="AM154" s="404">
        <f t="shared" si="186"/>
        <v>0.19999999999999996</v>
      </c>
      <c r="AN154" s="404">
        <f t="shared" si="187"/>
        <v>-1</v>
      </c>
      <c r="AO154" s="404">
        <f t="shared" si="188"/>
        <v>-0.16000000000000003</v>
      </c>
      <c r="AP154" s="404">
        <f t="shared" si="189"/>
        <v>-1</v>
      </c>
      <c r="AQ154" s="404">
        <f t="shared" si="190"/>
        <v>-1</v>
      </c>
      <c r="AR154" s="404">
        <f t="shared" si="191"/>
        <v>-0.93981999999999999</v>
      </c>
      <c r="AS154" s="404">
        <f t="shared" si="192"/>
        <v>-1</v>
      </c>
      <c r="AT154" s="404">
        <f t="shared" si="193"/>
        <v>-0.79588000000000003</v>
      </c>
      <c r="AU154" s="404">
        <f t="shared" si="194"/>
        <v>-1</v>
      </c>
      <c r="AV154" s="404">
        <f t="shared" si="195"/>
        <v>-1</v>
      </c>
      <c r="AW154" s="404">
        <f t="shared" si="196"/>
        <v>1.3042999999999998</v>
      </c>
    </row>
    <row r="155" spans="1:49" x14ac:dyDescent="0.25">
      <c r="A155" s="341">
        <v>2122134963</v>
      </c>
      <c r="B155" s="342" t="s">
        <v>583</v>
      </c>
      <c r="C155" s="368">
        <v>0</v>
      </c>
      <c r="D155" s="368">
        <v>15000000</v>
      </c>
      <c r="E155" s="368">
        <v>0</v>
      </c>
      <c r="F155" s="368">
        <v>0</v>
      </c>
      <c r="G155" s="368">
        <f t="shared" si="228"/>
        <v>15000000</v>
      </c>
      <c r="H155" s="68"/>
      <c r="I155" s="210">
        <v>1250000</v>
      </c>
      <c r="J155" s="210">
        <v>1250000</v>
      </c>
      <c r="K155" s="210">
        <v>1250000</v>
      </c>
      <c r="L155" s="210">
        <v>1250000</v>
      </c>
      <c r="M155" s="210">
        <v>1250000</v>
      </c>
      <c r="N155" s="210">
        <v>1250000</v>
      </c>
      <c r="O155" s="210">
        <v>1250000</v>
      </c>
      <c r="P155" s="210">
        <v>1250000</v>
      </c>
      <c r="Q155" s="210">
        <v>1250000</v>
      </c>
      <c r="R155" s="210">
        <v>1250000</v>
      </c>
      <c r="S155" s="210">
        <v>1250000</v>
      </c>
      <c r="T155" s="210">
        <v>1250000</v>
      </c>
      <c r="U155" s="412">
        <f t="shared" si="210"/>
        <v>12500000</v>
      </c>
      <c r="V155" s="58">
        <f t="shared" si="214"/>
        <v>15000000</v>
      </c>
      <c r="W155" s="396">
        <f t="shared" si="197"/>
        <v>15000000</v>
      </c>
      <c r="X155" s="396">
        <f t="shared" si="198"/>
        <v>0</v>
      </c>
      <c r="Y155" s="396">
        <f t="shared" si="229"/>
        <v>1250000</v>
      </c>
      <c r="AA155" s="210">
        <v>1000000</v>
      </c>
      <c r="AB155" s="210">
        <v>0</v>
      </c>
      <c r="AC155" s="210">
        <v>882000</v>
      </c>
      <c r="AD155" s="210">
        <v>0</v>
      </c>
      <c r="AE155" s="210">
        <v>0</v>
      </c>
      <c r="AF155" s="210">
        <v>6600</v>
      </c>
      <c r="AG155" s="210">
        <v>260000</v>
      </c>
      <c r="AH155" s="368">
        <v>2792189.96</v>
      </c>
      <c r="AI155" s="368">
        <v>0</v>
      </c>
      <c r="AJ155" s="368">
        <v>0</v>
      </c>
      <c r="AK155" s="210">
        <f t="shared" si="209"/>
        <v>4940789.96</v>
      </c>
      <c r="AL155" s="386"/>
      <c r="AM155" s="404">
        <f t="shared" si="186"/>
        <v>-0.2</v>
      </c>
      <c r="AN155" s="404">
        <f t="shared" si="187"/>
        <v>-1</v>
      </c>
      <c r="AO155" s="404">
        <f t="shared" si="188"/>
        <v>-0.2944</v>
      </c>
      <c r="AP155" s="404">
        <f t="shared" si="189"/>
        <v>-1</v>
      </c>
      <c r="AQ155" s="404">
        <f t="shared" si="190"/>
        <v>-1</v>
      </c>
      <c r="AR155" s="404">
        <f t="shared" si="191"/>
        <v>-0.99472000000000005</v>
      </c>
      <c r="AS155" s="404">
        <f t="shared" si="192"/>
        <v>-0.79200000000000004</v>
      </c>
      <c r="AT155" s="404">
        <f t="shared" si="193"/>
        <v>1.233751968</v>
      </c>
      <c r="AU155" s="404">
        <f t="shared" si="194"/>
        <v>-1</v>
      </c>
      <c r="AV155" s="404">
        <f t="shared" si="195"/>
        <v>-1</v>
      </c>
      <c r="AW155" s="404">
        <f t="shared" si="196"/>
        <v>2.9526319679999999</v>
      </c>
    </row>
    <row r="156" spans="1:49" s="70" customFormat="1" ht="30" x14ac:dyDescent="0.25">
      <c r="A156" s="339">
        <v>212213497</v>
      </c>
      <c r="B156" s="340" t="s">
        <v>813</v>
      </c>
      <c r="C156" s="367">
        <f>+C157+C158</f>
        <v>0</v>
      </c>
      <c r="D156" s="367">
        <f t="shared" ref="D156:G156" si="230">+D157+D158</f>
        <v>40000000</v>
      </c>
      <c r="E156" s="367">
        <f t="shared" si="230"/>
        <v>0</v>
      </c>
      <c r="F156" s="367">
        <f t="shared" si="230"/>
        <v>0</v>
      </c>
      <c r="G156" s="367">
        <f t="shared" si="230"/>
        <v>40000000</v>
      </c>
      <c r="H156" s="367">
        <f t="shared" ref="H156:V156" si="231">+H157+H158</f>
        <v>0</v>
      </c>
      <c r="I156" s="367">
        <f t="shared" si="231"/>
        <v>3333333.333333333</v>
      </c>
      <c r="J156" s="367">
        <f t="shared" si="231"/>
        <v>3333333.333333333</v>
      </c>
      <c r="K156" s="367">
        <f t="shared" si="231"/>
        <v>3333333.333333333</v>
      </c>
      <c r="L156" s="367">
        <f t="shared" si="231"/>
        <v>3333333.333333333</v>
      </c>
      <c r="M156" s="367">
        <f t="shared" si="231"/>
        <v>3333333.333333333</v>
      </c>
      <c r="N156" s="367">
        <f t="shared" si="231"/>
        <v>3333333.333333333</v>
      </c>
      <c r="O156" s="367">
        <f t="shared" si="231"/>
        <v>3333333.333333333</v>
      </c>
      <c r="P156" s="367">
        <f t="shared" si="231"/>
        <v>3333333.333333333</v>
      </c>
      <c r="Q156" s="367">
        <f t="shared" si="231"/>
        <v>3333333.333333333</v>
      </c>
      <c r="R156" s="367">
        <f t="shared" si="231"/>
        <v>3333333.333333333</v>
      </c>
      <c r="S156" s="367">
        <f t="shared" si="231"/>
        <v>3333333.333333333</v>
      </c>
      <c r="T156" s="367">
        <f t="shared" si="231"/>
        <v>3333333.333333333</v>
      </c>
      <c r="U156" s="418">
        <f t="shared" si="210"/>
        <v>33333333.333333325</v>
      </c>
      <c r="V156" s="367">
        <f t="shared" si="231"/>
        <v>40000000</v>
      </c>
      <c r="W156" s="396">
        <f t="shared" si="197"/>
        <v>40000000</v>
      </c>
      <c r="X156" s="396">
        <f t="shared" si="198"/>
        <v>0</v>
      </c>
      <c r="Y156" s="396">
        <f t="shared" si="229"/>
        <v>3333333.3333333335</v>
      </c>
      <c r="Z156" s="53"/>
      <c r="AA156" s="209">
        <f t="shared" ref="AA156:AB156" si="232">+AA157+AA158</f>
        <v>0</v>
      </c>
      <c r="AB156" s="209">
        <f t="shared" si="232"/>
        <v>0</v>
      </c>
      <c r="AC156" s="209">
        <f>+AC157+AC158</f>
        <v>4866818</v>
      </c>
      <c r="AD156" s="209">
        <f t="shared" ref="AD156:AI156" si="233">+AD157+AD158</f>
        <v>0</v>
      </c>
      <c r="AE156" s="209">
        <f t="shared" si="233"/>
        <v>0</v>
      </c>
      <c r="AF156" s="209">
        <f t="shared" si="233"/>
        <v>470000</v>
      </c>
      <c r="AG156" s="209">
        <f t="shared" si="233"/>
        <v>642000</v>
      </c>
      <c r="AH156" s="209">
        <f t="shared" si="233"/>
        <v>11780050</v>
      </c>
      <c r="AI156" s="209">
        <f t="shared" si="233"/>
        <v>0</v>
      </c>
      <c r="AJ156" s="209">
        <v>0</v>
      </c>
      <c r="AK156" s="209">
        <f t="shared" si="209"/>
        <v>17758868</v>
      </c>
      <c r="AL156" s="387"/>
      <c r="AM156" s="405">
        <f t="shared" si="186"/>
        <v>-1</v>
      </c>
      <c r="AN156" s="405">
        <f t="shared" si="187"/>
        <v>-1</v>
      </c>
      <c r="AO156" s="405">
        <f t="shared" si="188"/>
        <v>0.46004540000000016</v>
      </c>
      <c r="AP156" s="405">
        <f t="shared" si="189"/>
        <v>-1</v>
      </c>
      <c r="AQ156" s="405">
        <f t="shared" si="190"/>
        <v>-1</v>
      </c>
      <c r="AR156" s="405">
        <f t="shared" si="191"/>
        <v>-0.85899999999999999</v>
      </c>
      <c r="AS156" s="405">
        <f t="shared" si="192"/>
        <v>-0.80740000000000001</v>
      </c>
      <c r="AT156" s="405">
        <f t="shared" si="193"/>
        <v>2.5340150000000006</v>
      </c>
      <c r="AU156" s="405">
        <f t="shared" si="194"/>
        <v>-1</v>
      </c>
      <c r="AV156" s="405">
        <f t="shared" si="195"/>
        <v>-1</v>
      </c>
      <c r="AW156" s="405">
        <f t="shared" si="196"/>
        <v>4.327660400000001</v>
      </c>
    </row>
    <row r="157" spans="1:49" x14ac:dyDescent="0.25">
      <c r="A157" s="341">
        <v>2122134971</v>
      </c>
      <c r="B157" s="342" t="s">
        <v>814</v>
      </c>
      <c r="C157" s="368"/>
      <c r="D157" s="368">
        <v>15000000</v>
      </c>
      <c r="E157" s="368">
        <v>0</v>
      </c>
      <c r="F157" s="368">
        <v>0</v>
      </c>
      <c r="G157" s="368">
        <f t="shared" ref="G157:G158" si="234">+C157+D157-E157+F157</f>
        <v>15000000</v>
      </c>
      <c r="H157" s="177"/>
      <c r="I157" s="210">
        <v>1250000</v>
      </c>
      <c r="J157" s="210">
        <v>1250000</v>
      </c>
      <c r="K157" s="210">
        <v>1250000</v>
      </c>
      <c r="L157" s="210">
        <v>1250000</v>
      </c>
      <c r="M157" s="210">
        <v>1250000</v>
      </c>
      <c r="N157" s="210">
        <v>1250000</v>
      </c>
      <c r="O157" s="210">
        <v>1250000</v>
      </c>
      <c r="P157" s="210">
        <v>1250000</v>
      </c>
      <c r="Q157" s="210">
        <v>1250000</v>
      </c>
      <c r="R157" s="210">
        <v>1250000</v>
      </c>
      <c r="S157" s="210">
        <v>1250000</v>
      </c>
      <c r="T157" s="210">
        <v>1250000</v>
      </c>
      <c r="U157" s="412">
        <f t="shared" si="210"/>
        <v>12500000</v>
      </c>
      <c r="V157" s="58">
        <f t="shared" si="214"/>
        <v>15000000</v>
      </c>
      <c r="W157" s="396">
        <f t="shared" si="197"/>
        <v>15000000</v>
      </c>
      <c r="X157" s="396">
        <f t="shared" si="198"/>
        <v>0</v>
      </c>
      <c r="Y157" s="396">
        <f t="shared" si="229"/>
        <v>1250000</v>
      </c>
      <c r="AA157" s="210"/>
      <c r="AB157" s="210">
        <v>0</v>
      </c>
      <c r="AC157" s="210">
        <v>600000</v>
      </c>
      <c r="AD157" s="210">
        <v>0</v>
      </c>
      <c r="AE157" s="210">
        <v>0</v>
      </c>
      <c r="AF157" s="210">
        <v>0</v>
      </c>
      <c r="AG157" s="210">
        <v>0</v>
      </c>
      <c r="AH157" s="368">
        <v>11158150</v>
      </c>
      <c r="AI157" s="368">
        <v>0</v>
      </c>
      <c r="AJ157" s="368">
        <v>0</v>
      </c>
      <c r="AK157" s="210">
        <f t="shared" si="209"/>
        <v>11758150</v>
      </c>
      <c r="AL157" s="387"/>
      <c r="AM157" s="404">
        <f t="shared" si="186"/>
        <v>-1</v>
      </c>
      <c r="AN157" s="404">
        <f t="shared" si="187"/>
        <v>-1</v>
      </c>
      <c r="AO157" s="404">
        <f t="shared" si="188"/>
        <v>-0.52</v>
      </c>
      <c r="AP157" s="404">
        <f t="shared" si="189"/>
        <v>-1</v>
      </c>
      <c r="AQ157" s="404">
        <f t="shared" si="190"/>
        <v>-1</v>
      </c>
      <c r="AR157" s="404">
        <f t="shared" si="191"/>
        <v>-1</v>
      </c>
      <c r="AS157" s="404">
        <f t="shared" si="192"/>
        <v>-1</v>
      </c>
      <c r="AT157" s="404">
        <f t="shared" si="193"/>
        <v>7.92652</v>
      </c>
      <c r="AU157" s="404">
        <f t="shared" si="194"/>
        <v>-1</v>
      </c>
      <c r="AV157" s="404">
        <f t="shared" si="195"/>
        <v>-1</v>
      </c>
      <c r="AW157" s="404">
        <f t="shared" si="196"/>
        <v>8.4065200000000004</v>
      </c>
    </row>
    <row r="158" spans="1:49" s="70" customFormat="1" x14ac:dyDescent="0.25">
      <c r="A158" s="341">
        <v>2122134974</v>
      </c>
      <c r="B158" s="342" t="s">
        <v>815</v>
      </c>
      <c r="C158" s="368"/>
      <c r="D158" s="368">
        <v>25000000</v>
      </c>
      <c r="E158" s="368">
        <v>0</v>
      </c>
      <c r="F158" s="368">
        <v>0</v>
      </c>
      <c r="G158" s="368">
        <f t="shared" si="234"/>
        <v>25000000</v>
      </c>
      <c r="H158" s="177"/>
      <c r="I158" s="210">
        <v>2083333.3333333333</v>
      </c>
      <c r="J158" s="210">
        <v>2083333.3333333333</v>
      </c>
      <c r="K158" s="210">
        <v>2083333.3333333333</v>
      </c>
      <c r="L158" s="210">
        <v>2083333.3333333333</v>
      </c>
      <c r="M158" s="210">
        <v>2083333.3333333333</v>
      </c>
      <c r="N158" s="210">
        <v>2083333.3333333333</v>
      </c>
      <c r="O158" s="210">
        <v>2083333.3333333333</v>
      </c>
      <c r="P158" s="210">
        <v>2083333.3333333333</v>
      </c>
      <c r="Q158" s="210">
        <v>2083333.3333333333</v>
      </c>
      <c r="R158" s="210">
        <v>2083333.3333333333</v>
      </c>
      <c r="S158" s="210">
        <v>2083333.3333333333</v>
      </c>
      <c r="T158" s="210">
        <v>2083333.3333333333</v>
      </c>
      <c r="U158" s="412">
        <f t="shared" si="210"/>
        <v>20833333.333333332</v>
      </c>
      <c r="V158" s="58">
        <f t="shared" si="214"/>
        <v>24999999.999999996</v>
      </c>
      <c r="W158" s="396">
        <f t="shared" si="197"/>
        <v>25000000</v>
      </c>
      <c r="X158" s="396">
        <f t="shared" si="198"/>
        <v>0</v>
      </c>
      <c r="Y158" s="396">
        <f t="shared" si="229"/>
        <v>2083333.3333333333</v>
      </c>
      <c r="Z158" s="53"/>
      <c r="AA158" s="210"/>
      <c r="AB158" s="210">
        <v>0</v>
      </c>
      <c r="AC158" s="210">
        <v>4266818</v>
      </c>
      <c r="AD158" s="210">
        <v>0</v>
      </c>
      <c r="AE158" s="210">
        <v>0</v>
      </c>
      <c r="AF158" s="210">
        <v>470000</v>
      </c>
      <c r="AG158" s="210">
        <v>642000</v>
      </c>
      <c r="AH158" s="368">
        <v>621900</v>
      </c>
      <c r="AI158" s="368">
        <v>0</v>
      </c>
      <c r="AJ158" s="368">
        <v>0</v>
      </c>
      <c r="AK158" s="210">
        <f t="shared" si="209"/>
        <v>6000718</v>
      </c>
      <c r="AL158" s="386"/>
      <c r="AM158" s="404">
        <f t="shared" si="186"/>
        <v>-1</v>
      </c>
      <c r="AN158" s="404">
        <f t="shared" si="187"/>
        <v>-1</v>
      </c>
      <c r="AO158" s="404">
        <f t="shared" si="188"/>
        <v>1.0480726400000002</v>
      </c>
      <c r="AP158" s="404">
        <f t="shared" si="189"/>
        <v>-1</v>
      </c>
      <c r="AQ158" s="404">
        <f t="shared" si="190"/>
        <v>-1</v>
      </c>
      <c r="AR158" s="404">
        <f t="shared" si="191"/>
        <v>-0.77439999999999998</v>
      </c>
      <c r="AS158" s="404">
        <f t="shared" si="192"/>
        <v>-0.69184000000000001</v>
      </c>
      <c r="AT158" s="404">
        <f t="shared" si="193"/>
        <v>-0.701488</v>
      </c>
      <c r="AU158" s="404">
        <f t="shared" si="194"/>
        <v>-1</v>
      </c>
      <c r="AV158" s="404">
        <f t="shared" si="195"/>
        <v>-1</v>
      </c>
      <c r="AW158" s="404">
        <f t="shared" si="196"/>
        <v>1.8803446400000001</v>
      </c>
    </row>
    <row r="159" spans="1:49" s="70" customFormat="1" x14ac:dyDescent="0.25">
      <c r="A159" s="337">
        <v>21222</v>
      </c>
      <c r="B159" s="338" t="s">
        <v>72</v>
      </c>
      <c r="C159" s="366">
        <f>+C160+C162+C165+C172+C188+C217</f>
        <v>6117300000</v>
      </c>
      <c r="D159" s="366">
        <f t="shared" ref="D159:AK159" si="235">+D160+D162+D165+D172+D188+D217</f>
        <v>2081503695</v>
      </c>
      <c r="E159" s="366">
        <f t="shared" si="235"/>
        <v>793829401</v>
      </c>
      <c r="F159" s="366">
        <f t="shared" si="235"/>
        <v>1255015764</v>
      </c>
      <c r="G159" s="366">
        <f t="shared" si="235"/>
        <v>8659990058</v>
      </c>
      <c r="H159" s="366">
        <f t="shared" si="235"/>
        <v>7076569859.0100002</v>
      </c>
      <c r="I159" s="366">
        <f t="shared" si="235"/>
        <v>639775136.65666664</v>
      </c>
      <c r="J159" s="366">
        <f t="shared" si="235"/>
        <v>1795640638.6566668</v>
      </c>
      <c r="K159" s="366">
        <f t="shared" si="235"/>
        <v>689599581.15666664</v>
      </c>
      <c r="L159" s="366">
        <f t="shared" si="235"/>
        <v>523482133.1566667</v>
      </c>
      <c r="M159" s="366">
        <f t="shared" si="235"/>
        <v>721075136.65666664</v>
      </c>
      <c r="N159" s="366">
        <f t="shared" si="235"/>
        <v>507275136.6566667</v>
      </c>
      <c r="O159" s="366">
        <f t="shared" si="235"/>
        <v>567275136.65666664</v>
      </c>
      <c r="P159" s="366">
        <f t="shared" si="235"/>
        <v>687357299.95666659</v>
      </c>
      <c r="Q159" s="366">
        <f t="shared" si="235"/>
        <v>641185285.95666659</v>
      </c>
      <c r="R159" s="366">
        <f t="shared" si="235"/>
        <v>634775715.45666659</v>
      </c>
      <c r="S159" s="366">
        <f t="shared" si="235"/>
        <v>633773141.45666659</v>
      </c>
      <c r="T159" s="366">
        <f t="shared" si="235"/>
        <v>618775715.57666671</v>
      </c>
      <c r="U159" s="417">
        <f t="shared" si="210"/>
        <v>7407441200.9666681</v>
      </c>
      <c r="V159" s="366">
        <f t="shared" si="235"/>
        <v>8659990058</v>
      </c>
      <c r="W159" s="366">
        <f t="shared" si="235"/>
        <v>8659990058</v>
      </c>
      <c r="X159" s="366">
        <f t="shared" si="235"/>
        <v>0</v>
      </c>
      <c r="Y159" s="366">
        <f t="shared" si="235"/>
        <v>0</v>
      </c>
      <c r="Z159" s="366">
        <f t="shared" si="235"/>
        <v>0</v>
      </c>
      <c r="AA159" s="366">
        <f t="shared" si="235"/>
        <v>334260852.54000002</v>
      </c>
      <c r="AB159" s="366">
        <f t="shared" si="235"/>
        <v>152076118.48000002</v>
      </c>
      <c r="AC159" s="366">
        <f t="shared" si="235"/>
        <v>587968533.3499999</v>
      </c>
      <c r="AD159" s="366">
        <f t="shared" si="235"/>
        <v>310170326.15999997</v>
      </c>
      <c r="AE159" s="366">
        <f t="shared" si="235"/>
        <v>258902590.05999997</v>
      </c>
      <c r="AF159" s="366">
        <f t="shared" si="235"/>
        <v>1038293159.63</v>
      </c>
      <c r="AG159" s="366">
        <f t="shared" si="235"/>
        <v>582369036.18999994</v>
      </c>
      <c r="AH159" s="366">
        <f t="shared" si="235"/>
        <v>471837785.09999996</v>
      </c>
      <c r="AI159" s="366">
        <f t="shared" si="235"/>
        <v>316541194.84999996</v>
      </c>
      <c r="AJ159" s="366">
        <f t="shared" si="235"/>
        <v>476313239.5</v>
      </c>
      <c r="AK159" s="366">
        <f t="shared" si="235"/>
        <v>4528732835.8599997</v>
      </c>
      <c r="AL159" s="402"/>
      <c r="AM159" s="399">
        <f t="shared" si="186"/>
        <v>-0.47753384996050563</v>
      </c>
      <c r="AN159" s="399">
        <f t="shared" si="187"/>
        <v>-0.9153081550917842</v>
      </c>
      <c r="AO159" s="399">
        <f t="shared" si="188"/>
        <v>-0.14737689897694078</v>
      </c>
      <c r="AP159" s="399">
        <f t="shared" si="189"/>
        <v>-0.40748631803413848</v>
      </c>
      <c r="AQ159" s="399">
        <f t="shared" si="190"/>
        <v>-0.64094922027068302</v>
      </c>
      <c r="AR159" s="399">
        <f t="shared" si="191"/>
        <v>1.0468047507180236</v>
      </c>
      <c r="AS159" s="399">
        <f t="shared" si="192"/>
        <v>2.66077227045271E-2</v>
      </c>
      <c r="AT159" s="399">
        <f t="shared" si="193"/>
        <v>-0.31354801188589071</v>
      </c>
      <c r="AU159" s="399">
        <f t="shared" si="194"/>
        <v>-0.506318685436283</v>
      </c>
      <c r="AV159" s="399">
        <f t="shared" si="195"/>
        <v>-0.24963537844649028</v>
      </c>
      <c r="AW159" s="399">
        <f t="shared" si="196"/>
        <v>6.1456685991002127</v>
      </c>
    </row>
    <row r="160" spans="1:49" ht="30" x14ac:dyDescent="0.25">
      <c r="A160" s="339">
        <v>212221</v>
      </c>
      <c r="B160" s="340" t="s">
        <v>20</v>
      </c>
      <c r="C160" s="367">
        <f>+C161</f>
        <v>350000000</v>
      </c>
      <c r="D160" s="367">
        <f t="shared" ref="D160:AK160" si="236">+D161</f>
        <v>0</v>
      </c>
      <c r="E160" s="367">
        <f t="shared" si="236"/>
        <v>0</v>
      </c>
      <c r="F160" s="367">
        <f t="shared" si="236"/>
        <v>0</v>
      </c>
      <c r="G160" s="367">
        <f t="shared" si="236"/>
        <v>350000000</v>
      </c>
      <c r="H160" s="367">
        <f t="shared" si="236"/>
        <v>350000000</v>
      </c>
      <c r="I160" s="367">
        <f t="shared" si="236"/>
        <v>29166666.666666668</v>
      </c>
      <c r="J160" s="367">
        <f t="shared" si="236"/>
        <v>29166666.666666668</v>
      </c>
      <c r="K160" s="367">
        <f t="shared" si="236"/>
        <v>29166666.666666668</v>
      </c>
      <c r="L160" s="367">
        <f t="shared" si="236"/>
        <v>29166666.666666668</v>
      </c>
      <c r="M160" s="367">
        <f t="shared" si="236"/>
        <v>29166666.666666668</v>
      </c>
      <c r="N160" s="367">
        <f t="shared" si="236"/>
        <v>29166666.666666668</v>
      </c>
      <c r="O160" s="367">
        <f t="shared" si="236"/>
        <v>29166666.666666668</v>
      </c>
      <c r="P160" s="367">
        <f t="shared" si="236"/>
        <v>29166666.666666668</v>
      </c>
      <c r="Q160" s="367">
        <f t="shared" si="236"/>
        <v>29166666.666666668</v>
      </c>
      <c r="R160" s="367">
        <f t="shared" si="236"/>
        <v>29166666.666666668</v>
      </c>
      <c r="S160" s="367">
        <f t="shared" si="236"/>
        <v>29166666.666666668</v>
      </c>
      <c r="T160" s="367">
        <f t="shared" si="236"/>
        <v>29166666.666666668</v>
      </c>
      <c r="U160" s="418">
        <f t="shared" si="210"/>
        <v>291666666.66666663</v>
      </c>
      <c r="V160" s="367">
        <f t="shared" si="236"/>
        <v>350000000</v>
      </c>
      <c r="W160" s="367">
        <f t="shared" si="236"/>
        <v>350000000</v>
      </c>
      <c r="X160" s="367">
        <f t="shared" si="236"/>
        <v>0</v>
      </c>
      <c r="Y160" s="367">
        <f t="shared" si="236"/>
        <v>0</v>
      </c>
      <c r="Z160" s="367">
        <f t="shared" si="236"/>
        <v>0</v>
      </c>
      <c r="AA160" s="367">
        <f t="shared" si="236"/>
        <v>13214688</v>
      </c>
      <c r="AB160" s="367">
        <f t="shared" si="236"/>
        <v>68795870</v>
      </c>
      <c r="AC160" s="367">
        <f t="shared" si="236"/>
        <v>13451999</v>
      </c>
      <c r="AD160" s="367">
        <f t="shared" si="236"/>
        <v>10140829</v>
      </c>
      <c r="AE160" s="367">
        <f t="shared" si="236"/>
        <v>547506</v>
      </c>
      <c r="AF160" s="367">
        <f t="shared" si="236"/>
        <v>2030817</v>
      </c>
      <c r="AG160" s="367">
        <f t="shared" si="236"/>
        <v>3818853</v>
      </c>
      <c r="AH160" s="367">
        <f t="shared" si="236"/>
        <v>7791026</v>
      </c>
      <c r="AI160" s="367">
        <f t="shared" si="236"/>
        <v>11340580</v>
      </c>
      <c r="AJ160" s="367">
        <f t="shared" si="236"/>
        <v>6881556</v>
      </c>
      <c r="AK160" s="367">
        <f t="shared" si="236"/>
        <v>138013724</v>
      </c>
      <c r="AL160" s="387"/>
      <c r="AM160" s="398">
        <f t="shared" si="186"/>
        <v>-0.54692498285714286</v>
      </c>
      <c r="AN160" s="398">
        <f t="shared" si="187"/>
        <v>1.3587155428571427</v>
      </c>
      <c r="AO160" s="398">
        <f t="shared" si="188"/>
        <v>-0.53878860571428577</v>
      </c>
      <c r="AP160" s="398">
        <f t="shared" si="189"/>
        <v>-0.65231443428571434</v>
      </c>
      <c r="AQ160" s="398">
        <f t="shared" si="190"/>
        <v>-0.98122836571428573</v>
      </c>
      <c r="AR160" s="398">
        <f t="shared" si="191"/>
        <v>-0.93037198857142855</v>
      </c>
      <c r="AS160" s="398">
        <f t="shared" si="192"/>
        <v>-0.86906789714285715</v>
      </c>
      <c r="AT160" s="398">
        <f t="shared" si="193"/>
        <v>-0.73287910857142857</v>
      </c>
      <c r="AU160" s="398">
        <f t="shared" si="194"/>
        <v>-0.61118011428571428</v>
      </c>
      <c r="AV160" s="398">
        <f t="shared" si="195"/>
        <v>-0.76406093714285717</v>
      </c>
      <c r="AW160" s="398">
        <f t="shared" si="196"/>
        <v>3.7318991085714281</v>
      </c>
    </row>
    <row r="161" spans="1:49" s="70" customFormat="1" x14ac:dyDescent="0.25">
      <c r="A161" s="341">
        <v>2122211</v>
      </c>
      <c r="B161" s="342" t="s">
        <v>73</v>
      </c>
      <c r="C161" s="368">
        <v>350000000</v>
      </c>
      <c r="D161" s="368">
        <v>0</v>
      </c>
      <c r="E161" s="368">
        <v>0</v>
      </c>
      <c r="F161" s="368">
        <v>0</v>
      </c>
      <c r="G161" s="368">
        <f t="shared" ref="G161" si="237">+C161+D161-E161+F161</f>
        <v>350000000</v>
      </c>
      <c r="H161" s="58">
        <v>350000000</v>
      </c>
      <c r="I161" s="210">
        <v>29166666.666666668</v>
      </c>
      <c r="J161" s="210">
        <v>29166666.666666668</v>
      </c>
      <c r="K161" s="210">
        <v>29166666.666666668</v>
      </c>
      <c r="L161" s="210">
        <v>29166666.666666668</v>
      </c>
      <c r="M161" s="210">
        <v>29166666.666666668</v>
      </c>
      <c r="N161" s="210">
        <v>29166666.666666668</v>
      </c>
      <c r="O161" s="210">
        <v>29166666.666666668</v>
      </c>
      <c r="P161" s="210">
        <v>29166666.666666668</v>
      </c>
      <c r="Q161" s="210">
        <v>29166666.666666668</v>
      </c>
      <c r="R161" s="210">
        <v>29166666.666666668</v>
      </c>
      <c r="S161" s="210">
        <v>29166666.666666668</v>
      </c>
      <c r="T161" s="210">
        <v>29166666.666666668</v>
      </c>
      <c r="U161" s="412">
        <f t="shared" si="210"/>
        <v>291666666.66666663</v>
      </c>
      <c r="V161" s="58">
        <f>SUM(I161:T161)</f>
        <v>350000000</v>
      </c>
      <c r="W161" s="396">
        <f t="shared" si="197"/>
        <v>350000000</v>
      </c>
      <c r="X161" s="396">
        <f t="shared" si="198"/>
        <v>0</v>
      </c>
      <c r="Y161" s="396"/>
      <c r="Z161" s="55"/>
      <c r="AA161" s="210">
        <v>13214688</v>
      </c>
      <c r="AB161" s="210">
        <v>68795870</v>
      </c>
      <c r="AC161" s="210">
        <v>13451999</v>
      </c>
      <c r="AD161" s="210">
        <f>1451749+8689080</f>
        <v>10140829</v>
      </c>
      <c r="AE161" s="210">
        <v>547506</v>
      </c>
      <c r="AF161" s="210">
        <v>2030817</v>
      </c>
      <c r="AG161" s="210">
        <v>3818853</v>
      </c>
      <c r="AH161" s="368">
        <f>7054870+736156</f>
        <v>7791026</v>
      </c>
      <c r="AI161" s="368">
        <v>11340580</v>
      </c>
      <c r="AJ161" s="368">
        <v>6881556</v>
      </c>
      <c r="AK161" s="210">
        <f t="shared" si="209"/>
        <v>138013724</v>
      </c>
      <c r="AL161" s="386"/>
      <c r="AM161" s="404">
        <f t="shared" si="186"/>
        <v>-0.54692498285714286</v>
      </c>
      <c r="AN161" s="404">
        <f t="shared" si="187"/>
        <v>1.3587155428571427</v>
      </c>
      <c r="AO161" s="404">
        <f t="shared" si="188"/>
        <v>-0.53878860571428577</v>
      </c>
      <c r="AP161" s="404">
        <f t="shared" si="189"/>
        <v>-0.65231443428571434</v>
      </c>
      <c r="AQ161" s="404">
        <f t="shared" si="190"/>
        <v>-0.98122836571428573</v>
      </c>
      <c r="AR161" s="404">
        <f t="shared" si="191"/>
        <v>-0.93037198857142855</v>
      </c>
      <c r="AS161" s="404">
        <f t="shared" si="192"/>
        <v>-0.86906789714285715</v>
      </c>
      <c r="AT161" s="404">
        <f t="shared" si="193"/>
        <v>-0.73287910857142857</v>
      </c>
      <c r="AU161" s="404">
        <f t="shared" si="194"/>
        <v>-0.61118011428571428</v>
      </c>
      <c r="AV161" s="404">
        <f t="shared" si="195"/>
        <v>-0.76406093714285717</v>
      </c>
      <c r="AW161" s="404">
        <f t="shared" si="196"/>
        <v>3.7318991085714281</v>
      </c>
    </row>
    <row r="162" spans="1:49" x14ac:dyDescent="0.25">
      <c r="A162" s="339">
        <v>212225</v>
      </c>
      <c r="B162" s="340" t="s">
        <v>816</v>
      </c>
      <c r="C162" s="367">
        <f>+C163</f>
        <v>0</v>
      </c>
      <c r="D162" s="367">
        <f t="shared" ref="D162:G162" si="238">+D163</f>
        <v>34000000</v>
      </c>
      <c r="E162" s="367">
        <f t="shared" si="238"/>
        <v>0</v>
      </c>
      <c r="F162" s="367">
        <f t="shared" si="238"/>
        <v>429515764</v>
      </c>
      <c r="G162" s="367">
        <f t="shared" si="238"/>
        <v>463515764</v>
      </c>
      <c r="H162" s="367">
        <f t="shared" ref="H162:V163" si="239">+H163</f>
        <v>0</v>
      </c>
      <c r="I162" s="367">
        <f t="shared" si="239"/>
        <v>0</v>
      </c>
      <c r="J162" s="367">
        <f t="shared" si="239"/>
        <v>0</v>
      </c>
      <c r="K162" s="367">
        <f t="shared" si="239"/>
        <v>0</v>
      </c>
      <c r="L162" s="367">
        <f t="shared" si="239"/>
        <v>0</v>
      </c>
      <c r="M162" s="367">
        <f t="shared" si="239"/>
        <v>0</v>
      </c>
      <c r="N162" s="367">
        <f t="shared" si="239"/>
        <v>0</v>
      </c>
      <c r="O162" s="367">
        <f t="shared" si="239"/>
        <v>0</v>
      </c>
      <c r="P162" s="367">
        <f t="shared" si="239"/>
        <v>92703152.799999997</v>
      </c>
      <c r="Q162" s="367">
        <f t="shared" si="239"/>
        <v>92703152.799999997</v>
      </c>
      <c r="R162" s="367">
        <f t="shared" si="239"/>
        <v>92703152.799999997</v>
      </c>
      <c r="S162" s="367">
        <f t="shared" si="239"/>
        <v>92703152.799999997</v>
      </c>
      <c r="T162" s="367">
        <f t="shared" si="239"/>
        <v>92703152.799999997</v>
      </c>
      <c r="U162" s="418">
        <f t="shared" si="210"/>
        <v>278109458.39999998</v>
      </c>
      <c r="V162" s="367">
        <f t="shared" si="239"/>
        <v>463515764</v>
      </c>
      <c r="W162" s="396">
        <f t="shared" si="197"/>
        <v>463515764</v>
      </c>
      <c r="X162" s="396">
        <f t="shared" si="198"/>
        <v>0</v>
      </c>
      <c r="Y162" s="396"/>
      <c r="Z162" s="55"/>
      <c r="AA162" s="270">
        <f>+AA163</f>
        <v>0</v>
      </c>
      <c r="AB162" s="270">
        <f t="shared" ref="AB162:AG163" si="240">+AB163</f>
        <v>0</v>
      </c>
      <c r="AC162" s="270">
        <f t="shared" si="240"/>
        <v>0</v>
      </c>
      <c r="AD162" s="270">
        <f t="shared" si="240"/>
        <v>0</v>
      </c>
      <c r="AE162" s="270">
        <f t="shared" si="240"/>
        <v>0</v>
      </c>
      <c r="AF162" s="270">
        <f t="shared" si="240"/>
        <v>34000000</v>
      </c>
      <c r="AG162" s="270">
        <f t="shared" si="240"/>
        <v>0</v>
      </c>
      <c r="AH162" s="367">
        <v>0</v>
      </c>
      <c r="AI162" s="367">
        <v>0</v>
      </c>
      <c r="AJ162" s="367">
        <v>0</v>
      </c>
      <c r="AK162" s="270">
        <f t="shared" si="209"/>
        <v>34000000</v>
      </c>
      <c r="AL162" s="387"/>
      <c r="AM162" s="410" t="e">
        <f t="shared" si="186"/>
        <v>#DIV/0!</v>
      </c>
      <c r="AN162" s="410" t="e">
        <f t="shared" si="187"/>
        <v>#DIV/0!</v>
      </c>
      <c r="AO162" s="410" t="e">
        <f t="shared" si="188"/>
        <v>#DIV/0!</v>
      </c>
      <c r="AP162" s="410" t="e">
        <f t="shared" si="189"/>
        <v>#DIV/0!</v>
      </c>
      <c r="AQ162" s="410" t="e">
        <f t="shared" si="190"/>
        <v>#DIV/0!</v>
      </c>
      <c r="AR162" s="410" t="e">
        <f t="shared" si="191"/>
        <v>#DIV/0!</v>
      </c>
      <c r="AS162" s="410" t="e">
        <f t="shared" si="192"/>
        <v>#DIV/0!</v>
      </c>
      <c r="AT162" s="410">
        <f t="shared" si="193"/>
        <v>-1</v>
      </c>
      <c r="AU162" s="410">
        <f t="shared" si="194"/>
        <v>-1</v>
      </c>
      <c r="AV162" s="410">
        <f t="shared" si="195"/>
        <v>-1</v>
      </c>
      <c r="AW162" s="410">
        <f t="shared" si="196"/>
        <v>-0.63323793233491843</v>
      </c>
    </row>
    <row r="163" spans="1:49" s="70" customFormat="1" ht="30" x14ac:dyDescent="0.25">
      <c r="A163" s="341">
        <v>2122252</v>
      </c>
      <c r="B163" s="342" t="s">
        <v>817</v>
      </c>
      <c r="C163" s="368">
        <f>+C164</f>
        <v>0</v>
      </c>
      <c r="D163" s="368">
        <v>34000000</v>
      </c>
      <c r="E163" s="368">
        <v>0</v>
      </c>
      <c r="F163" s="368">
        <v>429515764</v>
      </c>
      <c r="G163" s="368">
        <f t="shared" ref="G163:G164" si="241">+C163+D163-E163+F163</f>
        <v>463515764</v>
      </c>
      <c r="H163" s="368">
        <f t="shared" si="239"/>
        <v>0</v>
      </c>
      <c r="I163" s="368">
        <f t="shared" si="239"/>
        <v>0</v>
      </c>
      <c r="J163" s="368">
        <f t="shared" si="239"/>
        <v>0</v>
      </c>
      <c r="K163" s="368">
        <f t="shared" si="239"/>
        <v>0</v>
      </c>
      <c r="L163" s="368">
        <f t="shared" si="239"/>
        <v>0</v>
      </c>
      <c r="M163" s="368">
        <f t="shared" si="239"/>
        <v>0</v>
      </c>
      <c r="N163" s="368">
        <f t="shared" si="239"/>
        <v>0</v>
      </c>
      <c r="O163" s="368">
        <f t="shared" si="239"/>
        <v>0</v>
      </c>
      <c r="P163" s="368">
        <f t="shared" si="239"/>
        <v>92703152.799999997</v>
      </c>
      <c r="Q163" s="368">
        <f t="shared" si="239"/>
        <v>92703152.799999997</v>
      </c>
      <c r="R163" s="368">
        <f t="shared" si="239"/>
        <v>92703152.799999997</v>
      </c>
      <c r="S163" s="368">
        <f t="shared" si="239"/>
        <v>92703152.799999997</v>
      </c>
      <c r="T163" s="368">
        <f t="shared" si="239"/>
        <v>92703152.799999997</v>
      </c>
      <c r="U163" s="420">
        <f t="shared" si="210"/>
        <v>278109458.39999998</v>
      </c>
      <c r="V163" s="368">
        <f t="shared" si="239"/>
        <v>463515764</v>
      </c>
      <c r="W163" s="396">
        <f t="shared" si="197"/>
        <v>463515764</v>
      </c>
      <c r="X163" s="396">
        <f t="shared" si="198"/>
        <v>0</v>
      </c>
      <c r="Y163" s="396"/>
      <c r="Z163" s="55"/>
      <c r="AA163" s="270">
        <f>+AA164</f>
        <v>0</v>
      </c>
      <c r="AB163" s="270">
        <f t="shared" si="240"/>
        <v>0</v>
      </c>
      <c r="AC163" s="270">
        <f t="shared" si="240"/>
        <v>0</v>
      </c>
      <c r="AD163" s="270">
        <f t="shared" si="240"/>
        <v>0</v>
      </c>
      <c r="AE163" s="270">
        <f t="shared" si="240"/>
        <v>0</v>
      </c>
      <c r="AF163" s="270">
        <f t="shared" si="240"/>
        <v>34000000</v>
      </c>
      <c r="AG163" s="270">
        <f t="shared" si="240"/>
        <v>0</v>
      </c>
      <c r="AH163" s="368">
        <v>0</v>
      </c>
      <c r="AI163" s="368">
        <v>0</v>
      </c>
      <c r="AJ163" s="368">
        <v>0</v>
      </c>
      <c r="AK163" s="270">
        <f t="shared" si="209"/>
        <v>34000000</v>
      </c>
      <c r="AL163" s="387"/>
      <c r="AM163" s="410" t="e">
        <f t="shared" si="186"/>
        <v>#DIV/0!</v>
      </c>
      <c r="AN163" s="410" t="e">
        <f t="shared" si="187"/>
        <v>#DIV/0!</v>
      </c>
      <c r="AO163" s="410" t="e">
        <f t="shared" si="188"/>
        <v>#DIV/0!</v>
      </c>
      <c r="AP163" s="410" t="e">
        <f t="shared" si="189"/>
        <v>#DIV/0!</v>
      </c>
      <c r="AQ163" s="410" t="e">
        <f t="shared" si="190"/>
        <v>#DIV/0!</v>
      </c>
      <c r="AR163" s="410" t="e">
        <f t="shared" si="191"/>
        <v>#DIV/0!</v>
      </c>
      <c r="AS163" s="410" t="e">
        <f t="shared" si="192"/>
        <v>#DIV/0!</v>
      </c>
      <c r="AT163" s="410">
        <f t="shared" si="193"/>
        <v>-1</v>
      </c>
      <c r="AU163" s="410">
        <f t="shared" si="194"/>
        <v>-1</v>
      </c>
      <c r="AV163" s="410">
        <f t="shared" si="195"/>
        <v>-1</v>
      </c>
      <c r="AW163" s="410">
        <f t="shared" si="196"/>
        <v>-0.63323793233491843</v>
      </c>
    </row>
    <row r="164" spans="1:49" s="70" customFormat="1" ht="30" x14ac:dyDescent="0.25">
      <c r="A164" s="341">
        <v>21222524</v>
      </c>
      <c r="B164" s="342" t="s">
        <v>818</v>
      </c>
      <c r="C164" s="368"/>
      <c r="D164" s="368">
        <v>34000000</v>
      </c>
      <c r="E164" s="368">
        <v>0</v>
      </c>
      <c r="F164" s="368">
        <v>429515764</v>
      </c>
      <c r="G164" s="368">
        <f t="shared" si="241"/>
        <v>463515764</v>
      </c>
      <c r="H164" s="177"/>
      <c r="I164" s="210"/>
      <c r="J164" s="210"/>
      <c r="K164" s="210"/>
      <c r="L164" s="210"/>
      <c r="M164" s="210"/>
      <c r="N164" s="210"/>
      <c r="O164" s="210"/>
      <c r="P164" s="210">
        <v>92703152.799999997</v>
      </c>
      <c r="Q164" s="210">
        <v>92703152.799999997</v>
      </c>
      <c r="R164" s="210">
        <v>92703152.799999997</v>
      </c>
      <c r="S164" s="210">
        <v>92703152.799999997</v>
      </c>
      <c r="T164" s="210">
        <v>92703152.799999997</v>
      </c>
      <c r="U164" s="412">
        <f t="shared" si="210"/>
        <v>278109458.39999998</v>
      </c>
      <c r="V164" s="58">
        <f t="shared" si="214"/>
        <v>463515764</v>
      </c>
      <c r="W164" s="396">
        <f t="shared" si="197"/>
        <v>463515764</v>
      </c>
      <c r="X164" s="396">
        <f t="shared" si="198"/>
        <v>0</v>
      </c>
      <c r="Y164" s="396">
        <f>+X164/5</f>
        <v>0</v>
      </c>
      <c r="Z164" s="55"/>
      <c r="AA164" s="210"/>
      <c r="AB164" s="210">
        <v>0</v>
      </c>
      <c r="AC164" s="210">
        <v>0</v>
      </c>
      <c r="AD164" s="210">
        <v>0</v>
      </c>
      <c r="AE164" s="210">
        <v>0</v>
      </c>
      <c r="AF164" s="210">
        <v>34000000</v>
      </c>
      <c r="AG164" s="210">
        <v>0</v>
      </c>
      <c r="AH164" s="368">
        <v>0</v>
      </c>
      <c r="AI164" s="368">
        <v>0</v>
      </c>
      <c r="AJ164" s="368">
        <v>0</v>
      </c>
      <c r="AK164" s="210">
        <f t="shared" si="209"/>
        <v>34000000</v>
      </c>
      <c r="AL164" s="386"/>
      <c r="AM164" s="404" t="e">
        <f t="shared" si="186"/>
        <v>#DIV/0!</v>
      </c>
      <c r="AN164" s="404" t="e">
        <f t="shared" si="187"/>
        <v>#DIV/0!</v>
      </c>
      <c r="AO164" s="404" t="e">
        <f t="shared" si="188"/>
        <v>#DIV/0!</v>
      </c>
      <c r="AP164" s="404" t="e">
        <f t="shared" si="189"/>
        <v>#DIV/0!</v>
      </c>
      <c r="AQ164" s="404" t="e">
        <f t="shared" si="190"/>
        <v>#DIV/0!</v>
      </c>
      <c r="AR164" s="404" t="e">
        <f t="shared" si="191"/>
        <v>#DIV/0!</v>
      </c>
      <c r="AS164" s="404" t="e">
        <f t="shared" si="192"/>
        <v>#DIV/0!</v>
      </c>
      <c r="AT164" s="404">
        <f t="shared" si="193"/>
        <v>-1</v>
      </c>
      <c r="AU164" s="404">
        <f t="shared" si="194"/>
        <v>-1</v>
      </c>
      <c r="AV164" s="404">
        <f t="shared" si="195"/>
        <v>-1</v>
      </c>
      <c r="AW164" s="404">
        <f t="shared" si="196"/>
        <v>-0.63323793233491843</v>
      </c>
    </row>
    <row r="165" spans="1:49" s="70" customFormat="1" ht="45" x14ac:dyDescent="0.25">
      <c r="A165" s="337">
        <v>212226</v>
      </c>
      <c r="B165" s="338" t="s">
        <v>74</v>
      </c>
      <c r="C165" s="366">
        <f>+C166+C170+C171</f>
        <v>470000000</v>
      </c>
      <c r="D165" s="366">
        <f t="shared" ref="D165:G165" si="242">+D166+D170+D171</f>
        <v>0</v>
      </c>
      <c r="E165" s="366">
        <f t="shared" si="242"/>
        <v>118134498</v>
      </c>
      <c r="F165" s="366">
        <f t="shared" si="242"/>
        <v>0</v>
      </c>
      <c r="G165" s="366">
        <f t="shared" si="242"/>
        <v>351865502</v>
      </c>
      <c r="H165" s="61">
        <f t="shared" ref="H165:V165" si="243">+H166+H170+H171</f>
        <v>470000000</v>
      </c>
      <c r="I165" s="206">
        <f t="shared" si="243"/>
        <v>103083333.33</v>
      </c>
      <c r="J165" s="206">
        <f t="shared" si="243"/>
        <v>187948835.33000001</v>
      </c>
      <c r="K165" s="206">
        <f t="shared" si="243"/>
        <v>6083333.3300000001</v>
      </c>
      <c r="L165" s="206">
        <f t="shared" si="243"/>
        <v>6083333.3300000001</v>
      </c>
      <c r="M165" s="206">
        <f t="shared" si="243"/>
        <v>6083333.3300000001</v>
      </c>
      <c r="N165" s="206">
        <f t="shared" si="243"/>
        <v>6083333.3300000001</v>
      </c>
      <c r="O165" s="206">
        <f t="shared" si="243"/>
        <v>6083333.3300000001</v>
      </c>
      <c r="P165" s="206">
        <f t="shared" si="243"/>
        <v>6083333.3300000001</v>
      </c>
      <c r="Q165" s="206">
        <f t="shared" si="243"/>
        <v>6083333.3300000001</v>
      </c>
      <c r="R165" s="206">
        <f t="shared" si="243"/>
        <v>6083333.3300000001</v>
      </c>
      <c r="S165" s="206">
        <f t="shared" si="243"/>
        <v>6083333.3300000001</v>
      </c>
      <c r="T165" s="206">
        <f t="shared" si="243"/>
        <v>6083333.3700000001</v>
      </c>
      <c r="U165" s="414">
        <f t="shared" si="210"/>
        <v>339698835.29999989</v>
      </c>
      <c r="V165" s="61">
        <f t="shared" si="243"/>
        <v>351865502</v>
      </c>
      <c r="W165" s="396">
        <f t="shared" si="197"/>
        <v>351865502</v>
      </c>
      <c r="X165" s="396">
        <f t="shared" si="198"/>
        <v>0</v>
      </c>
      <c r="Y165" s="396"/>
      <c r="Z165" s="53"/>
      <c r="AA165" s="207">
        <f t="shared" ref="AA165:AE165" si="244">+AA166+AA170+AA171</f>
        <v>345302</v>
      </c>
      <c r="AB165" s="207">
        <f t="shared" si="244"/>
        <v>6356540</v>
      </c>
      <c r="AC165" s="207">
        <f t="shared" si="244"/>
        <v>491000</v>
      </c>
      <c r="AD165" s="207">
        <f t="shared" si="244"/>
        <v>0</v>
      </c>
      <c r="AE165" s="207">
        <f t="shared" si="244"/>
        <v>0</v>
      </c>
      <c r="AF165" s="207">
        <f>+AF166+AF170+AF171</f>
        <v>129200</v>
      </c>
      <c r="AG165" s="207">
        <f t="shared" ref="AG165" si="245">+AG166+AG170+AG171</f>
        <v>8197422.6699999999</v>
      </c>
      <c r="AH165" s="366">
        <v>8889475</v>
      </c>
      <c r="AI165" s="366">
        <v>630500</v>
      </c>
      <c r="AJ165" s="366">
        <v>5612665</v>
      </c>
      <c r="AK165" s="207">
        <f t="shared" si="209"/>
        <v>30652104.670000002</v>
      </c>
      <c r="AL165" s="386"/>
      <c r="AM165" s="406">
        <f t="shared" si="186"/>
        <v>-0.99665026354071629</v>
      </c>
      <c r="AN165" s="406">
        <f t="shared" si="187"/>
        <v>-0.96617941266388163</v>
      </c>
      <c r="AO165" s="406">
        <f t="shared" si="188"/>
        <v>-0.91928767118865073</v>
      </c>
      <c r="AP165" s="406">
        <f t="shared" si="189"/>
        <v>-1</v>
      </c>
      <c r="AQ165" s="406">
        <f t="shared" si="190"/>
        <v>-1</v>
      </c>
      <c r="AR165" s="406">
        <f t="shared" si="191"/>
        <v>-0.97876164382397901</v>
      </c>
      <c r="AS165" s="406">
        <f t="shared" si="192"/>
        <v>0.3475215355328885</v>
      </c>
      <c r="AT165" s="406">
        <f t="shared" si="193"/>
        <v>0.46128356244453894</v>
      </c>
      <c r="AU165" s="406">
        <f t="shared" si="194"/>
        <v>-0.89635616432677045</v>
      </c>
      <c r="AV165" s="406">
        <f t="shared" si="195"/>
        <v>-7.7370136480750765E-2</v>
      </c>
      <c r="AW165" s="406">
        <f t="shared" si="196"/>
        <v>4.0387021402951797</v>
      </c>
    </row>
    <row r="166" spans="1:49" s="70" customFormat="1" ht="30" x14ac:dyDescent="0.25">
      <c r="A166" s="339">
        <v>2122261</v>
      </c>
      <c r="B166" s="340" t="s">
        <v>75</v>
      </c>
      <c r="C166" s="367">
        <f>+C167+C168+C169</f>
        <v>97000000</v>
      </c>
      <c r="D166" s="367">
        <f t="shared" ref="D166:G166" si="246">+D167+D168+D169</f>
        <v>0</v>
      </c>
      <c r="E166" s="367">
        <f t="shared" si="246"/>
        <v>0</v>
      </c>
      <c r="F166" s="367">
        <f t="shared" si="246"/>
        <v>0</v>
      </c>
      <c r="G166" s="367">
        <f t="shared" si="246"/>
        <v>97000000</v>
      </c>
      <c r="H166" s="57">
        <f>+H168+H169+H167</f>
        <v>97000000</v>
      </c>
      <c r="I166" s="208">
        <f t="shared" ref="I166:V166" si="247">+I168+I169+I167</f>
        <v>97000000</v>
      </c>
      <c r="J166" s="208">
        <f t="shared" si="247"/>
        <v>0</v>
      </c>
      <c r="K166" s="208">
        <f t="shared" si="247"/>
        <v>0</v>
      </c>
      <c r="L166" s="208">
        <f t="shared" si="247"/>
        <v>0</v>
      </c>
      <c r="M166" s="208">
        <f t="shared" si="247"/>
        <v>0</v>
      </c>
      <c r="N166" s="208">
        <f t="shared" si="247"/>
        <v>0</v>
      </c>
      <c r="O166" s="208">
        <f t="shared" si="247"/>
        <v>0</v>
      </c>
      <c r="P166" s="208">
        <f t="shared" si="247"/>
        <v>0</v>
      </c>
      <c r="Q166" s="208">
        <f t="shared" si="247"/>
        <v>0</v>
      </c>
      <c r="R166" s="208">
        <f t="shared" si="247"/>
        <v>0</v>
      </c>
      <c r="S166" s="208">
        <f t="shared" si="247"/>
        <v>0</v>
      </c>
      <c r="T166" s="208">
        <f t="shared" si="247"/>
        <v>0</v>
      </c>
      <c r="U166" s="413">
        <f t="shared" si="210"/>
        <v>97000000</v>
      </c>
      <c r="V166" s="57">
        <f t="shared" si="247"/>
        <v>97000000</v>
      </c>
      <c r="W166" s="396">
        <f t="shared" si="197"/>
        <v>97000000</v>
      </c>
      <c r="X166" s="396">
        <f t="shared" si="198"/>
        <v>0</v>
      </c>
      <c r="Y166" s="396"/>
      <c r="Z166" s="53"/>
      <c r="AA166" s="209">
        <f t="shared" ref="AA166:AE166" si="248">+AA167+AA168+AA169</f>
        <v>0</v>
      </c>
      <c r="AB166" s="209">
        <f t="shared" si="248"/>
        <v>6356540</v>
      </c>
      <c r="AC166" s="209">
        <f t="shared" si="248"/>
        <v>0</v>
      </c>
      <c r="AD166" s="209">
        <f t="shared" si="248"/>
        <v>0</v>
      </c>
      <c r="AE166" s="209">
        <f t="shared" si="248"/>
        <v>0</v>
      </c>
      <c r="AF166" s="209">
        <f>+AF167+AF168+AF169</f>
        <v>0</v>
      </c>
      <c r="AG166" s="209">
        <f t="shared" ref="AG166" si="249">+AG167+AG168+AG169</f>
        <v>8197422.6699999999</v>
      </c>
      <c r="AH166" s="367">
        <v>1638000</v>
      </c>
      <c r="AI166" s="367">
        <v>630500</v>
      </c>
      <c r="AJ166" s="367">
        <v>0</v>
      </c>
      <c r="AK166" s="209">
        <f t="shared" si="209"/>
        <v>16822462.670000002</v>
      </c>
      <c r="AL166" s="387"/>
      <c r="AM166" s="405">
        <f t="shared" si="186"/>
        <v>-1</v>
      </c>
      <c r="AN166" s="405" t="e">
        <f t="shared" si="187"/>
        <v>#DIV/0!</v>
      </c>
      <c r="AO166" s="405" t="e">
        <f t="shared" si="188"/>
        <v>#DIV/0!</v>
      </c>
      <c r="AP166" s="405" t="e">
        <f t="shared" si="189"/>
        <v>#DIV/0!</v>
      </c>
      <c r="AQ166" s="405" t="e">
        <f t="shared" si="190"/>
        <v>#DIV/0!</v>
      </c>
      <c r="AR166" s="405" t="e">
        <f t="shared" si="191"/>
        <v>#DIV/0!</v>
      </c>
      <c r="AS166" s="405" t="e">
        <f t="shared" si="192"/>
        <v>#DIV/0!</v>
      </c>
      <c r="AT166" s="405" t="e">
        <f t="shared" si="193"/>
        <v>#DIV/0!</v>
      </c>
      <c r="AU166" s="405" t="e">
        <f t="shared" si="194"/>
        <v>#DIV/0!</v>
      </c>
      <c r="AV166" s="405" t="e">
        <f t="shared" si="195"/>
        <v>#DIV/0!</v>
      </c>
      <c r="AW166" s="405" t="e">
        <f t="shared" si="196"/>
        <v>#DIV/0!</v>
      </c>
    </row>
    <row r="167" spans="1:49" ht="30" x14ac:dyDescent="0.25">
      <c r="A167" s="341">
        <v>21222611</v>
      </c>
      <c r="B167" s="342" t="s">
        <v>584</v>
      </c>
      <c r="C167" s="368">
        <v>37000000</v>
      </c>
      <c r="D167" s="368">
        <v>0</v>
      </c>
      <c r="E167" s="368">
        <v>0</v>
      </c>
      <c r="F167" s="368">
        <v>0</v>
      </c>
      <c r="G167" s="368">
        <f t="shared" ref="G167:G171" si="250">+C167+D167-E167+F167</f>
        <v>37000000</v>
      </c>
      <c r="H167" s="59">
        <v>37000000</v>
      </c>
      <c r="I167" s="210">
        <v>37000000</v>
      </c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412">
        <f t="shared" si="210"/>
        <v>37000000</v>
      </c>
      <c r="V167" s="58">
        <f t="shared" si="214"/>
        <v>37000000</v>
      </c>
      <c r="W167" s="396">
        <f t="shared" si="197"/>
        <v>37000000</v>
      </c>
      <c r="X167" s="396">
        <f t="shared" si="198"/>
        <v>0</v>
      </c>
      <c r="Y167" s="396"/>
      <c r="Z167" s="55"/>
      <c r="AA167" s="210">
        <v>0</v>
      </c>
      <c r="AB167" s="210">
        <v>0</v>
      </c>
      <c r="AC167" s="210">
        <v>0</v>
      </c>
      <c r="AD167" s="210">
        <v>0</v>
      </c>
      <c r="AE167" s="210">
        <v>0</v>
      </c>
      <c r="AF167" s="210">
        <v>0</v>
      </c>
      <c r="AG167" s="210">
        <v>0</v>
      </c>
      <c r="AH167" s="368">
        <v>0</v>
      </c>
      <c r="AI167" s="368">
        <v>630500</v>
      </c>
      <c r="AJ167" s="368">
        <v>0</v>
      </c>
      <c r="AK167" s="210">
        <f t="shared" si="209"/>
        <v>630500</v>
      </c>
      <c r="AL167" s="387"/>
      <c r="AM167" s="404">
        <f t="shared" si="186"/>
        <v>-1</v>
      </c>
      <c r="AN167" s="404" t="e">
        <f t="shared" si="187"/>
        <v>#DIV/0!</v>
      </c>
      <c r="AO167" s="404" t="e">
        <f t="shared" si="188"/>
        <v>#DIV/0!</v>
      </c>
      <c r="AP167" s="404" t="e">
        <f t="shared" si="189"/>
        <v>#DIV/0!</v>
      </c>
      <c r="AQ167" s="404" t="e">
        <f t="shared" si="190"/>
        <v>#DIV/0!</v>
      </c>
      <c r="AR167" s="404" t="e">
        <f t="shared" si="191"/>
        <v>#DIV/0!</v>
      </c>
      <c r="AS167" s="404" t="e">
        <f t="shared" si="192"/>
        <v>#DIV/0!</v>
      </c>
      <c r="AT167" s="404" t="e">
        <f t="shared" si="193"/>
        <v>#DIV/0!</v>
      </c>
      <c r="AU167" s="404" t="e">
        <f t="shared" si="194"/>
        <v>#DIV/0!</v>
      </c>
      <c r="AV167" s="404" t="e">
        <f t="shared" si="195"/>
        <v>#DIV/0!</v>
      </c>
      <c r="AW167" s="404" t="e">
        <f t="shared" si="196"/>
        <v>#DIV/0!</v>
      </c>
    </row>
    <row r="168" spans="1:49" x14ac:dyDescent="0.25">
      <c r="A168" s="341">
        <v>21222612</v>
      </c>
      <c r="B168" s="342" t="s">
        <v>585</v>
      </c>
      <c r="C168" s="368">
        <v>25000000</v>
      </c>
      <c r="D168" s="368">
        <v>0</v>
      </c>
      <c r="E168" s="368">
        <v>0</v>
      </c>
      <c r="F168" s="368">
        <v>0</v>
      </c>
      <c r="G168" s="368">
        <f t="shared" si="250"/>
        <v>25000000</v>
      </c>
      <c r="H168" s="59">
        <v>25000000</v>
      </c>
      <c r="I168" s="210">
        <v>25000000</v>
      </c>
      <c r="J168" s="210">
        <v>0</v>
      </c>
      <c r="K168" s="210">
        <v>0</v>
      </c>
      <c r="L168" s="210">
        <v>0</v>
      </c>
      <c r="M168" s="210">
        <v>0</v>
      </c>
      <c r="N168" s="210">
        <v>0</v>
      </c>
      <c r="O168" s="210">
        <v>0</v>
      </c>
      <c r="P168" s="210">
        <v>0</v>
      </c>
      <c r="Q168" s="210">
        <v>0</v>
      </c>
      <c r="R168" s="210">
        <v>0</v>
      </c>
      <c r="S168" s="210">
        <v>0</v>
      </c>
      <c r="T168" s="210">
        <v>0</v>
      </c>
      <c r="U168" s="412">
        <f t="shared" si="210"/>
        <v>25000000</v>
      </c>
      <c r="V168" s="58">
        <f t="shared" si="214"/>
        <v>25000000</v>
      </c>
      <c r="W168" s="396">
        <f t="shared" si="197"/>
        <v>25000000</v>
      </c>
      <c r="X168" s="396">
        <f t="shared" si="198"/>
        <v>0</v>
      </c>
      <c r="Y168" s="396"/>
      <c r="Z168" s="55"/>
      <c r="AA168" s="210">
        <v>0</v>
      </c>
      <c r="AB168" s="210">
        <v>0</v>
      </c>
      <c r="AC168" s="210">
        <v>0</v>
      </c>
      <c r="AD168" s="210">
        <v>0</v>
      </c>
      <c r="AE168" s="210">
        <v>0</v>
      </c>
      <c r="AF168" s="210">
        <v>0</v>
      </c>
      <c r="AG168" s="210">
        <v>0</v>
      </c>
      <c r="AH168" s="368">
        <v>0</v>
      </c>
      <c r="AI168" s="368">
        <v>0</v>
      </c>
      <c r="AJ168" s="368">
        <v>0</v>
      </c>
      <c r="AK168" s="210">
        <f t="shared" si="209"/>
        <v>0</v>
      </c>
      <c r="AL168" s="387"/>
      <c r="AM168" s="404">
        <f t="shared" si="186"/>
        <v>-1</v>
      </c>
      <c r="AN168" s="404" t="e">
        <f t="shared" si="187"/>
        <v>#DIV/0!</v>
      </c>
      <c r="AO168" s="404" t="e">
        <f t="shared" si="188"/>
        <v>#DIV/0!</v>
      </c>
      <c r="AP168" s="404" t="e">
        <f t="shared" si="189"/>
        <v>#DIV/0!</v>
      </c>
      <c r="AQ168" s="404" t="e">
        <f t="shared" si="190"/>
        <v>#DIV/0!</v>
      </c>
      <c r="AR168" s="404" t="e">
        <f t="shared" si="191"/>
        <v>#DIV/0!</v>
      </c>
      <c r="AS168" s="404" t="e">
        <f t="shared" si="192"/>
        <v>#DIV/0!</v>
      </c>
      <c r="AT168" s="404" t="e">
        <f t="shared" si="193"/>
        <v>#DIV/0!</v>
      </c>
      <c r="AU168" s="404" t="e">
        <f t="shared" si="194"/>
        <v>#DIV/0!</v>
      </c>
      <c r="AV168" s="404" t="e">
        <f t="shared" si="195"/>
        <v>#DIV/0!</v>
      </c>
      <c r="AW168" s="404" t="e">
        <f t="shared" si="196"/>
        <v>#DIV/0!</v>
      </c>
    </row>
    <row r="169" spans="1:49" x14ac:dyDescent="0.25">
      <c r="A169" s="341">
        <v>21222613</v>
      </c>
      <c r="B169" s="342" t="s">
        <v>586</v>
      </c>
      <c r="C169" s="368">
        <v>35000000</v>
      </c>
      <c r="D169" s="368">
        <v>0</v>
      </c>
      <c r="E169" s="368">
        <v>0</v>
      </c>
      <c r="F169" s="368">
        <v>0</v>
      </c>
      <c r="G169" s="368">
        <f t="shared" si="250"/>
        <v>35000000</v>
      </c>
      <c r="H169" s="59">
        <v>35000000</v>
      </c>
      <c r="I169" s="210">
        <v>35000000</v>
      </c>
      <c r="J169" s="210">
        <v>0</v>
      </c>
      <c r="K169" s="210">
        <v>0</v>
      </c>
      <c r="L169" s="210">
        <v>0</v>
      </c>
      <c r="M169" s="210">
        <v>0</v>
      </c>
      <c r="N169" s="210">
        <v>0</v>
      </c>
      <c r="O169" s="210">
        <v>0</v>
      </c>
      <c r="P169" s="210">
        <v>0</v>
      </c>
      <c r="Q169" s="210">
        <v>0</v>
      </c>
      <c r="R169" s="210">
        <v>0</v>
      </c>
      <c r="S169" s="210">
        <v>0</v>
      </c>
      <c r="T169" s="210">
        <v>0</v>
      </c>
      <c r="U169" s="412">
        <f t="shared" si="210"/>
        <v>35000000</v>
      </c>
      <c r="V169" s="58">
        <f t="shared" si="214"/>
        <v>35000000</v>
      </c>
      <c r="W169" s="396">
        <f t="shared" si="197"/>
        <v>35000000</v>
      </c>
      <c r="X169" s="396">
        <f t="shared" si="198"/>
        <v>0</v>
      </c>
      <c r="Y169" s="396"/>
      <c r="Z169" s="55"/>
      <c r="AA169" s="210">
        <v>0</v>
      </c>
      <c r="AB169" s="210">
        <v>6356540</v>
      </c>
      <c r="AC169" s="210">
        <v>0</v>
      </c>
      <c r="AD169" s="210">
        <v>0</v>
      </c>
      <c r="AE169" s="210">
        <v>0</v>
      </c>
      <c r="AF169" s="210">
        <v>0</v>
      </c>
      <c r="AG169" s="210">
        <v>8197422.6699999999</v>
      </c>
      <c r="AH169" s="368">
        <v>1638000</v>
      </c>
      <c r="AI169" s="368">
        <v>0</v>
      </c>
      <c r="AJ169" s="368">
        <v>0</v>
      </c>
      <c r="AK169" s="210">
        <f t="shared" si="209"/>
        <v>16191962.67</v>
      </c>
      <c r="AL169" s="387"/>
      <c r="AM169" s="404">
        <f t="shared" si="186"/>
        <v>-1</v>
      </c>
      <c r="AN169" s="404" t="e">
        <f t="shared" si="187"/>
        <v>#DIV/0!</v>
      </c>
      <c r="AO169" s="404" t="e">
        <f t="shared" si="188"/>
        <v>#DIV/0!</v>
      </c>
      <c r="AP169" s="404" t="e">
        <f t="shared" si="189"/>
        <v>#DIV/0!</v>
      </c>
      <c r="AQ169" s="404" t="e">
        <f t="shared" si="190"/>
        <v>#DIV/0!</v>
      </c>
      <c r="AR169" s="404" t="e">
        <f t="shared" si="191"/>
        <v>#DIV/0!</v>
      </c>
      <c r="AS169" s="404" t="e">
        <f t="shared" si="192"/>
        <v>#DIV/0!</v>
      </c>
      <c r="AT169" s="404" t="e">
        <f t="shared" si="193"/>
        <v>#DIV/0!</v>
      </c>
      <c r="AU169" s="404" t="e">
        <f t="shared" si="194"/>
        <v>#DIV/0!</v>
      </c>
      <c r="AV169" s="404" t="e">
        <f t="shared" si="195"/>
        <v>#DIV/0!</v>
      </c>
      <c r="AW169" s="404" t="e">
        <f t="shared" si="196"/>
        <v>#DIV/0!</v>
      </c>
    </row>
    <row r="170" spans="1:49" x14ac:dyDescent="0.25">
      <c r="A170" s="341">
        <v>2122262</v>
      </c>
      <c r="B170" s="342" t="s">
        <v>587</v>
      </c>
      <c r="C170" s="368">
        <v>300000000</v>
      </c>
      <c r="D170" s="368">
        <v>0</v>
      </c>
      <c r="E170" s="368">
        <f>65000000+53134498</f>
        <v>118134498</v>
      </c>
      <c r="F170" s="368">
        <v>0</v>
      </c>
      <c r="G170" s="368">
        <f t="shared" si="250"/>
        <v>181865502</v>
      </c>
      <c r="H170" s="59">
        <v>300000000</v>
      </c>
      <c r="I170" s="210">
        <v>0</v>
      </c>
      <c r="J170" s="210">
        <v>181865502</v>
      </c>
      <c r="K170" s="210"/>
      <c r="L170" s="210">
        <v>0</v>
      </c>
      <c r="M170" s="210">
        <v>0</v>
      </c>
      <c r="N170" s="210"/>
      <c r="O170" s="210"/>
      <c r="P170" s="210"/>
      <c r="Q170" s="210">
        <v>0</v>
      </c>
      <c r="R170" s="210">
        <v>0</v>
      </c>
      <c r="S170" s="210">
        <v>0</v>
      </c>
      <c r="T170" s="210">
        <v>0</v>
      </c>
      <c r="U170" s="412">
        <f t="shared" si="210"/>
        <v>181865502</v>
      </c>
      <c r="V170" s="58">
        <f t="shared" si="214"/>
        <v>181865502</v>
      </c>
      <c r="W170" s="396">
        <f t="shared" si="197"/>
        <v>181865502</v>
      </c>
      <c r="X170" s="396">
        <f t="shared" si="198"/>
        <v>0</v>
      </c>
      <c r="Y170" s="396"/>
      <c r="Z170" s="55"/>
      <c r="AA170" s="210">
        <v>345302</v>
      </c>
      <c r="AB170" s="210">
        <v>0</v>
      </c>
      <c r="AC170" s="210">
        <v>491000</v>
      </c>
      <c r="AD170" s="210">
        <v>0</v>
      </c>
      <c r="AE170" s="210">
        <v>0</v>
      </c>
      <c r="AF170" s="210">
        <v>129200</v>
      </c>
      <c r="AG170" s="210">
        <v>0</v>
      </c>
      <c r="AH170" s="368">
        <v>0</v>
      </c>
      <c r="AI170" s="368">
        <v>0</v>
      </c>
      <c r="AJ170" s="368">
        <v>0</v>
      </c>
      <c r="AK170" s="210">
        <f t="shared" si="209"/>
        <v>965502</v>
      </c>
      <c r="AL170" s="387"/>
      <c r="AM170" s="404" t="e">
        <f t="shared" si="186"/>
        <v>#DIV/0!</v>
      </c>
      <c r="AN170" s="404">
        <f t="shared" si="187"/>
        <v>-1</v>
      </c>
      <c r="AO170" s="404" t="e">
        <f t="shared" si="188"/>
        <v>#DIV/0!</v>
      </c>
      <c r="AP170" s="404" t="e">
        <f t="shared" si="189"/>
        <v>#DIV/0!</v>
      </c>
      <c r="AQ170" s="404" t="e">
        <f t="shared" si="190"/>
        <v>#DIV/0!</v>
      </c>
      <c r="AR170" s="404" t="e">
        <f t="shared" si="191"/>
        <v>#DIV/0!</v>
      </c>
      <c r="AS170" s="404" t="e">
        <f t="shared" si="192"/>
        <v>#DIV/0!</v>
      </c>
      <c r="AT170" s="404" t="e">
        <f t="shared" si="193"/>
        <v>#DIV/0!</v>
      </c>
      <c r="AU170" s="404" t="e">
        <f t="shared" si="194"/>
        <v>#DIV/0!</v>
      </c>
      <c r="AV170" s="404" t="e">
        <f t="shared" si="195"/>
        <v>#DIV/0!</v>
      </c>
      <c r="AW170" s="404" t="e">
        <f t="shared" si="196"/>
        <v>#DIV/0!</v>
      </c>
    </row>
    <row r="171" spans="1:49" s="70" customFormat="1" x14ac:dyDescent="0.25">
      <c r="A171" s="341">
        <v>2122266</v>
      </c>
      <c r="B171" s="342" t="s">
        <v>588</v>
      </c>
      <c r="C171" s="368">
        <v>73000000</v>
      </c>
      <c r="D171" s="368">
        <v>0</v>
      </c>
      <c r="E171" s="368">
        <v>0</v>
      </c>
      <c r="F171" s="368">
        <v>0</v>
      </c>
      <c r="G171" s="368">
        <f t="shared" si="250"/>
        <v>73000000</v>
      </c>
      <c r="H171" s="59">
        <v>73000000</v>
      </c>
      <c r="I171" s="210">
        <v>6083333.3300000001</v>
      </c>
      <c r="J171" s="210">
        <v>6083333.3300000001</v>
      </c>
      <c r="K171" s="210">
        <v>6083333.3300000001</v>
      </c>
      <c r="L171" s="210">
        <v>6083333.3300000001</v>
      </c>
      <c r="M171" s="210">
        <v>6083333.3300000001</v>
      </c>
      <c r="N171" s="210">
        <v>6083333.3300000001</v>
      </c>
      <c r="O171" s="210">
        <v>6083333.3300000001</v>
      </c>
      <c r="P171" s="210">
        <v>6083333.3300000001</v>
      </c>
      <c r="Q171" s="210">
        <v>6083333.3300000001</v>
      </c>
      <c r="R171" s="210">
        <v>6083333.3300000001</v>
      </c>
      <c r="S171" s="210">
        <v>6083333.3300000001</v>
      </c>
      <c r="T171" s="210">
        <v>6083333.3700000001</v>
      </c>
      <c r="U171" s="412">
        <f t="shared" si="210"/>
        <v>60833333.29999999</v>
      </c>
      <c r="V171" s="58">
        <f t="shared" si="214"/>
        <v>72999999.999999985</v>
      </c>
      <c r="W171" s="396">
        <f t="shared" si="197"/>
        <v>73000000</v>
      </c>
      <c r="X171" s="396">
        <f t="shared" si="198"/>
        <v>0</v>
      </c>
      <c r="Y171" s="396"/>
      <c r="Z171" s="55"/>
      <c r="AA171" s="210">
        <v>0</v>
      </c>
      <c r="AB171" s="210">
        <v>0</v>
      </c>
      <c r="AC171" s="210">
        <v>0</v>
      </c>
      <c r="AD171" s="210">
        <v>0</v>
      </c>
      <c r="AE171" s="210">
        <v>0</v>
      </c>
      <c r="AF171" s="210">
        <v>0</v>
      </c>
      <c r="AG171" s="210">
        <v>0</v>
      </c>
      <c r="AH171" s="368">
        <v>7251475</v>
      </c>
      <c r="AI171" s="368">
        <v>0</v>
      </c>
      <c r="AJ171" s="368">
        <v>5612665</v>
      </c>
      <c r="AK171" s="210">
        <f t="shared" si="209"/>
        <v>12864140</v>
      </c>
      <c r="AL171" s="386"/>
      <c r="AM171" s="404">
        <f t="shared" si="186"/>
        <v>-1</v>
      </c>
      <c r="AN171" s="404">
        <f t="shared" si="187"/>
        <v>-1</v>
      </c>
      <c r="AO171" s="404">
        <f t="shared" si="188"/>
        <v>-1</v>
      </c>
      <c r="AP171" s="404">
        <f t="shared" si="189"/>
        <v>-1</v>
      </c>
      <c r="AQ171" s="404">
        <f t="shared" si="190"/>
        <v>-1</v>
      </c>
      <c r="AR171" s="404">
        <f t="shared" si="191"/>
        <v>-1</v>
      </c>
      <c r="AS171" s="404">
        <f t="shared" si="192"/>
        <v>-1</v>
      </c>
      <c r="AT171" s="404">
        <f t="shared" si="193"/>
        <v>0.1920232883243963</v>
      </c>
      <c r="AU171" s="404">
        <f t="shared" si="194"/>
        <v>-1</v>
      </c>
      <c r="AV171" s="404">
        <f t="shared" si="195"/>
        <v>-7.7370136480750765E-2</v>
      </c>
      <c r="AW171" s="404">
        <f t="shared" si="196"/>
        <v>1.1146531518436456</v>
      </c>
    </row>
    <row r="172" spans="1:49" ht="45" x14ac:dyDescent="0.25">
      <c r="A172" s="337">
        <v>212227</v>
      </c>
      <c r="B172" s="338" t="s">
        <v>76</v>
      </c>
      <c r="C172" s="366">
        <f>+C173+C181</f>
        <v>2213000000</v>
      </c>
      <c r="D172" s="366">
        <f t="shared" ref="D172:G172" si="251">+D173+D181</f>
        <v>438000000</v>
      </c>
      <c r="E172" s="366">
        <f t="shared" si="251"/>
        <v>226382552</v>
      </c>
      <c r="F172" s="366">
        <f t="shared" si="251"/>
        <v>0</v>
      </c>
      <c r="G172" s="366">
        <f t="shared" si="251"/>
        <v>2424617448</v>
      </c>
      <c r="H172" s="366">
        <f t="shared" ref="H172:V172" si="252">+H173+H181</f>
        <v>2213000000</v>
      </c>
      <c r="I172" s="366">
        <f t="shared" si="252"/>
        <v>131333333.33333333</v>
      </c>
      <c r="J172" s="366">
        <f t="shared" si="252"/>
        <v>972333333.33333337</v>
      </c>
      <c r="K172" s="366">
        <f t="shared" si="252"/>
        <v>118950781.33333333</v>
      </c>
      <c r="L172" s="366">
        <f t="shared" si="252"/>
        <v>111333333.33333333</v>
      </c>
      <c r="M172" s="366">
        <f t="shared" si="252"/>
        <v>311333333.33333331</v>
      </c>
      <c r="N172" s="366">
        <f t="shared" si="252"/>
        <v>111333333.33333333</v>
      </c>
      <c r="O172" s="366">
        <f t="shared" si="252"/>
        <v>111333333.33333333</v>
      </c>
      <c r="P172" s="366">
        <f t="shared" si="252"/>
        <v>111333333.33333333</v>
      </c>
      <c r="Q172" s="366">
        <f t="shared" si="252"/>
        <v>111333333.33333333</v>
      </c>
      <c r="R172" s="366">
        <f t="shared" si="252"/>
        <v>111333333.33333333</v>
      </c>
      <c r="S172" s="366">
        <f t="shared" si="252"/>
        <v>111333333.33333333</v>
      </c>
      <c r="T172" s="366">
        <f t="shared" si="252"/>
        <v>111333333.33333333</v>
      </c>
      <c r="U172" s="417">
        <f t="shared" si="210"/>
        <v>2201950781.333333</v>
      </c>
      <c r="V172" s="366">
        <f t="shared" si="252"/>
        <v>2424617448</v>
      </c>
      <c r="W172" s="396">
        <f t="shared" si="197"/>
        <v>2424617448</v>
      </c>
      <c r="X172" s="396">
        <f t="shared" si="198"/>
        <v>0</v>
      </c>
      <c r="Y172" s="396"/>
      <c r="AA172" s="207">
        <f>+AA173+AA181</f>
        <v>12811214.539999999</v>
      </c>
      <c r="AB172" s="207">
        <f t="shared" ref="AB172:AI172" si="253">+AB173+AB181</f>
        <v>8767233.4800000004</v>
      </c>
      <c r="AC172" s="207">
        <f t="shared" si="253"/>
        <v>207113824.94</v>
      </c>
      <c r="AD172" s="207">
        <f t="shared" si="253"/>
        <v>116983267.40000001</v>
      </c>
      <c r="AE172" s="207">
        <f t="shared" si="253"/>
        <v>23473168.539999999</v>
      </c>
      <c r="AF172" s="207">
        <f t="shared" si="253"/>
        <v>814691545.84000003</v>
      </c>
      <c r="AG172" s="207">
        <f t="shared" si="253"/>
        <v>44397855.239999995</v>
      </c>
      <c r="AH172" s="207">
        <f t="shared" si="253"/>
        <v>39202572.890000001</v>
      </c>
      <c r="AI172" s="207">
        <f t="shared" si="253"/>
        <v>48858628.350000001</v>
      </c>
      <c r="AJ172" s="207">
        <v>39075494.359999999</v>
      </c>
      <c r="AK172" s="207">
        <f t="shared" si="209"/>
        <v>1355374805.5799999</v>
      </c>
      <c r="AL172" s="386"/>
      <c r="AM172" s="406">
        <f t="shared" si="186"/>
        <v>-0.90245268116751265</v>
      </c>
      <c r="AN172" s="406">
        <f t="shared" si="187"/>
        <v>-0.99098330461432982</v>
      </c>
      <c r="AO172" s="406">
        <f t="shared" si="188"/>
        <v>0.74117246325275654</v>
      </c>
      <c r="AP172" s="406">
        <f t="shared" si="189"/>
        <v>5.0747910778443213E-2</v>
      </c>
      <c r="AQ172" s="406">
        <f t="shared" si="190"/>
        <v>-0.92460438370449671</v>
      </c>
      <c r="AR172" s="406">
        <f t="shared" si="191"/>
        <v>6.3175887350898208</v>
      </c>
      <c r="AS172" s="406">
        <f t="shared" si="192"/>
        <v>-0.60121686910179639</v>
      </c>
      <c r="AT172" s="406">
        <f t="shared" si="193"/>
        <v>-0.64788108182634729</v>
      </c>
      <c r="AU172" s="406">
        <f t="shared" si="194"/>
        <v>-0.56115004476047903</v>
      </c>
      <c r="AV172" s="406">
        <f t="shared" si="195"/>
        <v>-0.64902250574850295</v>
      </c>
      <c r="AW172" s="406">
        <f t="shared" si="196"/>
        <v>11.17402519982036</v>
      </c>
    </row>
    <row r="173" spans="1:49" ht="30" x14ac:dyDescent="0.25">
      <c r="A173" s="337">
        <v>2122271</v>
      </c>
      <c r="B173" s="338" t="s">
        <v>77</v>
      </c>
      <c r="C173" s="366">
        <f>+C174+C176+C178+C180</f>
        <v>926000000</v>
      </c>
      <c r="D173" s="366">
        <f t="shared" ref="D173:AK173" si="254">+D174+D176+D178+D180</f>
        <v>278000000</v>
      </c>
      <c r="E173" s="366">
        <f t="shared" si="254"/>
        <v>0</v>
      </c>
      <c r="F173" s="366">
        <f t="shared" si="254"/>
        <v>0</v>
      </c>
      <c r="G173" s="366">
        <f t="shared" si="254"/>
        <v>1204000000</v>
      </c>
      <c r="H173" s="366">
        <f t="shared" si="254"/>
        <v>926000000</v>
      </c>
      <c r="I173" s="366">
        <f t="shared" si="254"/>
        <v>15000000</v>
      </c>
      <c r="J173" s="366">
        <f t="shared" si="254"/>
        <v>841000000</v>
      </c>
      <c r="K173" s="366">
        <f t="shared" si="254"/>
        <v>15000000</v>
      </c>
      <c r="L173" s="366">
        <f t="shared" si="254"/>
        <v>15000000</v>
      </c>
      <c r="M173" s="366">
        <f t="shared" si="254"/>
        <v>213000000</v>
      </c>
      <c r="N173" s="366">
        <f t="shared" si="254"/>
        <v>15000000</v>
      </c>
      <c r="O173" s="366">
        <f t="shared" si="254"/>
        <v>15000000</v>
      </c>
      <c r="P173" s="366">
        <f t="shared" si="254"/>
        <v>15000000</v>
      </c>
      <c r="Q173" s="366">
        <f t="shared" si="254"/>
        <v>15000000</v>
      </c>
      <c r="R173" s="366">
        <f t="shared" si="254"/>
        <v>15000000</v>
      </c>
      <c r="S173" s="366">
        <f t="shared" si="254"/>
        <v>15000000</v>
      </c>
      <c r="T173" s="366">
        <f t="shared" si="254"/>
        <v>15000000</v>
      </c>
      <c r="U173" s="417">
        <f t="shared" si="210"/>
        <v>1174000000</v>
      </c>
      <c r="V173" s="366">
        <f t="shared" si="254"/>
        <v>1204000000</v>
      </c>
      <c r="W173" s="366">
        <f t="shared" si="254"/>
        <v>1204000000</v>
      </c>
      <c r="X173" s="366">
        <f t="shared" si="254"/>
        <v>0</v>
      </c>
      <c r="Y173" s="366">
        <f t="shared" si="254"/>
        <v>15000000</v>
      </c>
      <c r="Z173" s="366">
        <f t="shared" si="254"/>
        <v>0</v>
      </c>
      <c r="AA173" s="366">
        <f t="shared" si="254"/>
        <v>12811214.539999999</v>
      </c>
      <c r="AB173" s="366">
        <f t="shared" si="254"/>
        <v>8767233.4800000004</v>
      </c>
      <c r="AC173" s="366">
        <f t="shared" si="254"/>
        <v>186423024.94</v>
      </c>
      <c r="AD173" s="366">
        <f t="shared" si="254"/>
        <v>100789559.40000001</v>
      </c>
      <c r="AE173" s="366">
        <f t="shared" si="254"/>
        <v>7279460.54</v>
      </c>
      <c r="AF173" s="366">
        <f t="shared" si="254"/>
        <v>779254337.84000003</v>
      </c>
      <c r="AG173" s="366">
        <f t="shared" si="254"/>
        <v>19204147.239999998</v>
      </c>
      <c r="AH173" s="366">
        <f t="shared" si="254"/>
        <v>8230956.8899999997</v>
      </c>
      <c r="AI173" s="366">
        <f t="shared" si="254"/>
        <v>22267197.350000001</v>
      </c>
      <c r="AJ173" s="366">
        <f t="shared" si="254"/>
        <v>10513721.25</v>
      </c>
      <c r="AK173" s="366">
        <f t="shared" si="254"/>
        <v>1155540853.47</v>
      </c>
      <c r="AL173" s="402"/>
      <c r="AM173" s="399">
        <f t="shared" si="186"/>
        <v>-0.14591903066666673</v>
      </c>
      <c r="AN173" s="399">
        <f t="shared" si="187"/>
        <v>-0.98957522772889417</v>
      </c>
      <c r="AO173" s="399">
        <f t="shared" si="188"/>
        <v>11.428201662666666</v>
      </c>
      <c r="AP173" s="399">
        <f t="shared" si="189"/>
        <v>5.7193039600000004</v>
      </c>
      <c r="AQ173" s="399">
        <f t="shared" si="190"/>
        <v>-0.96582412892018787</v>
      </c>
      <c r="AR173" s="399">
        <f t="shared" si="191"/>
        <v>50.950289189333333</v>
      </c>
      <c r="AS173" s="399">
        <f t="shared" si="192"/>
        <v>0.28027648266666655</v>
      </c>
      <c r="AT173" s="399">
        <f t="shared" si="193"/>
        <v>-0.45126954066666669</v>
      </c>
      <c r="AU173" s="399">
        <f t="shared" si="194"/>
        <v>0.48447982333333345</v>
      </c>
      <c r="AV173" s="399">
        <f t="shared" si="195"/>
        <v>-0.29908525000000002</v>
      </c>
      <c r="AW173" s="399">
        <f t="shared" si="196"/>
        <v>76.036056897999998</v>
      </c>
    </row>
    <row r="174" spans="1:49" ht="45" x14ac:dyDescent="0.25">
      <c r="A174" s="339">
        <v>21222711</v>
      </c>
      <c r="B174" s="340" t="s">
        <v>78</v>
      </c>
      <c r="C174" s="367">
        <f>+C175</f>
        <v>5000000</v>
      </c>
      <c r="D174" s="367">
        <f t="shared" ref="D174:AK174" si="255">+D175</f>
        <v>0</v>
      </c>
      <c r="E174" s="367">
        <f t="shared" si="255"/>
        <v>0</v>
      </c>
      <c r="F174" s="367">
        <f t="shared" si="255"/>
        <v>0</v>
      </c>
      <c r="G174" s="367">
        <f t="shared" si="255"/>
        <v>5000000</v>
      </c>
      <c r="H174" s="367">
        <f t="shared" si="255"/>
        <v>5000000</v>
      </c>
      <c r="I174" s="367">
        <f t="shared" si="255"/>
        <v>0</v>
      </c>
      <c r="J174" s="367">
        <f t="shared" si="255"/>
        <v>5000000</v>
      </c>
      <c r="K174" s="367">
        <f t="shared" si="255"/>
        <v>0</v>
      </c>
      <c r="L174" s="367">
        <f t="shared" si="255"/>
        <v>0</v>
      </c>
      <c r="M174" s="367">
        <f t="shared" si="255"/>
        <v>0</v>
      </c>
      <c r="N174" s="367">
        <f t="shared" si="255"/>
        <v>0</v>
      </c>
      <c r="O174" s="367">
        <f t="shared" si="255"/>
        <v>0</v>
      </c>
      <c r="P174" s="367">
        <f t="shared" si="255"/>
        <v>0</v>
      </c>
      <c r="Q174" s="367">
        <f t="shared" si="255"/>
        <v>0</v>
      </c>
      <c r="R174" s="367">
        <f t="shared" si="255"/>
        <v>0</v>
      </c>
      <c r="S174" s="367">
        <f t="shared" si="255"/>
        <v>0</v>
      </c>
      <c r="T174" s="367">
        <f t="shared" si="255"/>
        <v>0</v>
      </c>
      <c r="U174" s="418">
        <f t="shared" si="210"/>
        <v>5000000</v>
      </c>
      <c r="V174" s="367">
        <f t="shared" si="255"/>
        <v>5000000</v>
      </c>
      <c r="W174" s="367">
        <f t="shared" si="255"/>
        <v>5000000</v>
      </c>
      <c r="X174" s="367">
        <f t="shared" si="255"/>
        <v>0</v>
      </c>
      <c r="Y174" s="367">
        <f t="shared" si="255"/>
        <v>0</v>
      </c>
      <c r="Z174" s="367">
        <f t="shared" si="255"/>
        <v>0</v>
      </c>
      <c r="AA174" s="367">
        <f t="shared" si="255"/>
        <v>0</v>
      </c>
      <c r="AB174" s="367">
        <f t="shared" si="255"/>
        <v>0</v>
      </c>
      <c r="AC174" s="367">
        <f t="shared" si="255"/>
        <v>0</v>
      </c>
      <c r="AD174" s="367">
        <f t="shared" si="255"/>
        <v>0</v>
      </c>
      <c r="AE174" s="367">
        <f t="shared" si="255"/>
        <v>0</v>
      </c>
      <c r="AF174" s="367">
        <f t="shared" si="255"/>
        <v>0</v>
      </c>
      <c r="AG174" s="367">
        <f t="shared" si="255"/>
        <v>1166713.6100000001</v>
      </c>
      <c r="AH174" s="367">
        <f t="shared" si="255"/>
        <v>0</v>
      </c>
      <c r="AI174" s="367">
        <f t="shared" si="255"/>
        <v>0</v>
      </c>
      <c r="AJ174" s="367">
        <f t="shared" si="255"/>
        <v>0</v>
      </c>
      <c r="AK174" s="367">
        <f t="shared" si="255"/>
        <v>1166713.6100000001</v>
      </c>
      <c r="AL174" s="402"/>
      <c r="AM174" s="398" t="e">
        <f t="shared" si="186"/>
        <v>#DIV/0!</v>
      </c>
      <c r="AN174" s="398">
        <f t="shared" si="187"/>
        <v>-1</v>
      </c>
      <c r="AO174" s="398" t="e">
        <f t="shared" si="188"/>
        <v>#DIV/0!</v>
      </c>
      <c r="AP174" s="398" t="e">
        <f t="shared" si="189"/>
        <v>#DIV/0!</v>
      </c>
      <c r="AQ174" s="398" t="e">
        <f t="shared" si="190"/>
        <v>#DIV/0!</v>
      </c>
      <c r="AR174" s="398" t="e">
        <f t="shared" si="191"/>
        <v>#DIV/0!</v>
      </c>
      <c r="AS174" s="398" t="e">
        <f t="shared" si="192"/>
        <v>#DIV/0!</v>
      </c>
      <c r="AT174" s="398" t="e">
        <f t="shared" si="193"/>
        <v>#DIV/0!</v>
      </c>
      <c r="AU174" s="398" t="e">
        <f t="shared" si="194"/>
        <v>#DIV/0!</v>
      </c>
      <c r="AV174" s="398" t="e">
        <f t="shared" si="195"/>
        <v>#DIV/0!</v>
      </c>
      <c r="AW174" s="398" t="e">
        <f t="shared" si="196"/>
        <v>#DIV/0!</v>
      </c>
    </row>
    <row r="175" spans="1:49" s="70" customFormat="1" ht="45" x14ac:dyDescent="0.25">
      <c r="A175" s="341">
        <v>212227111</v>
      </c>
      <c r="B175" s="342" t="s">
        <v>589</v>
      </c>
      <c r="C175" s="368">
        <v>5000000</v>
      </c>
      <c r="D175" s="368">
        <v>0</v>
      </c>
      <c r="E175" s="368">
        <v>0</v>
      </c>
      <c r="F175" s="368">
        <v>0</v>
      </c>
      <c r="G175" s="368">
        <f t="shared" ref="G175" si="256">+C175+D175-E175+F175</f>
        <v>5000000</v>
      </c>
      <c r="H175" s="58">
        <v>5000000</v>
      </c>
      <c r="I175" s="210"/>
      <c r="J175" s="210">
        <v>5000000</v>
      </c>
      <c r="K175" s="210"/>
      <c r="L175" s="210"/>
      <c r="M175" s="210"/>
      <c r="N175" s="210"/>
      <c r="O175" s="210"/>
      <c r="P175" s="210"/>
      <c r="Q175" s="210"/>
      <c r="R175" s="210"/>
      <c r="S175" s="210"/>
      <c r="T175" s="210"/>
      <c r="U175" s="412">
        <f t="shared" si="210"/>
        <v>5000000</v>
      </c>
      <c r="V175" s="58">
        <f t="shared" si="214"/>
        <v>5000000</v>
      </c>
      <c r="W175" s="396">
        <f t="shared" si="197"/>
        <v>5000000</v>
      </c>
      <c r="X175" s="396">
        <f t="shared" si="198"/>
        <v>0</v>
      </c>
      <c r="Y175" s="396"/>
      <c r="Z175" s="55"/>
      <c r="AA175" s="210">
        <v>0</v>
      </c>
      <c r="AB175" s="210">
        <v>0</v>
      </c>
      <c r="AC175" s="210">
        <v>0</v>
      </c>
      <c r="AD175" s="210">
        <v>0</v>
      </c>
      <c r="AE175" s="210">
        <v>0</v>
      </c>
      <c r="AF175" s="210">
        <v>0</v>
      </c>
      <c r="AG175" s="210">
        <v>1166713.6100000001</v>
      </c>
      <c r="AH175" s="368">
        <v>0</v>
      </c>
      <c r="AI175" s="368">
        <v>0</v>
      </c>
      <c r="AJ175" s="368">
        <v>0</v>
      </c>
      <c r="AK175" s="210">
        <f t="shared" si="209"/>
        <v>1166713.6100000001</v>
      </c>
      <c r="AL175" s="386"/>
      <c r="AM175" s="404" t="e">
        <f t="shared" si="186"/>
        <v>#DIV/0!</v>
      </c>
      <c r="AN175" s="404">
        <f t="shared" si="187"/>
        <v>-1</v>
      </c>
      <c r="AO175" s="404" t="e">
        <f t="shared" si="188"/>
        <v>#DIV/0!</v>
      </c>
      <c r="AP175" s="404" t="e">
        <f t="shared" si="189"/>
        <v>#DIV/0!</v>
      </c>
      <c r="AQ175" s="404" t="e">
        <f t="shared" si="190"/>
        <v>#DIV/0!</v>
      </c>
      <c r="AR175" s="404" t="e">
        <f t="shared" si="191"/>
        <v>#DIV/0!</v>
      </c>
      <c r="AS175" s="404" t="e">
        <f t="shared" si="192"/>
        <v>#DIV/0!</v>
      </c>
      <c r="AT175" s="404" t="e">
        <f t="shared" si="193"/>
        <v>#DIV/0!</v>
      </c>
      <c r="AU175" s="404" t="e">
        <f t="shared" si="194"/>
        <v>#DIV/0!</v>
      </c>
      <c r="AV175" s="404" t="e">
        <f t="shared" si="195"/>
        <v>#DIV/0!</v>
      </c>
      <c r="AW175" s="404" t="e">
        <f t="shared" si="196"/>
        <v>#DIV/0!</v>
      </c>
    </row>
    <row r="176" spans="1:49" s="70" customFormat="1" ht="45" x14ac:dyDescent="0.25">
      <c r="A176" s="339">
        <v>21222712</v>
      </c>
      <c r="B176" s="340" t="s">
        <v>79</v>
      </c>
      <c r="C176" s="367">
        <f>+C177</f>
        <v>265000000</v>
      </c>
      <c r="D176" s="367">
        <f t="shared" ref="D176:G176" si="257">+D177</f>
        <v>0</v>
      </c>
      <c r="E176" s="367">
        <f t="shared" si="257"/>
        <v>0</v>
      </c>
      <c r="F176" s="367">
        <f t="shared" si="257"/>
        <v>0</v>
      </c>
      <c r="G176" s="367">
        <f t="shared" si="257"/>
        <v>265000000</v>
      </c>
      <c r="H176" s="57">
        <f>+H177</f>
        <v>265000000</v>
      </c>
      <c r="I176" s="208">
        <f t="shared" ref="I176:V176" si="258">+I177</f>
        <v>0</v>
      </c>
      <c r="J176" s="208">
        <f t="shared" si="258"/>
        <v>265000000</v>
      </c>
      <c r="K176" s="208">
        <f t="shared" si="258"/>
        <v>0</v>
      </c>
      <c r="L176" s="208">
        <f t="shared" si="258"/>
        <v>0</v>
      </c>
      <c r="M176" s="208">
        <f t="shared" si="258"/>
        <v>0</v>
      </c>
      <c r="N176" s="208">
        <f t="shared" si="258"/>
        <v>0</v>
      </c>
      <c r="O176" s="208">
        <f t="shared" si="258"/>
        <v>0</v>
      </c>
      <c r="P176" s="208">
        <f t="shared" si="258"/>
        <v>0</v>
      </c>
      <c r="Q176" s="208">
        <f t="shared" si="258"/>
        <v>0</v>
      </c>
      <c r="R176" s="208">
        <f t="shared" si="258"/>
        <v>0</v>
      </c>
      <c r="S176" s="208">
        <f t="shared" si="258"/>
        <v>0</v>
      </c>
      <c r="T176" s="208">
        <f t="shared" si="258"/>
        <v>0</v>
      </c>
      <c r="U176" s="413">
        <f t="shared" si="210"/>
        <v>265000000</v>
      </c>
      <c r="V176" s="57">
        <f t="shared" si="258"/>
        <v>265000000</v>
      </c>
      <c r="W176" s="396">
        <f t="shared" si="197"/>
        <v>265000000</v>
      </c>
      <c r="X176" s="396">
        <f t="shared" si="198"/>
        <v>0</v>
      </c>
      <c r="Y176" s="396"/>
      <c r="Z176" s="55"/>
      <c r="AA176" s="208">
        <v>0</v>
      </c>
      <c r="AB176" s="209">
        <v>0</v>
      </c>
      <c r="AC176" s="209">
        <v>0</v>
      </c>
      <c r="AD176" s="209">
        <v>0</v>
      </c>
      <c r="AE176" s="209">
        <v>0</v>
      </c>
      <c r="AF176" s="209">
        <v>264999661</v>
      </c>
      <c r="AG176" s="209">
        <v>0</v>
      </c>
      <c r="AH176" s="367">
        <v>0</v>
      </c>
      <c r="AI176" s="367">
        <v>0</v>
      </c>
      <c r="AJ176" s="367">
        <v>0</v>
      </c>
      <c r="AK176" s="209">
        <f t="shared" si="209"/>
        <v>264999661</v>
      </c>
      <c r="AL176" s="387"/>
      <c r="AM176" s="405" t="e">
        <f t="shared" si="186"/>
        <v>#DIV/0!</v>
      </c>
      <c r="AN176" s="405">
        <f t="shared" si="187"/>
        <v>-1</v>
      </c>
      <c r="AO176" s="405" t="e">
        <f t="shared" si="188"/>
        <v>#DIV/0!</v>
      </c>
      <c r="AP176" s="405" t="e">
        <f t="shared" si="189"/>
        <v>#DIV/0!</v>
      </c>
      <c r="AQ176" s="405" t="e">
        <f t="shared" si="190"/>
        <v>#DIV/0!</v>
      </c>
      <c r="AR176" s="405" t="e">
        <f t="shared" si="191"/>
        <v>#DIV/0!</v>
      </c>
      <c r="AS176" s="405" t="e">
        <f t="shared" si="192"/>
        <v>#DIV/0!</v>
      </c>
      <c r="AT176" s="405" t="e">
        <f t="shared" si="193"/>
        <v>#DIV/0!</v>
      </c>
      <c r="AU176" s="405" t="e">
        <f t="shared" si="194"/>
        <v>#DIV/0!</v>
      </c>
      <c r="AV176" s="405" t="e">
        <f t="shared" si="195"/>
        <v>#DIV/0!</v>
      </c>
      <c r="AW176" s="405" t="e">
        <f t="shared" si="196"/>
        <v>#DIV/0!</v>
      </c>
    </row>
    <row r="177" spans="1:49" s="70" customFormat="1" ht="30" x14ac:dyDescent="0.25">
      <c r="A177" s="341">
        <v>212227121</v>
      </c>
      <c r="B177" s="342" t="s">
        <v>590</v>
      </c>
      <c r="C177" s="368">
        <v>265000000</v>
      </c>
      <c r="D177" s="368">
        <v>0</v>
      </c>
      <c r="E177" s="368">
        <v>0</v>
      </c>
      <c r="F177" s="368">
        <v>0</v>
      </c>
      <c r="G177" s="368">
        <f t="shared" ref="G177" si="259">+C177+D177-E177+F177</f>
        <v>265000000</v>
      </c>
      <c r="H177" s="58">
        <v>265000000</v>
      </c>
      <c r="I177" s="210">
        <v>0</v>
      </c>
      <c r="J177" s="210">
        <v>265000000</v>
      </c>
      <c r="K177" s="210">
        <v>0</v>
      </c>
      <c r="L177" s="210">
        <v>0</v>
      </c>
      <c r="M177" s="210">
        <v>0</v>
      </c>
      <c r="N177" s="210">
        <v>0</v>
      </c>
      <c r="O177" s="210">
        <v>0</v>
      </c>
      <c r="P177" s="210">
        <v>0</v>
      </c>
      <c r="Q177" s="210">
        <v>0</v>
      </c>
      <c r="R177" s="210">
        <v>0</v>
      </c>
      <c r="S177" s="210">
        <v>0</v>
      </c>
      <c r="T177" s="210">
        <v>0</v>
      </c>
      <c r="U177" s="412">
        <f t="shared" si="210"/>
        <v>265000000</v>
      </c>
      <c r="V177" s="58">
        <f t="shared" si="214"/>
        <v>265000000</v>
      </c>
      <c r="W177" s="396">
        <f t="shared" si="197"/>
        <v>265000000</v>
      </c>
      <c r="X177" s="396">
        <f t="shared" si="198"/>
        <v>0</v>
      </c>
      <c r="Y177" s="396"/>
      <c r="Z177" s="53"/>
      <c r="AA177" s="210">
        <v>0</v>
      </c>
      <c r="AB177" s="210">
        <v>0</v>
      </c>
      <c r="AC177" s="210">
        <v>0</v>
      </c>
      <c r="AD177" s="210">
        <v>0</v>
      </c>
      <c r="AE177" s="210">
        <v>0</v>
      </c>
      <c r="AF177" s="210">
        <v>264999661</v>
      </c>
      <c r="AG177" s="210">
        <v>0</v>
      </c>
      <c r="AH177" s="368">
        <v>0</v>
      </c>
      <c r="AI177" s="368">
        <v>0</v>
      </c>
      <c r="AJ177" s="368">
        <v>0</v>
      </c>
      <c r="AK177" s="210">
        <f t="shared" si="209"/>
        <v>264999661</v>
      </c>
      <c r="AL177" s="386"/>
      <c r="AM177" s="404" t="e">
        <f t="shared" si="186"/>
        <v>#DIV/0!</v>
      </c>
      <c r="AN177" s="404">
        <f t="shared" si="187"/>
        <v>-1</v>
      </c>
      <c r="AO177" s="404" t="e">
        <f t="shared" si="188"/>
        <v>#DIV/0!</v>
      </c>
      <c r="AP177" s="404" t="e">
        <f t="shared" si="189"/>
        <v>#DIV/0!</v>
      </c>
      <c r="AQ177" s="404" t="e">
        <f t="shared" si="190"/>
        <v>#DIV/0!</v>
      </c>
      <c r="AR177" s="404" t="e">
        <f t="shared" si="191"/>
        <v>#DIV/0!</v>
      </c>
      <c r="AS177" s="404" t="e">
        <f t="shared" si="192"/>
        <v>#DIV/0!</v>
      </c>
      <c r="AT177" s="404" t="e">
        <f t="shared" si="193"/>
        <v>#DIV/0!</v>
      </c>
      <c r="AU177" s="404" t="e">
        <f t="shared" si="194"/>
        <v>#DIV/0!</v>
      </c>
      <c r="AV177" s="404" t="e">
        <f t="shared" si="195"/>
        <v>#DIV/0!</v>
      </c>
      <c r="AW177" s="404" t="e">
        <f t="shared" si="196"/>
        <v>#DIV/0!</v>
      </c>
    </row>
    <row r="178" spans="1:49" s="70" customFormat="1" ht="45" x14ac:dyDescent="0.25">
      <c r="A178" s="339">
        <v>21222713</v>
      </c>
      <c r="B178" s="340" t="s">
        <v>80</v>
      </c>
      <c r="C178" s="367">
        <f>+C179</f>
        <v>556000000</v>
      </c>
      <c r="D178" s="367">
        <f t="shared" ref="D178:G178" si="260">+D179</f>
        <v>198000000</v>
      </c>
      <c r="E178" s="367">
        <f t="shared" si="260"/>
        <v>0</v>
      </c>
      <c r="F178" s="367">
        <f t="shared" si="260"/>
        <v>0</v>
      </c>
      <c r="G178" s="367">
        <f t="shared" si="260"/>
        <v>754000000</v>
      </c>
      <c r="H178" s="57">
        <f>+H179</f>
        <v>556000000</v>
      </c>
      <c r="I178" s="208">
        <f t="shared" ref="I178:V178" si="261">+I179</f>
        <v>0</v>
      </c>
      <c r="J178" s="208">
        <f t="shared" si="261"/>
        <v>556000000</v>
      </c>
      <c r="K178" s="208">
        <f t="shared" si="261"/>
        <v>0</v>
      </c>
      <c r="L178" s="208">
        <f t="shared" si="261"/>
        <v>0</v>
      </c>
      <c r="M178" s="208">
        <f t="shared" si="261"/>
        <v>198000000</v>
      </c>
      <c r="N178" s="208">
        <f t="shared" si="261"/>
        <v>0</v>
      </c>
      <c r="O178" s="208">
        <f t="shared" si="261"/>
        <v>0</v>
      </c>
      <c r="P178" s="208">
        <f t="shared" si="261"/>
        <v>0</v>
      </c>
      <c r="Q178" s="208">
        <f t="shared" si="261"/>
        <v>0</v>
      </c>
      <c r="R178" s="208">
        <f t="shared" si="261"/>
        <v>0</v>
      </c>
      <c r="S178" s="208">
        <f t="shared" si="261"/>
        <v>0</v>
      </c>
      <c r="T178" s="208">
        <f t="shared" si="261"/>
        <v>0</v>
      </c>
      <c r="U178" s="413">
        <f t="shared" si="210"/>
        <v>754000000</v>
      </c>
      <c r="V178" s="57">
        <f t="shared" si="261"/>
        <v>754000000</v>
      </c>
      <c r="W178" s="396">
        <f t="shared" si="197"/>
        <v>754000000</v>
      </c>
      <c r="X178" s="396">
        <f t="shared" si="198"/>
        <v>0</v>
      </c>
      <c r="Y178" s="396"/>
      <c r="Z178" s="55"/>
      <c r="AA178" s="209">
        <f t="shared" ref="AA178:AD178" si="262">+AA179</f>
        <v>0</v>
      </c>
      <c r="AB178" s="209">
        <f t="shared" si="262"/>
        <v>0</v>
      </c>
      <c r="AC178" s="209">
        <f t="shared" si="262"/>
        <v>174224679</v>
      </c>
      <c r="AD178" s="209">
        <f t="shared" si="262"/>
        <v>71168000</v>
      </c>
      <c r="AE178" s="209">
        <f>+AE179</f>
        <v>147418</v>
      </c>
      <c r="AF178" s="209">
        <f t="shared" ref="AF178:AG178" si="263">+AF179</f>
        <v>506040994</v>
      </c>
      <c r="AG178" s="209">
        <f t="shared" si="263"/>
        <v>0</v>
      </c>
      <c r="AH178" s="367">
        <v>0</v>
      </c>
      <c r="AI178" s="367">
        <v>0</v>
      </c>
      <c r="AJ178" s="367">
        <v>0</v>
      </c>
      <c r="AK178" s="209">
        <f t="shared" si="209"/>
        <v>751581091</v>
      </c>
      <c r="AL178" s="387"/>
      <c r="AM178" s="405" t="e">
        <f t="shared" si="186"/>
        <v>#DIV/0!</v>
      </c>
      <c r="AN178" s="405">
        <f t="shared" si="187"/>
        <v>-1</v>
      </c>
      <c r="AO178" s="405" t="e">
        <f t="shared" si="188"/>
        <v>#DIV/0!</v>
      </c>
      <c r="AP178" s="405" t="e">
        <f t="shared" si="189"/>
        <v>#DIV/0!</v>
      </c>
      <c r="AQ178" s="405">
        <f t="shared" si="190"/>
        <v>-0.99925546464646464</v>
      </c>
      <c r="AR178" s="405" t="e">
        <f t="shared" si="191"/>
        <v>#DIV/0!</v>
      </c>
      <c r="AS178" s="405" t="e">
        <f t="shared" si="192"/>
        <v>#DIV/0!</v>
      </c>
      <c r="AT178" s="405" t="e">
        <f t="shared" si="193"/>
        <v>#DIV/0!</v>
      </c>
      <c r="AU178" s="405" t="e">
        <f t="shared" si="194"/>
        <v>#DIV/0!</v>
      </c>
      <c r="AV178" s="405" t="e">
        <f t="shared" si="195"/>
        <v>#DIV/0!</v>
      </c>
      <c r="AW178" s="405" t="e">
        <f t="shared" si="196"/>
        <v>#DIV/0!</v>
      </c>
    </row>
    <row r="179" spans="1:49" ht="30" x14ac:dyDescent="0.25">
      <c r="A179" s="341">
        <v>212227138</v>
      </c>
      <c r="B179" s="342" t="s">
        <v>591</v>
      </c>
      <c r="C179" s="368">
        <v>556000000</v>
      </c>
      <c r="D179" s="368">
        <v>198000000</v>
      </c>
      <c r="E179" s="368">
        <v>0</v>
      </c>
      <c r="F179" s="368">
        <v>0</v>
      </c>
      <c r="G179" s="368">
        <f t="shared" ref="G179:G180" si="264">+C179+D179-E179+F179</f>
        <v>754000000</v>
      </c>
      <c r="H179" s="59">
        <v>556000000</v>
      </c>
      <c r="I179" s="210">
        <v>0</v>
      </c>
      <c r="J179" s="210">
        <v>556000000</v>
      </c>
      <c r="K179" s="210">
        <v>0</v>
      </c>
      <c r="L179" s="210">
        <v>0</v>
      </c>
      <c r="M179" s="210">
        <v>198000000</v>
      </c>
      <c r="N179" s="210">
        <v>0</v>
      </c>
      <c r="O179" s="210">
        <v>0</v>
      </c>
      <c r="P179" s="210">
        <v>0</v>
      </c>
      <c r="Q179" s="210">
        <v>0</v>
      </c>
      <c r="R179" s="210">
        <v>0</v>
      </c>
      <c r="S179" s="210">
        <v>0</v>
      </c>
      <c r="T179" s="210">
        <v>0</v>
      </c>
      <c r="U179" s="412">
        <f t="shared" si="210"/>
        <v>754000000</v>
      </c>
      <c r="V179" s="58">
        <f t="shared" si="214"/>
        <v>754000000</v>
      </c>
      <c r="W179" s="396">
        <f t="shared" si="197"/>
        <v>754000000</v>
      </c>
      <c r="X179" s="396">
        <f t="shared" si="198"/>
        <v>0</v>
      </c>
      <c r="Y179" s="396"/>
      <c r="AA179" s="210">
        <v>0</v>
      </c>
      <c r="AB179" s="210">
        <v>0</v>
      </c>
      <c r="AC179" s="210">
        <v>174224679</v>
      </c>
      <c r="AD179" s="210">
        <v>71168000</v>
      </c>
      <c r="AE179" s="210">
        <v>147418</v>
      </c>
      <c r="AF179" s="210">
        <v>506040994</v>
      </c>
      <c r="AG179" s="210">
        <v>0</v>
      </c>
      <c r="AH179" s="368">
        <v>0</v>
      </c>
      <c r="AI179" s="368">
        <v>0</v>
      </c>
      <c r="AJ179" s="368">
        <v>0</v>
      </c>
      <c r="AK179" s="210">
        <f t="shared" si="209"/>
        <v>751581091</v>
      </c>
      <c r="AL179" s="387"/>
      <c r="AM179" s="404" t="e">
        <f t="shared" si="186"/>
        <v>#DIV/0!</v>
      </c>
      <c r="AN179" s="404">
        <f t="shared" si="187"/>
        <v>-1</v>
      </c>
      <c r="AO179" s="404" t="e">
        <f t="shared" si="188"/>
        <v>#DIV/0!</v>
      </c>
      <c r="AP179" s="404" t="e">
        <f t="shared" si="189"/>
        <v>#DIV/0!</v>
      </c>
      <c r="AQ179" s="404">
        <f t="shared" si="190"/>
        <v>-0.99925546464646464</v>
      </c>
      <c r="AR179" s="404" t="e">
        <f t="shared" si="191"/>
        <v>#DIV/0!</v>
      </c>
      <c r="AS179" s="404" t="e">
        <f t="shared" si="192"/>
        <v>#DIV/0!</v>
      </c>
      <c r="AT179" s="404" t="e">
        <f t="shared" si="193"/>
        <v>#DIV/0!</v>
      </c>
      <c r="AU179" s="404" t="e">
        <f t="shared" si="194"/>
        <v>#DIV/0!</v>
      </c>
      <c r="AV179" s="404" t="e">
        <f t="shared" si="195"/>
        <v>#DIV/0!</v>
      </c>
      <c r="AW179" s="404" t="e">
        <f t="shared" si="196"/>
        <v>#DIV/0!</v>
      </c>
    </row>
    <row r="180" spans="1:49" x14ac:dyDescent="0.25">
      <c r="A180" s="341">
        <v>21222714</v>
      </c>
      <c r="B180" s="342" t="s">
        <v>592</v>
      </c>
      <c r="C180" s="368">
        <v>100000000</v>
      </c>
      <c r="D180" s="368">
        <v>80000000</v>
      </c>
      <c r="E180" s="368">
        <v>0</v>
      </c>
      <c r="F180" s="368">
        <v>0</v>
      </c>
      <c r="G180" s="368">
        <f t="shared" si="264"/>
        <v>180000000</v>
      </c>
      <c r="H180" s="59">
        <v>100000000</v>
      </c>
      <c r="I180" s="210">
        <v>15000000</v>
      </c>
      <c r="J180" s="210">
        <v>15000000</v>
      </c>
      <c r="K180" s="210">
        <v>15000000</v>
      </c>
      <c r="L180" s="210">
        <v>15000000</v>
      </c>
      <c r="M180" s="210">
        <v>15000000</v>
      </c>
      <c r="N180" s="210">
        <v>15000000</v>
      </c>
      <c r="O180" s="210">
        <v>15000000</v>
      </c>
      <c r="P180" s="210">
        <v>15000000</v>
      </c>
      <c r="Q180" s="210">
        <v>15000000</v>
      </c>
      <c r="R180" s="210">
        <v>15000000</v>
      </c>
      <c r="S180" s="210">
        <v>15000000</v>
      </c>
      <c r="T180" s="210">
        <v>15000000</v>
      </c>
      <c r="U180" s="412">
        <f t="shared" si="210"/>
        <v>150000000</v>
      </c>
      <c r="V180" s="58">
        <f t="shared" si="214"/>
        <v>180000000</v>
      </c>
      <c r="W180" s="396">
        <f t="shared" si="197"/>
        <v>180000000</v>
      </c>
      <c r="X180" s="396">
        <f t="shared" si="198"/>
        <v>0</v>
      </c>
      <c r="Y180" s="396">
        <f>+W180/12</f>
        <v>15000000</v>
      </c>
      <c r="Z180" s="55"/>
      <c r="AA180" s="210">
        <v>12811214.539999999</v>
      </c>
      <c r="AB180" s="210">
        <v>8767233.4800000004</v>
      </c>
      <c r="AC180" s="210">
        <v>12198345.939999999</v>
      </c>
      <c r="AD180" s="210">
        <v>29621559.399999999</v>
      </c>
      <c r="AE180" s="210">
        <f>7070042.54+62000</f>
        <v>7132042.54</v>
      </c>
      <c r="AF180" s="210">
        <v>8213682.8399999999</v>
      </c>
      <c r="AG180" s="210">
        <v>18037433.629999999</v>
      </c>
      <c r="AH180" s="368">
        <f>8218956.89+12000</f>
        <v>8230956.8899999997</v>
      </c>
      <c r="AI180" s="368">
        <v>22267197.350000001</v>
      </c>
      <c r="AJ180" s="368">
        <v>10513721.25</v>
      </c>
      <c r="AK180" s="210">
        <f t="shared" si="209"/>
        <v>137793387.86000001</v>
      </c>
      <c r="AL180" s="386"/>
      <c r="AM180" s="404">
        <f t="shared" si="186"/>
        <v>-0.14591903066666673</v>
      </c>
      <c r="AN180" s="404">
        <f t="shared" si="187"/>
        <v>-0.41551776799999995</v>
      </c>
      <c r="AO180" s="404">
        <f t="shared" si="188"/>
        <v>-0.18677693733333336</v>
      </c>
      <c r="AP180" s="404">
        <f t="shared" si="189"/>
        <v>0.97477062666666658</v>
      </c>
      <c r="AQ180" s="404">
        <f t="shared" si="190"/>
        <v>-0.52453049733333335</v>
      </c>
      <c r="AR180" s="404">
        <f t="shared" si="191"/>
        <v>-0.452421144</v>
      </c>
      <c r="AS180" s="404">
        <f t="shared" si="192"/>
        <v>0.20249557533333326</v>
      </c>
      <c r="AT180" s="404">
        <f t="shared" si="193"/>
        <v>-0.45126954066666669</v>
      </c>
      <c r="AU180" s="404">
        <f t="shared" si="194"/>
        <v>0.48447982333333345</v>
      </c>
      <c r="AV180" s="404">
        <f t="shared" si="195"/>
        <v>-0.29908525000000002</v>
      </c>
      <c r="AW180" s="404">
        <f t="shared" si="196"/>
        <v>8.1862258573333335</v>
      </c>
    </row>
    <row r="181" spans="1:49" s="70" customFormat="1" x14ac:dyDescent="0.25">
      <c r="A181" s="337">
        <v>2122272</v>
      </c>
      <c r="B181" s="338" t="s">
        <v>81</v>
      </c>
      <c r="C181" s="366">
        <f>+C182+C184+C187</f>
        <v>1287000000</v>
      </c>
      <c r="D181" s="366">
        <f t="shared" ref="D181:G181" si="265">+D182+D184+D187</f>
        <v>160000000</v>
      </c>
      <c r="E181" s="366">
        <f t="shared" si="265"/>
        <v>226382552</v>
      </c>
      <c r="F181" s="366">
        <f t="shared" si="265"/>
        <v>0</v>
      </c>
      <c r="G181" s="366">
        <f t="shared" si="265"/>
        <v>1220617448</v>
      </c>
      <c r="H181" s="366">
        <f t="shared" ref="H181:V181" si="266">+H182+H184+H187</f>
        <v>1287000000</v>
      </c>
      <c r="I181" s="366">
        <f t="shared" si="266"/>
        <v>116333333.33333333</v>
      </c>
      <c r="J181" s="366">
        <f t="shared" si="266"/>
        <v>131333333.33333333</v>
      </c>
      <c r="K181" s="366">
        <f t="shared" si="266"/>
        <v>103950781.33333333</v>
      </c>
      <c r="L181" s="366">
        <f t="shared" si="266"/>
        <v>96333333.333333328</v>
      </c>
      <c r="M181" s="366">
        <f t="shared" si="266"/>
        <v>98333333.333333328</v>
      </c>
      <c r="N181" s="366">
        <f t="shared" si="266"/>
        <v>96333333.333333328</v>
      </c>
      <c r="O181" s="366">
        <f t="shared" si="266"/>
        <v>96333333.333333328</v>
      </c>
      <c r="P181" s="366">
        <f t="shared" si="266"/>
        <v>96333333.333333328</v>
      </c>
      <c r="Q181" s="366">
        <f t="shared" si="266"/>
        <v>96333333.333333328</v>
      </c>
      <c r="R181" s="366">
        <f t="shared" si="266"/>
        <v>96333333.333333328</v>
      </c>
      <c r="S181" s="366">
        <f t="shared" si="266"/>
        <v>96333333.333333328</v>
      </c>
      <c r="T181" s="366">
        <f t="shared" si="266"/>
        <v>96333333.333333328</v>
      </c>
      <c r="U181" s="417">
        <f t="shared" si="210"/>
        <v>1027950781.3333335</v>
      </c>
      <c r="V181" s="366">
        <f t="shared" si="266"/>
        <v>1220617448</v>
      </c>
      <c r="W181" s="396">
        <f t="shared" si="197"/>
        <v>1220617448</v>
      </c>
      <c r="X181" s="396">
        <f t="shared" si="198"/>
        <v>0</v>
      </c>
      <c r="Y181" s="396"/>
      <c r="Z181" s="55"/>
      <c r="AA181" s="206">
        <v>0</v>
      </c>
      <c r="AB181" s="207">
        <v>0</v>
      </c>
      <c r="AC181" s="207">
        <v>20690800</v>
      </c>
      <c r="AD181" s="207">
        <v>16193708</v>
      </c>
      <c r="AE181" s="207">
        <v>16193708</v>
      </c>
      <c r="AF181" s="207">
        <v>35437208</v>
      </c>
      <c r="AG181" s="207">
        <v>25193708</v>
      </c>
      <c r="AH181" s="366">
        <v>30971616</v>
      </c>
      <c r="AI181" s="366">
        <v>26591431</v>
      </c>
      <c r="AJ181" s="366">
        <v>28561773.109999999</v>
      </c>
      <c r="AK181" s="207">
        <f t="shared" si="209"/>
        <v>199833952.11000001</v>
      </c>
      <c r="AL181" s="386"/>
      <c r="AM181" s="406">
        <f t="shared" si="186"/>
        <v>-1</v>
      </c>
      <c r="AN181" s="406">
        <f t="shared" si="187"/>
        <v>-1</v>
      </c>
      <c r="AO181" s="406">
        <f t="shared" si="188"/>
        <v>-0.80095580105692588</v>
      </c>
      <c r="AP181" s="406">
        <f t="shared" si="189"/>
        <v>-0.83189922491349477</v>
      </c>
      <c r="AQ181" s="406">
        <f t="shared" si="190"/>
        <v>-0.83531822372881359</v>
      </c>
      <c r="AR181" s="406">
        <f t="shared" si="191"/>
        <v>-0.63213970934256059</v>
      </c>
      <c r="AS181" s="406">
        <f t="shared" si="192"/>
        <v>-0.7384736193771626</v>
      </c>
      <c r="AT181" s="406">
        <f t="shared" si="193"/>
        <v>-0.67849533564013842</v>
      </c>
      <c r="AU181" s="406">
        <f t="shared" si="194"/>
        <v>-0.72396438408304498</v>
      </c>
      <c r="AV181" s="406">
        <f t="shared" si="195"/>
        <v>-0.70351100577854675</v>
      </c>
      <c r="AW181" s="406">
        <f t="shared" si="196"/>
        <v>1.0744008869550175</v>
      </c>
    </row>
    <row r="182" spans="1:49" ht="30" x14ac:dyDescent="0.25">
      <c r="A182" s="339">
        <v>21222721</v>
      </c>
      <c r="B182" s="340" t="s">
        <v>82</v>
      </c>
      <c r="C182" s="367">
        <f>+C183</f>
        <v>85000000</v>
      </c>
      <c r="D182" s="367">
        <f t="shared" ref="D182:G182" si="267">+D183</f>
        <v>0</v>
      </c>
      <c r="E182" s="367">
        <f t="shared" si="267"/>
        <v>22382552</v>
      </c>
      <c r="F182" s="367">
        <f t="shared" si="267"/>
        <v>0</v>
      </c>
      <c r="G182" s="367">
        <f t="shared" si="267"/>
        <v>62617448</v>
      </c>
      <c r="H182" s="367">
        <f t="shared" ref="H182:V182" si="268">+H183</f>
        <v>85000000</v>
      </c>
      <c r="I182" s="367">
        <f t="shared" si="268"/>
        <v>20000000</v>
      </c>
      <c r="J182" s="367">
        <f t="shared" si="268"/>
        <v>35000000</v>
      </c>
      <c r="K182" s="367">
        <f t="shared" si="268"/>
        <v>7617448</v>
      </c>
      <c r="L182" s="367">
        <f t="shared" si="268"/>
        <v>0</v>
      </c>
      <c r="M182" s="367">
        <f t="shared" si="268"/>
        <v>0</v>
      </c>
      <c r="N182" s="367">
        <f t="shared" si="268"/>
        <v>0</v>
      </c>
      <c r="O182" s="367">
        <f t="shared" si="268"/>
        <v>0</v>
      </c>
      <c r="P182" s="367">
        <f t="shared" si="268"/>
        <v>0</v>
      </c>
      <c r="Q182" s="367">
        <f t="shared" si="268"/>
        <v>0</v>
      </c>
      <c r="R182" s="367">
        <f t="shared" si="268"/>
        <v>0</v>
      </c>
      <c r="S182" s="367">
        <f t="shared" si="268"/>
        <v>0</v>
      </c>
      <c r="T182" s="367">
        <f t="shared" si="268"/>
        <v>0</v>
      </c>
      <c r="U182" s="418">
        <f t="shared" si="210"/>
        <v>62617448</v>
      </c>
      <c r="V182" s="367">
        <f t="shared" si="268"/>
        <v>62617448</v>
      </c>
      <c r="W182" s="396">
        <f t="shared" si="197"/>
        <v>62617448</v>
      </c>
      <c r="X182" s="396">
        <f t="shared" si="198"/>
        <v>0</v>
      </c>
      <c r="Y182" s="396"/>
      <c r="Z182" s="55"/>
      <c r="AA182" s="208">
        <v>0</v>
      </c>
      <c r="AB182" s="209">
        <v>0</v>
      </c>
      <c r="AC182" s="209">
        <v>2600000</v>
      </c>
      <c r="AD182" s="209">
        <v>10002908</v>
      </c>
      <c r="AE182" s="209">
        <v>10002908</v>
      </c>
      <c r="AF182" s="209">
        <v>10002908</v>
      </c>
      <c r="AG182" s="209">
        <v>10002908</v>
      </c>
      <c r="AH182" s="367">
        <v>20005816</v>
      </c>
      <c r="AI182" s="367">
        <v>0</v>
      </c>
      <c r="AJ182" s="367">
        <v>0</v>
      </c>
      <c r="AK182" s="209">
        <f t="shared" si="209"/>
        <v>62617448</v>
      </c>
      <c r="AL182" s="387"/>
      <c r="AM182" s="405">
        <f t="shared" si="186"/>
        <v>-1</v>
      </c>
      <c r="AN182" s="405">
        <f t="shared" si="187"/>
        <v>-1</v>
      </c>
      <c r="AO182" s="405">
        <f t="shared" si="188"/>
        <v>-0.65867833951738164</v>
      </c>
      <c r="AP182" s="405" t="e">
        <f t="shared" si="189"/>
        <v>#DIV/0!</v>
      </c>
      <c r="AQ182" s="405" t="e">
        <f t="shared" si="190"/>
        <v>#DIV/0!</v>
      </c>
      <c r="AR182" s="405" t="e">
        <f t="shared" si="191"/>
        <v>#DIV/0!</v>
      </c>
      <c r="AS182" s="405" t="e">
        <f t="shared" si="192"/>
        <v>#DIV/0!</v>
      </c>
      <c r="AT182" s="405" t="e">
        <f t="shared" si="193"/>
        <v>#DIV/0!</v>
      </c>
      <c r="AU182" s="405" t="e">
        <f t="shared" si="194"/>
        <v>#DIV/0!</v>
      </c>
      <c r="AV182" s="405" t="e">
        <f t="shared" si="195"/>
        <v>#DIV/0!</v>
      </c>
      <c r="AW182" s="405" t="e">
        <f t="shared" si="196"/>
        <v>#DIV/0!</v>
      </c>
    </row>
    <row r="183" spans="1:49" s="70" customFormat="1" ht="45" x14ac:dyDescent="0.25">
      <c r="A183" s="341">
        <v>212227211</v>
      </c>
      <c r="B183" s="342" t="s">
        <v>593</v>
      </c>
      <c r="C183" s="368">
        <v>85000000</v>
      </c>
      <c r="D183" s="368">
        <v>0</v>
      </c>
      <c r="E183" s="368">
        <v>22382552</v>
      </c>
      <c r="F183" s="368">
        <v>0</v>
      </c>
      <c r="G183" s="368">
        <f t="shared" ref="G183" si="269">+C183+D183-E183+F183</f>
        <v>62617448</v>
      </c>
      <c r="H183" s="59">
        <v>85000000</v>
      </c>
      <c r="I183" s="210">
        <v>20000000</v>
      </c>
      <c r="J183" s="210">
        <v>35000000</v>
      </c>
      <c r="K183" s="210">
        <f>15000000-7382552</f>
        <v>7617448</v>
      </c>
      <c r="L183" s="210"/>
      <c r="M183" s="210"/>
      <c r="N183" s="210">
        <v>0</v>
      </c>
      <c r="O183" s="210">
        <v>0</v>
      </c>
      <c r="P183" s="210">
        <v>0</v>
      </c>
      <c r="Q183" s="210">
        <v>0</v>
      </c>
      <c r="R183" s="210">
        <v>0</v>
      </c>
      <c r="S183" s="210">
        <v>0</v>
      </c>
      <c r="T183" s="210">
        <v>0</v>
      </c>
      <c r="U183" s="412">
        <f t="shared" si="210"/>
        <v>62617448</v>
      </c>
      <c r="V183" s="58">
        <f t="shared" si="214"/>
        <v>62617448</v>
      </c>
      <c r="W183" s="396">
        <f t="shared" si="197"/>
        <v>62617448</v>
      </c>
      <c r="X183" s="396">
        <f t="shared" si="198"/>
        <v>0</v>
      </c>
      <c r="Y183" s="396"/>
      <c r="Z183" s="55"/>
      <c r="AA183" s="210">
        <v>0</v>
      </c>
      <c r="AB183" s="210">
        <v>0</v>
      </c>
      <c r="AC183" s="210">
        <v>2600000</v>
      </c>
      <c r="AD183" s="210">
        <v>10002908</v>
      </c>
      <c r="AE183" s="210">
        <v>10002908</v>
      </c>
      <c r="AF183" s="210">
        <v>10002908</v>
      </c>
      <c r="AG183" s="210">
        <v>10002908</v>
      </c>
      <c r="AH183" s="368">
        <v>20005816</v>
      </c>
      <c r="AI183" s="368">
        <v>0</v>
      </c>
      <c r="AJ183" s="368">
        <v>0</v>
      </c>
      <c r="AK183" s="210">
        <f t="shared" si="209"/>
        <v>62617448</v>
      </c>
      <c r="AL183" s="386"/>
      <c r="AM183" s="404">
        <f t="shared" si="186"/>
        <v>-1</v>
      </c>
      <c r="AN183" s="404">
        <f t="shared" si="187"/>
        <v>-1</v>
      </c>
      <c r="AO183" s="404">
        <f t="shared" si="188"/>
        <v>-0.65867833951738164</v>
      </c>
      <c r="AP183" s="404" t="e">
        <f t="shared" si="189"/>
        <v>#DIV/0!</v>
      </c>
      <c r="AQ183" s="404" t="e">
        <f t="shared" si="190"/>
        <v>#DIV/0!</v>
      </c>
      <c r="AR183" s="404" t="e">
        <f t="shared" si="191"/>
        <v>#DIV/0!</v>
      </c>
      <c r="AS183" s="404" t="e">
        <f t="shared" si="192"/>
        <v>#DIV/0!</v>
      </c>
      <c r="AT183" s="404" t="e">
        <f t="shared" si="193"/>
        <v>#DIV/0!</v>
      </c>
      <c r="AU183" s="404" t="e">
        <f t="shared" si="194"/>
        <v>#DIV/0!</v>
      </c>
      <c r="AV183" s="404" t="e">
        <f t="shared" si="195"/>
        <v>#DIV/0!</v>
      </c>
      <c r="AW183" s="404" t="e">
        <f t="shared" si="196"/>
        <v>#DIV/0!</v>
      </c>
    </row>
    <row r="184" spans="1:49" s="70" customFormat="1" ht="30" x14ac:dyDescent="0.25">
      <c r="A184" s="339">
        <v>21222722</v>
      </c>
      <c r="B184" s="340" t="s">
        <v>83</v>
      </c>
      <c r="C184" s="367">
        <f>+C185+C186</f>
        <v>1202000000</v>
      </c>
      <c r="D184" s="367">
        <f t="shared" ref="D184:G184" si="270">+D185+D186</f>
        <v>0</v>
      </c>
      <c r="E184" s="367">
        <f t="shared" si="270"/>
        <v>204000000</v>
      </c>
      <c r="F184" s="367">
        <f t="shared" si="270"/>
        <v>0</v>
      </c>
      <c r="G184" s="367">
        <f t="shared" si="270"/>
        <v>998000000</v>
      </c>
      <c r="H184" s="57">
        <f>+H185+H186</f>
        <v>1202000000</v>
      </c>
      <c r="I184" s="208">
        <f t="shared" ref="I184:V184" si="271">+I185+I186</f>
        <v>83000000</v>
      </c>
      <c r="J184" s="208">
        <f t="shared" si="271"/>
        <v>83000000</v>
      </c>
      <c r="K184" s="208">
        <f t="shared" si="271"/>
        <v>83000000</v>
      </c>
      <c r="L184" s="208">
        <f t="shared" si="271"/>
        <v>83000000</v>
      </c>
      <c r="M184" s="208">
        <f t="shared" si="271"/>
        <v>85000000</v>
      </c>
      <c r="N184" s="208">
        <f t="shared" si="271"/>
        <v>83000000</v>
      </c>
      <c r="O184" s="208">
        <f t="shared" si="271"/>
        <v>83000000</v>
      </c>
      <c r="P184" s="208">
        <f t="shared" si="271"/>
        <v>83000000</v>
      </c>
      <c r="Q184" s="208">
        <f t="shared" si="271"/>
        <v>83000000</v>
      </c>
      <c r="R184" s="208">
        <f t="shared" si="271"/>
        <v>83000000</v>
      </c>
      <c r="S184" s="208">
        <f t="shared" si="271"/>
        <v>83000000</v>
      </c>
      <c r="T184" s="208">
        <f t="shared" si="271"/>
        <v>83000000</v>
      </c>
      <c r="U184" s="413">
        <f t="shared" si="210"/>
        <v>832000000</v>
      </c>
      <c r="V184" s="57">
        <f t="shared" si="271"/>
        <v>998000000</v>
      </c>
      <c r="W184" s="396">
        <f t="shared" si="197"/>
        <v>998000000</v>
      </c>
      <c r="X184" s="396">
        <f t="shared" si="198"/>
        <v>0</v>
      </c>
      <c r="Y184" s="396"/>
      <c r="Z184" s="53"/>
      <c r="AA184" s="208">
        <v>0</v>
      </c>
      <c r="AB184" s="209">
        <v>0</v>
      </c>
      <c r="AC184" s="209">
        <v>18090800</v>
      </c>
      <c r="AD184" s="209">
        <v>6190800</v>
      </c>
      <c r="AE184" s="209">
        <v>6190800</v>
      </c>
      <c r="AF184" s="209">
        <v>25434300</v>
      </c>
      <c r="AG184" s="209">
        <v>15190800</v>
      </c>
      <c r="AH184" s="367">
        <v>10965800</v>
      </c>
      <c r="AI184" s="367">
        <v>26591431</v>
      </c>
      <c r="AJ184" s="367">
        <v>28561773.109999999</v>
      </c>
      <c r="AK184" s="209">
        <f t="shared" si="209"/>
        <v>137216504.11000001</v>
      </c>
      <c r="AL184" s="387"/>
      <c r="AM184" s="405">
        <f t="shared" si="186"/>
        <v>-1</v>
      </c>
      <c r="AN184" s="405">
        <f t="shared" si="187"/>
        <v>-1</v>
      </c>
      <c r="AO184" s="405">
        <f t="shared" si="188"/>
        <v>-0.78203855421686752</v>
      </c>
      <c r="AP184" s="405">
        <f t="shared" si="189"/>
        <v>-0.92541204819277112</v>
      </c>
      <c r="AQ184" s="405">
        <f t="shared" si="190"/>
        <v>-0.92716705882352946</v>
      </c>
      <c r="AR184" s="405">
        <f t="shared" si="191"/>
        <v>-0.69356265060240962</v>
      </c>
      <c r="AS184" s="405">
        <f t="shared" si="192"/>
        <v>-0.81697831325301207</v>
      </c>
      <c r="AT184" s="405">
        <f t="shared" si="193"/>
        <v>-0.86788192771084338</v>
      </c>
      <c r="AU184" s="405">
        <f t="shared" si="194"/>
        <v>-0.679621313253012</v>
      </c>
      <c r="AV184" s="405">
        <f t="shared" si="195"/>
        <v>-0.65588225168674696</v>
      </c>
      <c r="AW184" s="405">
        <f t="shared" si="196"/>
        <v>0.65321089289156642</v>
      </c>
    </row>
    <row r="185" spans="1:49" ht="30" x14ac:dyDescent="0.25">
      <c r="A185" s="341">
        <v>212227222</v>
      </c>
      <c r="B185" s="342" t="s">
        <v>640</v>
      </c>
      <c r="C185" s="368">
        <v>1200000000</v>
      </c>
      <c r="D185" s="368">
        <v>0</v>
      </c>
      <c r="E185" s="368">
        <v>204000000</v>
      </c>
      <c r="F185" s="368">
        <v>0</v>
      </c>
      <c r="G185" s="368">
        <f t="shared" ref="G185:G187" si="272">+C185+D185-E185+F185</f>
        <v>996000000</v>
      </c>
      <c r="H185" s="59">
        <v>1200000000</v>
      </c>
      <c r="I185" s="210">
        <v>83000000</v>
      </c>
      <c r="J185" s="210">
        <v>83000000</v>
      </c>
      <c r="K185" s="210">
        <v>83000000</v>
      </c>
      <c r="L185" s="210">
        <v>83000000</v>
      </c>
      <c r="M185" s="210">
        <v>83000000</v>
      </c>
      <c r="N185" s="210">
        <v>83000000</v>
      </c>
      <c r="O185" s="210">
        <v>83000000</v>
      </c>
      <c r="P185" s="210">
        <v>83000000</v>
      </c>
      <c r="Q185" s="210">
        <v>83000000</v>
      </c>
      <c r="R185" s="210">
        <v>83000000</v>
      </c>
      <c r="S185" s="210">
        <v>83000000</v>
      </c>
      <c r="T185" s="210">
        <v>83000000</v>
      </c>
      <c r="U185" s="412">
        <f t="shared" si="210"/>
        <v>830000000</v>
      </c>
      <c r="V185" s="58">
        <f t="shared" si="214"/>
        <v>996000000</v>
      </c>
      <c r="W185" s="396">
        <f t="shared" si="197"/>
        <v>996000000</v>
      </c>
      <c r="X185" s="396">
        <f t="shared" si="198"/>
        <v>0</v>
      </c>
      <c r="Y185" s="396">
        <f>+W185/12</f>
        <v>83000000</v>
      </c>
      <c r="AA185" s="210">
        <v>0</v>
      </c>
      <c r="AB185" s="210">
        <v>0</v>
      </c>
      <c r="AC185" s="210">
        <v>18090800</v>
      </c>
      <c r="AD185" s="210">
        <v>6190800</v>
      </c>
      <c r="AE185" s="210">
        <v>6190800</v>
      </c>
      <c r="AF185" s="210">
        <v>25434300</v>
      </c>
      <c r="AG185" s="210">
        <v>15190800</v>
      </c>
      <c r="AH185" s="368">
        <v>10965800</v>
      </c>
      <c r="AI185" s="368">
        <v>26591431</v>
      </c>
      <c r="AJ185" s="368">
        <v>28561773.109999999</v>
      </c>
      <c r="AK185" s="210">
        <f t="shared" si="209"/>
        <v>137216504.11000001</v>
      </c>
      <c r="AL185" s="387"/>
      <c r="AM185" s="404">
        <f t="shared" si="186"/>
        <v>-1</v>
      </c>
      <c r="AN185" s="404">
        <f t="shared" si="187"/>
        <v>-1</v>
      </c>
      <c r="AO185" s="404">
        <f t="shared" si="188"/>
        <v>-0.78203855421686752</v>
      </c>
      <c r="AP185" s="404">
        <f t="shared" si="189"/>
        <v>-0.92541204819277112</v>
      </c>
      <c r="AQ185" s="404">
        <f t="shared" si="190"/>
        <v>-0.92541204819277112</v>
      </c>
      <c r="AR185" s="404">
        <f t="shared" si="191"/>
        <v>-0.69356265060240962</v>
      </c>
      <c r="AS185" s="404">
        <f t="shared" si="192"/>
        <v>-0.81697831325301207</v>
      </c>
      <c r="AT185" s="404">
        <f t="shared" si="193"/>
        <v>-0.86788192771084338</v>
      </c>
      <c r="AU185" s="404">
        <f t="shared" si="194"/>
        <v>-0.679621313253012</v>
      </c>
      <c r="AV185" s="404">
        <f t="shared" si="195"/>
        <v>-0.65588225168674696</v>
      </c>
      <c r="AW185" s="404">
        <f t="shared" si="196"/>
        <v>0.65321089289156642</v>
      </c>
    </row>
    <row r="186" spans="1:49" s="70" customFormat="1" ht="30" x14ac:dyDescent="0.25">
      <c r="A186" s="341">
        <v>212227223</v>
      </c>
      <c r="B186" s="342" t="s">
        <v>641</v>
      </c>
      <c r="C186" s="368">
        <v>2000000</v>
      </c>
      <c r="D186" s="368">
        <v>0</v>
      </c>
      <c r="E186" s="368">
        <v>0</v>
      </c>
      <c r="F186" s="368">
        <v>0</v>
      </c>
      <c r="G186" s="368">
        <f t="shared" si="272"/>
        <v>2000000</v>
      </c>
      <c r="H186" s="59">
        <v>2000000</v>
      </c>
      <c r="I186" s="210"/>
      <c r="J186" s="210"/>
      <c r="K186" s="210"/>
      <c r="L186" s="210"/>
      <c r="M186" s="210">
        <v>2000000</v>
      </c>
      <c r="N186" s="210"/>
      <c r="O186" s="210"/>
      <c r="P186" s="210"/>
      <c r="Q186" s="210"/>
      <c r="R186" s="210"/>
      <c r="S186" s="210"/>
      <c r="T186" s="210"/>
      <c r="U186" s="412">
        <f t="shared" si="210"/>
        <v>2000000</v>
      </c>
      <c r="V186" s="58">
        <f t="shared" si="214"/>
        <v>2000000</v>
      </c>
      <c r="W186" s="396">
        <f t="shared" si="197"/>
        <v>2000000</v>
      </c>
      <c r="X186" s="396">
        <f t="shared" si="198"/>
        <v>0</v>
      </c>
      <c r="Y186" s="396"/>
      <c r="Z186" s="53"/>
      <c r="AA186" s="210">
        <v>0</v>
      </c>
      <c r="AB186" s="210">
        <v>0</v>
      </c>
      <c r="AC186" s="210">
        <v>0</v>
      </c>
      <c r="AD186" s="210">
        <v>0</v>
      </c>
      <c r="AE186" s="210">
        <v>0</v>
      </c>
      <c r="AF186" s="210">
        <v>0</v>
      </c>
      <c r="AG186" s="210">
        <v>0</v>
      </c>
      <c r="AH186" s="368">
        <v>0</v>
      </c>
      <c r="AI186" s="368">
        <v>0</v>
      </c>
      <c r="AJ186" s="368">
        <v>0</v>
      </c>
      <c r="AK186" s="210">
        <f t="shared" si="209"/>
        <v>0</v>
      </c>
      <c r="AL186" s="386"/>
      <c r="AM186" s="404" t="e">
        <f t="shared" si="186"/>
        <v>#DIV/0!</v>
      </c>
      <c r="AN186" s="404" t="e">
        <f t="shared" si="187"/>
        <v>#DIV/0!</v>
      </c>
      <c r="AO186" s="404" t="e">
        <f t="shared" si="188"/>
        <v>#DIV/0!</v>
      </c>
      <c r="AP186" s="404" t="e">
        <f t="shared" si="189"/>
        <v>#DIV/0!</v>
      </c>
      <c r="AQ186" s="404">
        <f t="shared" si="190"/>
        <v>-1</v>
      </c>
      <c r="AR186" s="404" t="e">
        <f t="shared" si="191"/>
        <v>#DIV/0!</v>
      </c>
      <c r="AS186" s="404" t="e">
        <f t="shared" si="192"/>
        <v>#DIV/0!</v>
      </c>
      <c r="AT186" s="404" t="e">
        <f t="shared" si="193"/>
        <v>#DIV/0!</v>
      </c>
      <c r="AU186" s="404" t="e">
        <f t="shared" si="194"/>
        <v>#DIV/0!</v>
      </c>
      <c r="AV186" s="404" t="e">
        <f t="shared" si="195"/>
        <v>#DIV/0!</v>
      </c>
      <c r="AW186" s="404" t="e">
        <f t="shared" si="196"/>
        <v>#DIV/0!</v>
      </c>
    </row>
    <row r="187" spans="1:49" ht="30" x14ac:dyDescent="0.25">
      <c r="A187" s="341">
        <v>2122273</v>
      </c>
      <c r="B187" s="342" t="s">
        <v>855</v>
      </c>
      <c r="C187" s="368">
        <v>0</v>
      </c>
      <c r="D187" s="368">
        <v>160000000</v>
      </c>
      <c r="E187" s="368">
        <v>0</v>
      </c>
      <c r="F187" s="368">
        <v>0</v>
      </c>
      <c r="G187" s="368">
        <f t="shared" si="272"/>
        <v>160000000</v>
      </c>
      <c r="H187" s="176"/>
      <c r="I187" s="210">
        <v>13333333.333333334</v>
      </c>
      <c r="J187" s="210">
        <v>13333333.333333334</v>
      </c>
      <c r="K187" s="210">
        <v>13333333.333333334</v>
      </c>
      <c r="L187" s="210">
        <v>13333333.333333334</v>
      </c>
      <c r="M187" s="210">
        <v>13333333.333333334</v>
      </c>
      <c r="N187" s="210">
        <v>13333333.333333334</v>
      </c>
      <c r="O187" s="210">
        <v>13333333.333333334</v>
      </c>
      <c r="P187" s="210">
        <v>13333333.333333334</v>
      </c>
      <c r="Q187" s="210">
        <v>13333333.333333334</v>
      </c>
      <c r="R187" s="210">
        <v>13333333.333333334</v>
      </c>
      <c r="S187" s="210">
        <v>13333333.333333334</v>
      </c>
      <c r="T187" s="210">
        <v>13333333.333333334</v>
      </c>
      <c r="U187" s="412">
        <f t="shared" si="210"/>
        <v>133333333.33333331</v>
      </c>
      <c r="V187" s="58">
        <f t="shared" si="214"/>
        <v>160000000</v>
      </c>
      <c r="W187" s="396">
        <f t="shared" si="197"/>
        <v>160000000</v>
      </c>
      <c r="X187" s="396">
        <f t="shared" si="198"/>
        <v>0</v>
      </c>
      <c r="Y187" s="396">
        <f>+W187/12</f>
        <v>13333333.333333334</v>
      </c>
      <c r="AA187" s="210"/>
      <c r="AB187" s="210"/>
      <c r="AC187" s="209">
        <v>0</v>
      </c>
      <c r="AD187" s="209">
        <v>0</v>
      </c>
      <c r="AE187" s="209">
        <v>0</v>
      </c>
      <c r="AF187" s="209">
        <v>0</v>
      </c>
      <c r="AG187" s="209">
        <v>0</v>
      </c>
      <c r="AH187" s="367">
        <v>0</v>
      </c>
      <c r="AI187" s="368">
        <v>0</v>
      </c>
      <c r="AJ187" s="368">
        <v>0</v>
      </c>
      <c r="AK187" s="209">
        <f t="shared" si="209"/>
        <v>0</v>
      </c>
      <c r="AL187" s="386"/>
      <c r="AM187" s="405">
        <f t="shared" si="186"/>
        <v>-1</v>
      </c>
      <c r="AN187" s="405">
        <f t="shared" si="187"/>
        <v>-1</v>
      </c>
      <c r="AO187" s="405">
        <f t="shared" si="188"/>
        <v>-1</v>
      </c>
      <c r="AP187" s="405">
        <f t="shared" si="189"/>
        <v>-1</v>
      </c>
      <c r="AQ187" s="405">
        <f t="shared" si="190"/>
        <v>-1</v>
      </c>
      <c r="AR187" s="405">
        <f t="shared" si="191"/>
        <v>-1</v>
      </c>
      <c r="AS187" s="405">
        <f t="shared" si="192"/>
        <v>-1</v>
      </c>
      <c r="AT187" s="405">
        <f t="shared" si="193"/>
        <v>-1</v>
      </c>
      <c r="AU187" s="405">
        <f t="shared" si="194"/>
        <v>-1</v>
      </c>
      <c r="AV187" s="405">
        <f t="shared" si="195"/>
        <v>-1</v>
      </c>
      <c r="AW187" s="405">
        <f t="shared" si="196"/>
        <v>-1</v>
      </c>
    </row>
    <row r="188" spans="1:49" ht="30" x14ac:dyDescent="0.25">
      <c r="A188" s="339">
        <v>212228</v>
      </c>
      <c r="B188" s="340" t="s">
        <v>84</v>
      </c>
      <c r="C188" s="367">
        <f>+C189+C191+C197+C201+C203+C210+C215</f>
        <v>2359300000</v>
      </c>
      <c r="D188" s="367">
        <f t="shared" ref="D188:G188" si="273">+D189+D191+D197+D201+D203+D210+D215</f>
        <v>1609503695</v>
      </c>
      <c r="E188" s="367">
        <f t="shared" si="273"/>
        <v>269312351</v>
      </c>
      <c r="F188" s="367">
        <f t="shared" si="273"/>
        <v>675500000</v>
      </c>
      <c r="G188" s="367">
        <f t="shared" si="273"/>
        <v>4374991344</v>
      </c>
      <c r="H188" s="61">
        <f t="shared" ref="H188:T188" si="274">+H189+H191+H197+H201+H203+H210+H215</f>
        <v>3034800000</v>
      </c>
      <c r="I188" s="208">
        <f t="shared" si="274"/>
        <v>306775136.66000003</v>
      </c>
      <c r="J188" s="208">
        <f t="shared" si="274"/>
        <v>529775136.66000003</v>
      </c>
      <c r="K188" s="208">
        <f t="shared" si="274"/>
        <v>468982133.16000003</v>
      </c>
      <c r="L188" s="208">
        <f t="shared" si="274"/>
        <v>315482133.16000003</v>
      </c>
      <c r="M188" s="208">
        <f t="shared" si="274"/>
        <v>313075136.66000003</v>
      </c>
      <c r="N188" s="208">
        <f t="shared" si="274"/>
        <v>309275136.66000003</v>
      </c>
      <c r="O188" s="208">
        <f t="shared" si="274"/>
        <v>369275136.66000003</v>
      </c>
      <c r="P188" s="208">
        <f t="shared" si="274"/>
        <v>396654147.16000003</v>
      </c>
      <c r="Q188" s="208">
        <f t="shared" si="274"/>
        <v>350482133.16000003</v>
      </c>
      <c r="R188" s="208">
        <f t="shared" si="274"/>
        <v>344072562.66000003</v>
      </c>
      <c r="S188" s="208">
        <f t="shared" si="274"/>
        <v>343069988.66000003</v>
      </c>
      <c r="T188" s="208">
        <f t="shared" si="274"/>
        <v>328072562.74000001</v>
      </c>
      <c r="U188" s="413">
        <f t="shared" si="210"/>
        <v>3703848792.5999994</v>
      </c>
      <c r="V188" s="61">
        <f>+V189+V191+V197+V201+V203+V210+V215</f>
        <v>4374991344</v>
      </c>
      <c r="W188" s="396">
        <f t="shared" si="197"/>
        <v>4374991344</v>
      </c>
      <c r="X188" s="396">
        <f t="shared" si="198"/>
        <v>0</v>
      </c>
      <c r="Y188" s="396"/>
      <c r="AA188" s="209">
        <f>+AA189+AA191+AA197+AA201+AA203+AA210+AA215</f>
        <v>262619590</v>
      </c>
      <c r="AB188" s="209">
        <f t="shared" ref="AB188:AG188" si="275">+AB189+AB191+AB197+AB201+AB203+AB210+AB215</f>
        <v>27040311</v>
      </c>
      <c r="AC188" s="209">
        <f t="shared" si="275"/>
        <v>347446313.40999997</v>
      </c>
      <c r="AD188" s="209">
        <f t="shared" si="275"/>
        <v>141085872.75999999</v>
      </c>
      <c r="AE188" s="209">
        <f t="shared" si="275"/>
        <v>170049928.51999998</v>
      </c>
      <c r="AF188" s="209">
        <f t="shared" si="275"/>
        <v>143789439.78999999</v>
      </c>
      <c r="AG188" s="209">
        <f t="shared" si="275"/>
        <v>484009237.27999997</v>
      </c>
      <c r="AH188" s="367">
        <v>375204368.20999998</v>
      </c>
      <c r="AI188" s="367">
        <v>237377525.49999997</v>
      </c>
      <c r="AJ188" s="367">
        <v>386439145.13999999</v>
      </c>
      <c r="AK188" s="209">
        <f t="shared" si="209"/>
        <v>2575061731.6099997</v>
      </c>
      <c r="AL188" s="386"/>
      <c r="AM188" s="405">
        <f t="shared" si="186"/>
        <v>-0.14393456764697909</v>
      </c>
      <c r="AN188" s="405">
        <f t="shared" si="187"/>
        <v>-0.94895889004818668</v>
      </c>
      <c r="AO188" s="405">
        <f t="shared" si="188"/>
        <v>-0.25914808082579205</v>
      </c>
      <c r="AP188" s="405">
        <f t="shared" si="189"/>
        <v>-0.55279282745166802</v>
      </c>
      <c r="AQ188" s="405">
        <f t="shared" si="190"/>
        <v>-0.45683988088560862</v>
      </c>
      <c r="AR188" s="405">
        <f t="shared" si="191"/>
        <v>-0.53507598010352142</v>
      </c>
      <c r="AS188" s="405">
        <f t="shared" si="192"/>
        <v>0.31070085480907483</v>
      </c>
      <c r="AT188" s="405">
        <f t="shared" si="193"/>
        <v>-5.4076779742700538E-2</v>
      </c>
      <c r="AU188" s="405">
        <f t="shared" si="194"/>
        <v>-0.32271147929919214</v>
      </c>
      <c r="AV188" s="405">
        <f t="shared" si="195"/>
        <v>0.12313269663953146</v>
      </c>
      <c r="AW188" s="405">
        <f t="shared" si="196"/>
        <v>6.5059370295488543</v>
      </c>
    </row>
    <row r="189" spans="1:49" x14ac:dyDescent="0.25">
      <c r="A189" s="339">
        <v>2122281</v>
      </c>
      <c r="B189" s="340" t="s">
        <v>85</v>
      </c>
      <c r="C189" s="367">
        <f>+C190</f>
        <v>250000000</v>
      </c>
      <c r="D189" s="367">
        <f t="shared" ref="D189:G189" si="276">+D190</f>
        <v>450196000</v>
      </c>
      <c r="E189" s="367">
        <f t="shared" si="276"/>
        <v>312351</v>
      </c>
      <c r="F189" s="367">
        <f t="shared" si="276"/>
        <v>68000000</v>
      </c>
      <c r="G189" s="367">
        <f t="shared" si="276"/>
        <v>767883649</v>
      </c>
      <c r="H189" s="57">
        <f>+H190</f>
        <v>318000000</v>
      </c>
      <c r="I189" s="208">
        <f t="shared" ref="I189:V189" si="277">+I190</f>
        <v>63990304.083333336</v>
      </c>
      <c r="J189" s="208">
        <f t="shared" si="277"/>
        <v>63990304.083333336</v>
      </c>
      <c r="K189" s="208">
        <f t="shared" si="277"/>
        <v>63990304.083333336</v>
      </c>
      <c r="L189" s="208">
        <f t="shared" si="277"/>
        <v>63990304.083333336</v>
      </c>
      <c r="M189" s="208">
        <f t="shared" si="277"/>
        <v>63990304.083333336</v>
      </c>
      <c r="N189" s="208">
        <f t="shared" si="277"/>
        <v>63990304.083333336</v>
      </c>
      <c r="O189" s="208">
        <f t="shared" si="277"/>
        <v>63990304.083333336</v>
      </c>
      <c r="P189" s="208">
        <f t="shared" si="277"/>
        <v>63990304.083333336</v>
      </c>
      <c r="Q189" s="208">
        <f t="shared" si="277"/>
        <v>63990304.083333336</v>
      </c>
      <c r="R189" s="208">
        <f t="shared" si="277"/>
        <v>63990304.083333336</v>
      </c>
      <c r="S189" s="208">
        <f t="shared" si="277"/>
        <v>63990304.083333336</v>
      </c>
      <c r="T189" s="208">
        <f t="shared" si="277"/>
        <v>63990304.083333336</v>
      </c>
      <c r="U189" s="413">
        <f t="shared" si="210"/>
        <v>639903040.83333337</v>
      </c>
      <c r="V189" s="57">
        <f t="shared" si="277"/>
        <v>767883649.00000012</v>
      </c>
      <c r="W189" s="396">
        <f t="shared" si="197"/>
        <v>767883649</v>
      </c>
      <c r="X189" s="396">
        <f t="shared" si="198"/>
        <v>0</v>
      </c>
      <c r="Y189" s="396"/>
      <c r="Z189" s="55"/>
      <c r="AA189" s="208">
        <f>+AA190</f>
        <v>0</v>
      </c>
      <c r="AB189" s="208">
        <f t="shared" ref="AB189:AG189" si="278">+AB190</f>
        <v>0</v>
      </c>
      <c r="AC189" s="208">
        <f t="shared" si="278"/>
        <v>84261742.030000001</v>
      </c>
      <c r="AD189" s="208">
        <f t="shared" si="278"/>
        <v>13500000</v>
      </c>
      <c r="AE189" s="208">
        <f t="shared" si="278"/>
        <v>20166668.059999999</v>
      </c>
      <c r="AF189" s="208">
        <f t="shared" si="278"/>
        <v>14333334.029999999</v>
      </c>
      <c r="AG189" s="208">
        <f t="shared" si="278"/>
        <v>177418934.03</v>
      </c>
      <c r="AH189" s="367">
        <v>8500000</v>
      </c>
      <c r="AI189" s="367">
        <v>19166668.059999999</v>
      </c>
      <c r="AJ189" s="367">
        <v>177746467</v>
      </c>
      <c r="AK189" s="208">
        <f t="shared" si="209"/>
        <v>515093813.20999998</v>
      </c>
      <c r="AL189" s="387"/>
      <c r="AM189" s="409">
        <f t="shared" si="186"/>
        <v>-1</v>
      </c>
      <c r="AN189" s="409">
        <f t="shared" si="187"/>
        <v>-1</v>
      </c>
      <c r="AO189" s="409">
        <f t="shared" si="188"/>
        <v>0.31678921106965774</v>
      </c>
      <c r="AP189" s="409">
        <f t="shared" si="189"/>
        <v>-0.78903053840126758</v>
      </c>
      <c r="AQ189" s="409">
        <f t="shared" si="190"/>
        <v>-0.68484806645492213</v>
      </c>
      <c r="AR189" s="409">
        <f t="shared" si="191"/>
        <v>-0.77600772124267492</v>
      </c>
      <c r="AS189" s="409">
        <f t="shared" si="192"/>
        <v>1.7725908881281569</v>
      </c>
      <c r="AT189" s="409">
        <f t="shared" si="193"/>
        <v>-0.86716737603042771</v>
      </c>
      <c r="AU189" s="409">
        <f t="shared" si="194"/>
        <v>-0.70047543398075407</v>
      </c>
      <c r="AV189" s="409">
        <f t="shared" si="195"/>
        <v>1.7777093662271741</v>
      </c>
      <c r="AW189" s="409">
        <f t="shared" si="196"/>
        <v>7.0495603293149429</v>
      </c>
    </row>
    <row r="190" spans="1:49" s="70" customFormat="1" x14ac:dyDescent="0.25">
      <c r="A190" s="341">
        <v>21222811</v>
      </c>
      <c r="B190" s="342" t="s">
        <v>594</v>
      </c>
      <c r="C190" s="383">
        <v>250000000</v>
      </c>
      <c r="D190" s="368">
        <v>450196000</v>
      </c>
      <c r="E190" s="368">
        <v>312351</v>
      </c>
      <c r="F190" s="368">
        <v>68000000</v>
      </c>
      <c r="G190" s="368">
        <f t="shared" ref="G190" si="279">+C190+D190-E190+F190</f>
        <v>767883649</v>
      </c>
      <c r="H190" s="59">
        <v>318000000</v>
      </c>
      <c r="I190" s="210">
        <v>63990304.083333336</v>
      </c>
      <c r="J190" s="210">
        <v>63990304.083333336</v>
      </c>
      <c r="K190" s="210">
        <v>63990304.083333336</v>
      </c>
      <c r="L190" s="210">
        <v>63990304.083333336</v>
      </c>
      <c r="M190" s="210">
        <v>63990304.083333336</v>
      </c>
      <c r="N190" s="210">
        <v>63990304.083333336</v>
      </c>
      <c r="O190" s="210">
        <v>63990304.083333336</v>
      </c>
      <c r="P190" s="210">
        <v>63990304.083333336</v>
      </c>
      <c r="Q190" s="210">
        <v>63990304.083333336</v>
      </c>
      <c r="R190" s="210">
        <v>63990304.083333336</v>
      </c>
      <c r="S190" s="210">
        <v>63990304.083333336</v>
      </c>
      <c r="T190" s="210">
        <v>63990304.083333336</v>
      </c>
      <c r="U190" s="412">
        <f t="shared" si="210"/>
        <v>639903040.83333337</v>
      </c>
      <c r="V190" s="58">
        <f t="shared" si="214"/>
        <v>767883649.00000012</v>
      </c>
      <c r="W190" s="396">
        <f t="shared" si="197"/>
        <v>767883649</v>
      </c>
      <c r="X190" s="396">
        <f t="shared" si="198"/>
        <v>0</v>
      </c>
      <c r="Y190" s="396">
        <f>+W190/12</f>
        <v>63990304.083333336</v>
      </c>
      <c r="Z190" s="53"/>
      <c r="AA190" s="210">
        <v>0</v>
      </c>
      <c r="AB190" s="210">
        <v>0</v>
      </c>
      <c r="AC190" s="210">
        <v>84261742.030000001</v>
      </c>
      <c r="AD190" s="210">
        <v>13500000</v>
      </c>
      <c r="AE190" s="210">
        <v>20166668.059999999</v>
      </c>
      <c r="AF190" s="210">
        <v>14333334.029999999</v>
      </c>
      <c r="AG190" s="210">
        <v>177418934.03</v>
      </c>
      <c r="AH190" s="368">
        <v>8500000</v>
      </c>
      <c r="AI190" s="368">
        <v>19166668.059999999</v>
      </c>
      <c r="AJ190" s="368">
        <v>177746467</v>
      </c>
      <c r="AK190" s="210">
        <f t="shared" si="209"/>
        <v>515093813.20999998</v>
      </c>
      <c r="AL190" s="386"/>
      <c r="AM190" s="404">
        <f t="shared" si="186"/>
        <v>-1</v>
      </c>
      <c r="AN190" s="404">
        <f t="shared" si="187"/>
        <v>-1</v>
      </c>
      <c r="AO190" s="404">
        <f t="shared" si="188"/>
        <v>0.31678921106965774</v>
      </c>
      <c r="AP190" s="404">
        <f t="shared" si="189"/>
        <v>-0.78903053840126758</v>
      </c>
      <c r="AQ190" s="404">
        <f t="shared" si="190"/>
        <v>-0.68484806645492213</v>
      </c>
      <c r="AR190" s="404">
        <f t="shared" si="191"/>
        <v>-0.77600772124267492</v>
      </c>
      <c r="AS190" s="404">
        <f t="shared" si="192"/>
        <v>1.7725908881281569</v>
      </c>
      <c r="AT190" s="404">
        <f t="shared" si="193"/>
        <v>-0.86716737603042771</v>
      </c>
      <c r="AU190" s="404">
        <f t="shared" si="194"/>
        <v>-0.70047543398075407</v>
      </c>
      <c r="AV190" s="404">
        <f t="shared" si="195"/>
        <v>1.7777093662271741</v>
      </c>
      <c r="AW190" s="404">
        <f t="shared" si="196"/>
        <v>7.0495603293149429</v>
      </c>
    </row>
    <row r="191" spans="1:49" ht="30" x14ac:dyDescent="0.25">
      <c r="A191" s="339">
        <v>2122282</v>
      </c>
      <c r="B191" s="340" t="s">
        <v>86</v>
      </c>
      <c r="C191" s="367">
        <f>+C192+C194+C195+C196</f>
        <v>880000000</v>
      </c>
      <c r="D191" s="367">
        <f t="shared" ref="D191:G191" si="280">+D192+D194+D195+D196</f>
        <v>405000000</v>
      </c>
      <c r="E191" s="367">
        <f t="shared" si="280"/>
        <v>100000000</v>
      </c>
      <c r="F191" s="367">
        <f t="shared" si="280"/>
        <v>607500000</v>
      </c>
      <c r="G191" s="367">
        <f t="shared" si="280"/>
        <v>1792500000</v>
      </c>
      <c r="H191" s="61">
        <f>+H192+H194+H195+H196</f>
        <v>1487500000</v>
      </c>
      <c r="I191" s="208">
        <f t="shared" ref="I191:V191" si="281">+I192+I194+I195+I196</f>
        <v>105208333.33333333</v>
      </c>
      <c r="J191" s="208">
        <f t="shared" si="281"/>
        <v>317208333.33333331</v>
      </c>
      <c r="K191" s="208">
        <f t="shared" si="281"/>
        <v>265915329.83333331</v>
      </c>
      <c r="L191" s="208">
        <f t="shared" si="281"/>
        <v>108915329.83333333</v>
      </c>
      <c r="M191" s="208">
        <f t="shared" si="281"/>
        <v>110008333.33333333</v>
      </c>
      <c r="N191" s="208">
        <f t="shared" si="281"/>
        <v>105208333.33333333</v>
      </c>
      <c r="O191" s="208">
        <f t="shared" si="281"/>
        <v>165208333.33333331</v>
      </c>
      <c r="P191" s="208">
        <f t="shared" si="281"/>
        <v>183587343.83333331</v>
      </c>
      <c r="Q191" s="208">
        <f t="shared" si="281"/>
        <v>114615329.83333333</v>
      </c>
      <c r="R191" s="208">
        <f t="shared" si="281"/>
        <v>106208333.33333333</v>
      </c>
      <c r="S191" s="208">
        <f t="shared" si="281"/>
        <v>105208333.33333333</v>
      </c>
      <c r="T191" s="208">
        <f t="shared" si="281"/>
        <v>105208333.33333333</v>
      </c>
      <c r="U191" s="413">
        <f t="shared" si="210"/>
        <v>1582083333.3333333</v>
      </c>
      <c r="V191" s="61">
        <f t="shared" si="281"/>
        <v>1792500000</v>
      </c>
      <c r="W191" s="396">
        <f t="shared" si="197"/>
        <v>1792500000</v>
      </c>
      <c r="X191" s="396">
        <f t="shared" si="198"/>
        <v>0</v>
      </c>
      <c r="Y191" s="396"/>
      <c r="AA191" s="209">
        <f>+AA192+AA194+AA195+AA196</f>
        <v>250000000</v>
      </c>
      <c r="AB191" s="209">
        <f t="shared" ref="AB191:AG191" si="282">+AB192+AB194+AB195+AB196</f>
        <v>16339356</v>
      </c>
      <c r="AC191" s="209">
        <f t="shared" si="282"/>
        <v>70551688.379999995</v>
      </c>
      <c r="AD191" s="209">
        <f t="shared" si="282"/>
        <v>104426256.38</v>
      </c>
      <c r="AE191" s="209">
        <f t="shared" si="282"/>
        <v>101732885.38</v>
      </c>
      <c r="AF191" s="209">
        <f t="shared" si="282"/>
        <v>86954845.379999995</v>
      </c>
      <c r="AG191" s="209">
        <f t="shared" si="282"/>
        <v>120427385.38</v>
      </c>
      <c r="AH191" s="367">
        <v>95965567.379999995</v>
      </c>
      <c r="AI191" s="367">
        <v>129301801.38</v>
      </c>
      <c r="AJ191" s="367">
        <v>119609097.38</v>
      </c>
      <c r="AK191" s="209">
        <f t="shared" si="209"/>
        <v>1095308883.04</v>
      </c>
      <c r="AL191" s="386"/>
      <c r="AM191" s="405">
        <f t="shared" si="186"/>
        <v>1.3762376237623766</v>
      </c>
      <c r="AN191" s="405">
        <f t="shared" si="187"/>
        <v>-0.94849014265072906</v>
      </c>
      <c r="AO191" s="405">
        <f t="shared" si="188"/>
        <v>-0.73468363623782273</v>
      </c>
      <c r="AP191" s="405">
        <f t="shared" si="189"/>
        <v>-4.1216176457461923E-2</v>
      </c>
      <c r="AQ191" s="405">
        <f t="shared" si="190"/>
        <v>-7.5225646117718356E-2</v>
      </c>
      <c r="AR191" s="405">
        <f t="shared" si="191"/>
        <v>-0.17349849935841585</v>
      </c>
      <c r="AS191" s="405">
        <f t="shared" si="192"/>
        <v>-0.27105744032282464</v>
      </c>
      <c r="AT191" s="405">
        <f t="shared" si="193"/>
        <v>-0.47727569136181452</v>
      </c>
      <c r="AU191" s="405">
        <f t="shared" si="194"/>
        <v>0.12813706131651711</v>
      </c>
      <c r="AV191" s="405">
        <f t="shared" si="195"/>
        <v>0.12617431821106317</v>
      </c>
      <c r="AW191" s="405">
        <f t="shared" si="196"/>
        <v>9.4108567100831682</v>
      </c>
    </row>
    <row r="192" spans="1:49" s="70" customFormat="1" ht="45" x14ac:dyDescent="0.25">
      <c r="A192" s="339">
        <v>21222821</v>
      </c>
      <c r="B192" s="340" t="s">
        <v>87</v>
      </c>
      <c r="C192" s="367">
        <f>+C193</f>
        <v>100000000</v>
      </c>
      <c r="D192" s="367">
        <f t="shared" ref="D192:G192" si="283">+D193</f>
        <v>0</v>
      </c>
      <c r="E192" s="367">
        <f t="shared" si="283"/>
        <v>100000000</v>
      </c>
      <c r="F192" s="367">
        <f t="shared" si="283"/>
        <v>0</v>
      </c>
      <c r="G192" s="367">
        <f t="shared" si="283"/>
        <v>0</v>
      </c>
      <c r="H192" s="57">
        <f>+H193</f>
        <v>100000000</v>
      </c>
      <c r="I192" s="208">
        <f t="shared" ref="I192:V192" si="284">+I193</f>
        <v>0</v>
      </c>
      <c r="J192" s="208">
        <f t="shared" si="284"/>
        <v>0</v>
      </c>
      <c r="K192" s="208">
        <f t="shared" si="284"/>
        <v>0</v>
      </c>
      <c r="L192" s="208">
        <f t="shared" si="284"/>
        <v>0</v>
      </c>
      <c r="M192" s="208">
        <f t="shared" si="284"/>
        <v>0</v>
      </c>
      <c r="N192" s="208">
        <f t="shared" si="284"/>
        <v>0</v>
      </c>
      <c r="O192" s="208">
        <f t="shared" si="284"/>
        <v>0</v>
      </c>
      <c r="P192" s="208">
        <f t="shared" si="284"/>
        <v>0</v>
      </c>
      <c r="Q192" s="208">
        <f t="shared" si="284"/>
        <v>0</v>
      </c>
      <c r="R192" s="208">
        <f t="shared" si="284"/>
        <v>0</v>
      </c>
      <c r="S192" s="208">
        <f t="shared" si="284"/>
        <v>0</v>
      </c>
      <c r="T192" s="208">
        <f t="shared" si="284"/>
        <v>0</v>
      </c>
      <c r="U192" s="413">
        <f t="shared" si="210"/>
        <v>0</v>
      </c>
      <c r="V192" s="57">
        <f t="shared" si="284"/>
        <v>0</v>
      </c>
      <c r="W192" s="396">
        <f t="shared" si="197"/>
        <v>0</v>
      </c>
      <c r="X192" s="396">
        <f t="shared" si="198"/>
        <v>0</v>
      </c>
      <c r="Y192" s="396"/>
      <c r="Z192" s="53"/>
      <c r="AA192" s="208">
        <f>+AA193</f>
        <v>0</v>
      </c>
      <c r="AB192" s="208">
        <f t="shared" ref="AB192:AG192" si="285">+AB193</f>
        <v>0</v>
      </c>
      <c r="AC192" s="208">
        <f t="shared" si="285"/>
        <v>0</v>
      </c>
      <c r="AD192" s="208">
        <f t="shared" si="285"/>
        <v>0</v>
      </c>
      <c r="AE192" s="208">
        <f t="shared" si="285"/>
        <v>0</v>
      </c>
      <c r="AF192" s="208">
        <f t="shared" si="285"/>
        <v>0</v>
      </c>
      <c r="AG192" s="208">
        <f t="shared" si="285"/>
        <v>0</v>
      </c>
      <c r="AH192" s="367">
        <v>0</v>
      </c>
      <c r="AI192" s="367">
        <v>0</v>
      </c>
      <c r="AJ192" s="367">
        <v>0</v>
      </c>
      <c r="AK192" s="208">
        <f t="shared" si="209"/>
        <v>0</v>
      </c>
      <c r="AL192" s="387"/>
      <c r="AM192" s="409" t="e">
        <f t="shared" si="186"/>
        <v>#DIV/0!</v>
      </c>
      <c r="AN192" s="409" t="e">
        <f t="shared" si="187"/>
        <v>#DIV/0!</v>
      </c>
      <c r="AO192" s="409" t="e">
        <f t="shared" si="188"/>
        <v>#DIV/0!</v>
      </c>
      <c r="AP192" s="409" t="e">
        <f t="shared" si="189"/>
        <v>#DIV/0!</v>
      </c>
      <c r="AQ192" s="409" t="e">
        <f t="shared" si="190"/>
        <v>#DIV/0!</v>
      </c>
      <c r="AR192" s="409" t="e">
        <f t="shared" si="191"/>
        <v>#DIV/0!</v>
      </c>
      <c r="AS192" s="409" t="e">
        <f t="shared" si="192"/>
        <v>#DIV/0!</v>
      </c>
      <c r="AT192" s="409" t="e">
        <f t="shared" si="193"/>
        <v>#DIV/0!</v>
      </c>
      <c r="AU192" s="409" t="e">
        <f t="shared" si="194"/>
        <v>#DIV/0!</v>
      </c>
      <c r="AV192" s="409" t="e">
        <f t="shared" si="195"/>
        <v>#DIV/0!</v>
      </c>
      <c r="AW192" s="409" t="e">
        <f t="shared" si="196"/>
        <v>#DIV/0!</v>
      </c>
    </row>
    <row r="193" spans="1:49" ht="45" x14ac:dyDescent="0.25">
      <c r="A193" s="341">
        <v>212228211</v>
      </c>
      <c r="B193" s="342" t="s">
        <v>642</v>
      </c>
      <c r="C193" s="368">
        <v>100000000</v>
      </c>
      <c r="D193" s="368">
        <v>0</v>
      </c>
      <c r="E193" s="368">
        <v>100000000</v>
      </c>
      <c r="F193" s="368">
        <v>0</v>
      </c>
      <c r="G193" s="368">
        <f t="shared" ref="G193:G196" si="286">+C193+D193-E193+F193</f>
        <v>0</v>
      </c>
      <c r="H193" s="59">
        <v>100000000</v>
      </c>
      <c r="I193" s="210">
        <v>0</v>
      </c>
      <c r="J193" s="210"/>
      <c r="K193" s="210"/>
      <c r="L193" s="210"/>
      <c r="M193" s="210"/>
      <c r="N193" s="210"/>
      <c r="O193" s="210"/>
      <c r="P193" s="210"/>
      <c r="Q193" s="210"/>
      <c r="R193" s="210"/>
      <c r="S193" s="210"/>
      <c r="T193" s="210"/>
      <c r="U193" s="412">
        <f t="shared" si="210"/>
        <v>0</v>
      </c>
      <c r="V193" s="58">
        <f t="shared" si="214"/>
        <v>0</v>
      </c>
      <c r="W193" s="396">
        <f t="shared" si="197"/>
        <v>0</v>
      </c>
      <c r="X193" s="396">
        <f t="shared" si="198"/>
        <v>0</v>
      </c>
      <c r="Y193" s="396"/>
      <c r="Z193" s="55"/>
      <c r="AA193" s="210">
        <v>0</v>
      </c>
      <c r="AB193" s="210">
        <v>0</v>
      </c>
      <c r="AC193" s="210">
        <v>0</v>
      </c>
      <c r="AD193" s="210">
        <v>0</v>
      </c>
      <c r="AE193" s="210">
        <v>0</v>
      </c>
      <c r="AF193" s="210">
        <v>0</v>
      </c>
      <c r="AG193" s="210">
        <v>0</v>
      </c>
      <c r="AH193" s="368">
        <v>0</v>
      </c>
      <c r="AI193" s="368">
        <v>0</v>
      </c>
      <c r="AJ193" s="368">
        <v>0</v>
      </c>
      <c r="AK193" s="210">
        <f t="shared" si="209"/>
        <v>0</v>
      </c>
      <c r="AL193" s="387"/>
      <c r="AM193" s="404" t="e">
        <f t="shared" si="186"/>
        <v>#DIV/0!</v>
      </c>
      <c r="AN193" s="404" t="e">
        <f t="shared" si="187"/>
        <v>#DIV/0!</v>
      </c>
      <c r="AO193" s="404" t="e">
        <f t="shared" si="188"/>
        <v>#DIV/0!</v>
      </c>
      <c r="AP193" s="404" t="e">
        <f t="shared" si="189"/>
        <v>#DIV/0!</v>
      </c>
      <c r="AQ193" s="404" t="e">
        <f t="shared" si="190"/>
        <v>#DIV/0!</v>
      </c>
      <c r="AR193" s="404" t="e">
        <f t="shared" si="191"/>
        <v>#DIV/0!</v>
      </c>
      <c r="AS193" s="404" t="e">
        <f t="shared" si="192"/>
        <v>#DIV/0!</v>
      </c>
      <c r="AT193" s="404" t="e">
        <f t="shared" si="193"/>
        <v>#DIV/0!</v>
      </c>
      <c r="AU193" s="404" t="e">
        <f t="shared" si="194"/>
        <v>#DIV/0!</v>
      </c>
      <c r="AV193" s="404" t="e">
        <f t="shared" si="195"/>
        <v>#DIV/0!</v>
      </c>
      <c r="AW193" s="404" t="e">
        <f t="shared" si="196"/>
        <v>#DIV/0!</v>
      </c>
    </row>
    <row r="194" spans="1:49" x14ac:dyDescent="0.25">
      <c r="A194" s="341">
        <v>21222822</v>
      </c>
      <c r="B194" s="342" t="s">
        <v>595</v>
      </c>
      <c r="C194" s="383">
        <v>480000000</v>
      </c>
      <c r="D194" s="368">
        <v>0</v>
      </c>
      <c r="E194" s="368">
        <v>0</v>
      </c>
      <c r="F194" s="368">
        <v>0</v>
      </c>
      <c r="G194" s="368">
        <f t="shared" si="286"/>
        <v>480000000</v>
      </c>
      <c r="H194" s="59">
        <v>480000000</v>
      </c>
      <c r="I194" s="210">
        <v>0</v>
      </c>
      <c r="J194" s="210">
        <v>205000000</v>
      </c>
      <c r="K194" s="210">
        <v>155000000</v>
      </c>
      <c r="L194" s="210">
        <v>0</v>
      </c>
      <c r="M194" s="210">
        <v>0</v>
      </c>
      <c r="N194" s="210">
        <v>0</v>
      </c>
      <c r="O194" s="210">
        <v>60000000</v>
      </c>
      <c r="P194" s="210">
        <v>60000000</v>
      </c>
      <c r="Q194" s="210">
        <v>0</v>
      </c>
      <c r="R194" s="210">
        <v>0</v>
      </c>
      <c r="S194" s="210">
        <v>0</v>
      </c>
      <c r="T194" s="210">
        <v>0</v>
      </c>
      <c r="U194" s="412">
        <f t="shared" si="210"/>
        <v>480000000</v>
      </c>
      <c r="V194" s="58">
        <f t="shared" si="214"/>
        <v>480000000</v>
      </c>
      <c r="W194" s="396">
        <f t="shared" si="197"/>
        <v>480000000</v>
      </c>
      <c r="X194" s="396">
        <f t="shared" si="198"/>
        <v>0</v>
      </c>
      <c r="Y194" s="396"/>
      <c r="Z194" s="55"/>
      <c r="AA194" s="210">
        <v>0</v>
      </c>
      <c r="AB194" s="210">
        <v>0</v>
      </c>
      <c r="AC194" s="210">
        <v>17158731.379999999</v>
      </c>
      <c r="AD194" s="210">
        <v>33258731.379999999</v>
      </c>
      <c r="AE194" s="210">
        <v>30958731.379999999</v>
      </c>
      <c r="AF194" s="210">
        <v>30958731.379999999</v>
      </c>
      <c r="AG194" s="210">
        <v>28658731.379999999</v>
      </c>
      <c r="AH194" s="368">
        <v>33258731.379999999</v>
      </c>
      <c r="AI194" s="368">
        <v>35900531.380000003</v>
      </c>
      <c r="AJ194" s="368">
        <v>30958731.379999999</v>
      </c>
      <c r="AK194" s="210">
        <f t="shared" si="209"/>
        <v>241111651.03999999</v>
      </c>
      <c r="AL194" s="387"/>
      <c r="AM194" s="404" t="e">
        <f t="shared" ref="AM194:AM257" si="287">(AA194-I194)/I194</f>
        <v>#DIV/0!</v>
      </c>
      <c r="AN194" s="404">
        <f t="shared" ref="AN194:AN257" si="288">(AB194-J194)/J194</f>
        <v>-1</v>
      </c>
      <c r="AO194" s="404">
        <f t="shared" ref="AO194:AO257" si="289">(AC194-K194)/K194</f>
        <v>-0.8892985072258065</v>
      </c>
      <c r="AP194" s="404" t="e">
        <f t="shared" ref="AP194:AP257" si="290">(AD194-L194)/L194</f>
        <v>#DIV/0!</v>
      </c>
      <c r="AQ194" s="404" t="e">
        <f t="shared" ref="AQ194:AQ257" si="291">(AE194-M194)/M194</f>
        <v>#DIV/0!</v>
      </c>
      <c r="AR194" s="404" t="e">
        <f t="shared" ref="AR194:AR257" si="292">(AF194-N194)/N194</f>
        <v>#DIV/0!</v>
      </c>
      <c r="AS194" s="404">
        <f t="shared" ref="AS194:AS257" si="293">(AG194-O194)/O194</f>
        <v>-0.52235447700000004</v>
      </c>
      <c r="AT194" s="404">
        <f t="shared" ref="AT194:AT257" si="294">(AH194-P194)/P194</f>
        <v>-0.44568781033333332</v>
      </c>
      <c r="AU194" s="404" t="e">
        <f t="shared" ref="AU194:AU257" si="295">(AI194-Q194)/Q194</f>
        <v>#DIV/0!</v>
      </c>
      <c r="AV194" s="404" t="e">
        <f t="shared" ref="AV194:AV257" si="296">(AJ194-R194)/R194</f>
        <v>#DIV/0!</v>
      </c>
      <c r="AW194" s="404" t="e">
        <f t="shared" ref="AW194:AW257" si="297">(AK194-S194)/S194</f>
        <v>#DIV/0!</v>
      </c>
    </row>
    <row r="195" spans="1:49" s="70" customFormat="1" ht="30" x14ac:dyDescent="0.25">
      <c r="A195" s="341">
        <v>21222823</v>
      </c>
      <c r="B195" s="342" t="s">
        <v>596</v>
      </c>
      <c r="C195" s="368">
        <v>80000000</v>
      </c>
      <c r="D195" s="368">
        <v>0</v>
      </c>
      <c r="E195" s="368">
        <v>0</v>
      </c>
      <c r="F195" s="368">
        <v>0</v>
      </c>
      <c r="G195" s="368">
        <f t="shared" si="286"/>
        <v>80000000</v>
      </c>
      <c r="H195" s="59">
        <v>80000000</v>
      </c>
      <c r="I195" s="210">
        <v>2500000</v>
      </c>
      <c r="J195" s="210">
        <v>9500000</v>
      </c>
      <c r="K195" s="210">
        <v>8206996.5</v>
      </c>
      <c r="L195" s="210">
        <v>6206996.5</v>
      </c>
      <c r="M195" s="210">
        <v>7300000</v>
      </c>
      <c r="N195" s="210">
        <v>2500000</v>
      </c>
      <c r="O195" s="210">
        <v>2500000</v>
      </c>
      <c r="P195" s="210">
        <f>21906996.5-1027986</f>
        <v>20879010.5</v>
      </c>
      <c r="Q195" s="210">
        <v>11906996.5</v>
      </c>
      <c r="R195" s="210">
        <v>3500000</v>
      </c>
      <c r="S195" s="210">
        <v>2500000</v>
      </c>
      <c r="T195" s="210">
        <v>2500000</v>
      </c>
      <c r="U195" s="412">
        <f t="shared" si="210"/>
        <v>75000000</v>
      </c>
      <c r="V195" s="58">
        <f t="shared" si="214"/>
        <v>80000000</v>
      </c>
      <c r="W195" s="396">
        <f t="shared" ref="W195:W258" si="298">+G195</f>
        <v>80000000</v>
      </c>
      <c r="X195" s="396">
        <f t="shared" ref="X195:X258" si="299">+W195-V195</f>
        <v>0</v>
      </c>
      <c r="Y195" s="396"/>
      <c r="Z195" s="55"/>
      <c r="AA195" s="210">
        <v>0</v>
      </c>
      <c r="AB195" s="210">
        <v>755833</v>
      </c>
      <c r="AC195" s="210">
        <v>0</v>
      </c>
      <c r="AD195" s="210">
        <v>0</v>
      </c>
      <c r="AE195" s="210">
        <v>0</v>
      </c>
      <c r="AF195" s="210">
        <v>0</v>
      </c>
      <c r="AG195" s="210">
        <v>0</v>
      </c>
      <c r="AH195" s="368">
        <v>0</v>
      </c>
      <c r="AI195" s="368">
        <v>0</v>
      </c>
      <c r="AJ195" s="368">
        <v>0</v>
      </c>
      <c r="AK195" s="210">
        <f t="shared" si="209"/>
        <v>755833</v>
      </c>
      <c r="AL195" s="387"/>
      <c r="AM195" s="404">
        <f t="shared" si="287"/>
        <v>-1</v>
      </c>
      <c r="AN195" s="404">
        <f t="shared" si="288"/>
        <v>-0.92043863157894734</v>
      </c>
      <c r="AO195" s="404">
        <f t="shared" si="289"/>
        <v>-1</v>
      </c>
      <c r="AP195" s="404">
        <f t="shared" si="290"/>
        <v>-1</v>
      </c>
      <c r="AQ195" s="404">
        <f t="shared" si="291"/>
        <v>-1</v>
      </c>
      <c r="AR195" s="404">
        <f t="shared" si="292"/>
        <v>-1</v>
      </c>
      <c r="AS195" s="404">
        <f t="shared" si="293"/>
        <v>-1</v>
      </c>
      <c r="AT195" s="404">
        <f t="shared" si="294"/>
        <v>-1</v>
      </c>
      <c r="AU195" s="404">
        <f t="shared" si="295"/>
        <v>-1</v>
      </c>
      <c r="AV195" s="404">
        <f t="shared" si="296"/>
        <v>-1</v>
      </c>
      <c r="AW195" s="404">
        <f t="shared" si="297"/>
        <v>-0.69766680000000003</v>
      </c>
    </row>
    <row r="196" spans="1:49" s="70" customFormat="1" ht="30" x14ac:dyDescent="0.25">
      <c r="A196" s="341">
        <v>21222824</v>
      </c>
      <c r="B196" s="342" t="s">
        <v>597</v>
      </c>
      <c r="C196" s="383">
        <v>220000000</v>
      </c>
      <c r="D196" s="368">
        <v>405000000</v>
      </c>
      <c r="E196" s="368">
        <v>0</v>
      </c>
      <c r="F196" s="368">
        <v>607500000</v>
      </c>
      <c r="G196" s="368">
        <f t="shared" si="286"/>
        <v>1232500000</v>
      </c>
      <c r="H196" s="59">
        <v>827500000</v>
      </c>
      <c r="I196" s="210">
        <v>102708333.33333333</v>
      </c>
      <c r="J196" s="210">
        <v>102708333.33333333</v>
      </c>
      <c r="K196" s="210">
        <v>102708333.33333333</v>
      </c>
      <c r="L196" s="210">
        <v>102708333.33333333</v>
      </c>
      <c r="M196" s="210">
        <v>102708333.33333333</v>
      </c>
      <c r="N196" s="210">
        <v>102708333.33333333</v>
      </c>
      <c r="O196" s="210">
        <v>102708333.33333333</v>
      </c>
      <c r="P196" s="210">
        <v>102708333.33333333</v>
      </c>
      <c r="Q196" s="210">
        <v>102708333.33333333</v>
      </c>
      <c r="R196" s="210">
        <v>102708333.33333333</v>
      </c>
      <c r="S196" s="210">
        <v>102708333.33333333</v>
      </c>
      <c r="T196" s="210">
        <v>102708333.33333333</v>
      </c>
      <c r="U196" s="412">
        <f t="shared" si="210"/>
        <v>1027083333.3333335</v>
      </c>
      <c r="V196" s="58">
        <f t="shared" si="214"/>
        <v>1232500000</v>
      </c>
      <c r="W196" s="396">
        <f t="shared" si="298"/>
        <v>1232500000</v>
      </c>
      <c r="X196" s="396">
        <f t="shared" si="299"/>
        <v>0</v>
      </c>
      <c r="Y196" s="396">
        <f>+W196/12</f>
        <v>102708333.33333333</v>
      </c>
      <c r="Z196" s="55"/>
      <c r="AA196" s="210">
        <v>250000000</v>
      </c>
      <c r="AB196" s="210">
        <v>15583523</v>
      </c>
      <c r="AC196" s="210">
        <v>53392957</v>
      </c>
      <c r="AD196" s="210">
        <v>71167525</v>
      </c>
      <c r="AE196" s="210">
        <v>70774154</v>
      </c>
      <c r="AF196" s="210">
        <v>55996114</v>
      </c>
      <c r="AG196" s="210">
        <v>91768654</v>
      </c>
      <c r="AH196" s="368">
        <v>62706836</v>
      </c>
      <c r="AI196" s="368">
        <v>93401270</v>
      </c>
      <c r="AJ196" s="368">
        <v>88650366</v>
      </c>
      <c r="AK196" s="210">
        <f t="shared" si="209"/>
        <v>853441399</v>
      </c>
      <c r="AL196" s="386"/>
      <c r="AM196" s="404">
        <f t="shared" si="287"/>
        <v>1.4340770791075053</v>
      </c>
      <c r="AN196" s="404">
        <f t="shared" si="288"/>
        <v>-0.84827401541582148</v>
      </c>
      <c r="AO196" s="404">
        <f t="shared" si="289"/>
        <v>-0.48014970872210949</v>
      </c>
      <c r="AP196" s="404">
        <f t="shared" si="290"/>
        <v>-0.3070910344827586</v>
      </c>
      <c r="AQ196" s="404">
        <f t="shared" si="291"/>
        <v>-0.310921015821501</v>
      </c>
      <c r="AR196" s="404">
        <f t="shared" si="292"/>
        <v>-0.45480456957403648</v>
      </c>
      <c r="AS196" s="404">
        <f t="shared" si="293"/>
        <v>-0.1065120908722109</v>
      </c>
      <c r="AT196" s="404">
        <f t="shared" si="294"/>
        <v>-0.38946691115618659</v>
      </c>
      <c r="AU196" s="404">
        <f t="shared" si="295"/>
        <v>-9.0616438133874197E-2</v>
      </c>
      <c r="AV196" s="404">
        <f t="shared" si="296"/>
        <v>-0.13687270425963485</v>
      </c>
      <c r="AW196" s="404">
        <f t="shared" si="297"/>
        <v>7.3093685906693713</v>
      </c>
    </row>
    <row r="197" spans="1:49" ht="45" x14ac:dyDescent="0.25">
      <c r="A197" s="339">
        <v>2122283</v>
      </c>
      <c r="B197" s="340" t="s">
        <v>88</v>
      </c>
      <c r="C197" s="367">
        <f>+C198+C199+C200</f>
        <v>379000000</v>
      </c>
      <c r="D197" s="367">
        <f t="shared" ref="D197:G197" si="300">+D198+D199+D200</f>
        <v>420117991</v>
      </c>
      <c r="E197" s="367">
        <f t="shared" si="300"/>
        <v>40000000</v>
      </c>
      <c r="F197" s="367">
        <f t="shared" si="300"/>
        <v>0</v>
      </c>
      <c r="G197" s="367">
        <f t="shared" si="300"/>
        <v>759117991</v>
      </c>
      <c r="H197" s="57">
        <f>+H198+H199+H200</f>
        <v>379000000</v>
      </c>
      <c r="I197" s="208">
        <f t="shared" ref="I197:V197" si="301">+I198+I199+I200</f>
        <v>63093165.916666664</v>
      </c>
      <c r="J197" s="208">
        <f t="shared" si="301"/>
        <v>65093165.916666664</v>
      </c>
      <c r="K197" s="208">
        <f t="shared" si="301"/>
        <v>63093165.916666664</v>
      </c>
      <c r="L197" s="208">
        <f t="shared" si="301"/>
        <v>63093165.916666664</v>
      </c>
      <c r="M197" s="208">
        <f t="shared" si="301"/>
        <v>63093165.916666664</v>
      </c>
      <c r="N197" s="208">
        <f t="shared" si="301"/>
        <v>63093165.916666664</v>
      </c>
      <c r="O197" s="208">
        <f t="shared" si="301"/>
        <v>63093165.916666664</v>
      </c>
      <c r="P197" s="208">
        <f t="shared" si="301"/>
        <v>63093165.916666664</v>
      </c>
      <c r="Q197" s="208">
        <f t="shared" si="301"/>
        <v>63093165.916666664</v>
      </c>
      <c r="R197" s="208">
        <f t="shared" si="301"/>
        <v>63093165.916666664</v>
      </c>
      <c r="S197" s="208">
        <f t="shared" si="301"/>
        <v>63093165.916666664</v>
      </c>
      <c r="T197" s="208">
        <f t="shared" si="301"/>
        <v>63093165.916666664</v>
      </c>
      <c r="U197" s="413">
        <f t="shared" si="210"/>
        <v>632931659.16666663</v>
      </c>
      <c r="V197" s="57">
        <f t="shared" si="301"/>
        <v>759117990.99999988</v>
      </c>
      <c r="W197" s="396">
        <f t="shared" si="298"/>
        <v>759117991</v>
      </c>
      <c r="X197" s="396">
        <f t="shared" si="299"/>
        <v>0</v>
      </c>
      <c r="Y197" s="396"/>
      <c r="AA197" s="209">
        <f t="shared" ref="AA197:AE197" si="302">SUM(AA198:AA200)</f>
        <v>11319590</v>
      </c>
      <c r="AB197" s="209">
        <f t="shared" si="302"/>
        <v>9620955</v>
      </c>
      <c r="AC197" s="209">
        <f t="shared" si="302"/>
        <v>187700883</v>
      </c>
      <c r="AD197" s="209">
        <f t="shared" si="302"/>
        <v>22999616.379999995</v>
      </c>
      <c r="AE197" s="209">
        <f t="shared" si="302"/>
        <v>22330514.379999999</v>
      </c>
      <c r="AF197" s="209">
        <f>SUM(AF198:AF200)</f>
        <v>15758995.380000001</v>
      </c>
      <c r="AG197" s="209">
        <f t="shared" ref="AG197" si="303">SUM(AG198:AG200)</f>
        <v>12412163.380000001</v>
      </c>
      <c r="AH197" s="367">
        <v>139451866</v>
      </c>
      <c r="AI197" s="367">
        <v>14061430.380000001</v>
      </c>
      <c r="AJ197" s="367">
        <v>13381142.380000001</v>
      </c>
      <c r="AK197" s="209">
        <f t="shared" si="209"/>
        <v>449037156.27999997</v>
      </c>
      <c r="AL197" s="387"/>
      <c r="AM197" s="405">
        <f t="shared" si="287"/>
        <v>-0.82058928513825269</v>
      </c>
      <c r="AN197" s="405">
        <f t="shared" si="288"/>
        <v>-0.85219715672891216</v>
      </c>
      <c r="AO197" s="405">
        <f t="shared" si="289"/>
        <v>1.9749796237506132</v>
      </c>
      <c r="AP197" s="405">
        <f t="shared" si="290"/>
        <v>-0.63546580606879288</v>
      </c>
      <c r="AQ197" s="405">
        <f t="shared" si="291"/>
        <v>-0.64607078983016786</v>
      </c>
      <c r="AR197" s="405">
        <f t="shared" si="292"/>
        <v>-0.75022658712649715</v>
      </c>
      <c r="AS197" s="405">
        <f t="shared" si="293"/>
        <v>-0.80327245907434786</v>
      </c>
      <c r="AT197" s="405">
        <f t="shared" si="294"/>
        <v>1.2102531070352021</v>
      </c>
      <c r="AU197" s="405">
        <f t="shared" si="295"/>
        <v>-0.7771322745386986</v>
      </c>
      <c r="AV197" s="405">
        <f t="shared" si="296"/>
        <v>-0.78791455166992586</v>
      </c>
      <c r="AW197" s="405">
        <f t="shared" si="297"/>
        <v>6.1170490457411404</v>
      </c>
    </row>
    <row r="198" spans="1:49" s="70" customFormat="1" ht="30" x14ac:dyDescent="0.25">
      <c r="A198" s="341">
        <v>21222831</v>
      </c>
      <c r="B198" s="342" t="s">
        <v>596</v>
      </c>
      <c r="C198" s="368">
        <v>2000000</v>
      </c>
      <c r="D198" s="368">
        <v>0</v>
      </c>
      <c r="E198" s="368">
        <v>0</v>
      </c>
      <c r="F198" s="368">
        <v>0</v>
      </c>
      <c r="G198" s="368">
        <f t="shared" ref="G198:G200" si="304">+C198+D198-E198+F198</f>
        <v>2000000</v>
      </c>
      <c r="H198" s="59">
        <v>2000000</v>
      </c>
      <c r="I198" s="210">
        <v>0</v>
      </c>
      <c r="J198" s="210">
        <v>2000000</v>
      </c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412">
        <f t="shared" si="210"/>
        <v>2000000</v>
      </c>
      <c r="V198" s="58">
        <f t="shared" si="214"/>
        <v>2000000</v>
      </c>
      <c r="W198" s="396">
        <f t="shared" si="298"/>
        <v>2000000</v>
      </c>
      <c r="X198" s="396">
        <f t="shared" si="299"/>
        <v>0</v>
      </c>
      <c r="Y198" s="396"/>
      <c r="Z198" s="53"/>
      <c r="AA198" s="210">
        <v>500000</v>
      </c>
      <c r="AB198" s="210">
        <v>0</v>
      </c>
      <c r="AC198" s="210">
        <v>0</v>
      </c>
      <c r="AD198" s="210">
        <v>0</v>
      </c>
      <c r="AE198" s="210">
        <v>0</v>
      </c>
      <c r="AF198" s="210">
        <v>0</v>
      </c>
      <c r="AG198" s="210">
        <v>0</v>
      </c>
      <c r="AH198" s="368">
        <v>0</v>
      </c>
      <c r="AI198" s="368">
        <v>0</v>
      </c>
      <c r="AJ198" s="368">
        <v>0</v>
      </c>
      <c r="AK198" s="210">
        <f t="shared" si="209"/>
        <v>500000</v>
      </c>
      <c r="AL198" s="387"/>
      <c r="AM198" s="404" t="e">
        <f t="shared" si="287"/>
        <v>#DIV/0!</v>
      </c>
      <c r="AN198" s="404">
        <f t="shared" si="288"/>
        <v>-1</v>
      </c>
      <c r="AO198" s="404" t="e">
        <f t="shared" si="289"/>
        <v>#DIV/0!</v>
      </c>
      <c r="AP198" s="404" t="e">
        <f t="shared" si="290"/>
        <v>#DIV/0!</v>
      </c>
      <c r="AQ198" s="404" t="e">
        <f t="shared" si="291"/>
        <v>#DIV/0!</v>
      </c>
      <c r="AR198" s="404" t="e">
        <f t="shared" si="292"/>
        <v>#DIV/0!</v>
      </c>
      <c r="AS198" s="404" t="e">
        <f t="shared" si="293"/>
        <v>#DIV/0!</v>
      </c>
      <c r="AT198" s="404" t="e">
        <f t="shared" si="294"/>
        <v>#DIV/0!</v>
      </c>
      <c r="AU198" s="404" t="e">
        <f t="shared" si="295"/>
        <v>#DIV/0!</v>
      </c>
      <c r="AV198" s="404" t="e">
        <f t="shared" si="296"/>
        <v>#DIV/0!</v>
      </c>
      <c r="AW198" s="404" t="e">
        <f t="shared" si="297"/>
        <v>#DIV/0!</v>
      </c>
    </row>
    <row r="199" spans="1:49" s="70" customFormat="1" ht="30" x14ac:dyDescent="0.25">
      <c r="A199" s="341">
        <v>21222832</v>
      </c>
      <c r="B199" s="342" t="s">
        <v>598</v>
      </c>
      <c r="C199" s="368">
        <v>337000000</v>
      </c>
      <c r="D199" s="368">
        <v>420117991</v>
      </c>
      <c r="E199" s="368">
        <v>0</v>
      </c>
      <c r="F199" s="368">
        <v>0</v>
      </c>
      <c r="G199" s="368">
        <f t="shared" si="304"/>
        <v>757117991</v>
      </c>
      <c r="H199" s="59">
        <v>337000000</v>
      </c>
      <c r="I199" s="210">
        <v>63093165.916666664</v>
      </c>
      <c r="J199" s="210">
        <v>63093165.916666664</v>
      </c>
      <c r="K199" s="210">
        <v>63093165.916666664</v>
      </c>
      <c r="L199" s="210">
        <v>63093165.916666664</v>
      </c>
      <c r="M199" s="210">
        <v>63093165.916666664</v>
      </c>
      <c r="N199" s="210">
        <v>63093165.916666664</v>
      </c>
      <c r="O199" s="210">
        <v>63093165.916666664</v>
      </c>
      <c r="P199" s="210">
        <v>63093165.916666664</v>
      </c>
      <c r="Q199" s="210">
        <v>63093165.916666664</v>
      </c>
      <c r="R199" s="210">
        <v>63093165.916666664</v>
      </c>
      <c r="S199" s="210">
        <v>63093165.916666664</v>
      </c>
      <c r="T199" s="210">
        <v>63093165.916666664</v>
      </c>
      <c r="U199" s="412">
        <f t="shared" si="210"/>
        <v>630931659.16666663</v>
      </c>
      <c r="V199" s="58">
        <f t="shared" si="214"/>
        <v>757117990.99999988</v>
      </c>
      <c r="W199" s="396">
        <f t="shared" si="298"/>
        <v>757117991</v>
      </c>
      <c r="X199" s="396">
        <f t="shared" si="299"/>
        <v>0</v>
      </c>
      <c r="Y199" s="396">
        <f>+W199/12</f>
        <v>63093165.916666664</v>
      </c>
      <c r="Z199" s="55"/>
      <c r="AA199" s="210">
        <v>10819590</v>
      </c>
      <c r="AB199" s="210">
        <v>9620955</v>
      </c>
      <c r="AC199" s="210">
        <v>187700883</v>
      </c>
      <c r="AD199" s="210">
        <v>22999616.379999995</v>
      </c>
      <c r="AE199" s="210">
        <v>22330514.379999999</v>
      </c>
      <c r="AF199" s="210">
        <f>13571127.38+2187868</f>
        <v>15758995.380000001</v>
      </c>
      <c r="AG199" s="210">
        <v>12412163.380000001</v>
      </c>
      <c r="AH199" s="368">
        <v>139451866</v>
      </c>
      <c r="AI199" s="368">
        <v>14061430.380000001</v>
      </c>
      <c r="AJ199" s="368">
        <v>13381142.380000001</v>
      </c>
      <c r="AK199" s="210">
        <f t="shared" si="209"/>
        <v>448537156.27999997</v>
      </c>
      <c r="AL199" s="387"/>
      <c r="AM199" s="404">
        <f t="shared" si="287"/>
        <v>-0.82851407370664365</v>
      </c>
      <c r="AN199" s="404">
        <f t="shared" si="288"/>
        <v>-0.84751193159799054</v>
      </c>
      <c r="AO199" s="404">
        <f t="shared" si="289"/>
        <v>1.9749796237506132</v>
      </c>
      <c r="AP199" s="404">
        <f t="shared" si="290"/>
        <v>-0.63546580606879288</v>
      </c>
      <c r="AQ199" s="404">
        <f t="shared" si="291"/>
        <v>-0.64607078983016786</v>
      </c>
      <c r="AR199" s="404">
        <f t="shared" si="292"/>
        <v>-0.75022658712649715</v>
      </c>
      <c r="AS199" s="404">
        <f t="shared" si="293"/>
        <v>-0.80327245907434786</v>
      </c>
      <c r="AT199" s="404">
        <f t="shared" si="294"/>
        <v>1.2102531070352021</v>
      </c>
      <c r="AU199" s="404">
        <f t="shared" si="295"/>
        <v>-0.7771322745386986</v>
      </c>
      <c r="AV199" s="404">
        <f t="shared" si="296"/>
        <v>-0.78791455166992586</v>
      </c>
      <c r="AW199" s="404">
        <f t="shared" si="297"/>
        <v>6.1091242571727493</v>
      </c>
    </row>
    <row r="200" spans="1:49" s="70" customFormat="1" x14ac:dyDescent="0.25">
      <c r="A200" s="341">
        <v>21222833</v>
      </c>
      <c r="B200" s="342" t="s">
        <v>599</v>
      </c>
      <c r="C200" s="368">
        <v>40000000</v>
      </c>
      <c r="D200" s="368">
        <v>0</v>
      </c>
      <c r="E200" s="368">
        <v>40000000</v>
      </c>
      <c r="F200" s="368">
        <v>0</v>
      </c>
      <c r="G200" s="368">
        <f t="shared" si="304"/>
        <v>0</v>
      </c>
      <c r="H200" s="59">
        <v>40000000</v>
      </c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412">
        <f t="shared" si="210"/>
        <v>0</v>
      </c>
      <c r="V200" s="58">
        <f t="shared" si="214"/>
        <v>0</v>
      </c>
      <c r="W200" s="396">
        <f t="shared" si="298"/>
        <v>0</v>
      </c>
      <c r="X200" s="396">
        <f t="shared" si="299"/>
        <v>0</v>
      </c>
      <c r="Y200" s="396"/>
      <c r="Z200" s="53"/>
      <c r="AA200" s="210">
        <v>0</v>
      </c>
      <c r="AB200" s="210">
        <v>0</v>
      </c>
      <c r="AC200" s="210">
        <v>0</v>
      </c>
      <c r="AD200" s="210">
        <v>0</v>
      </c>
      <c r="AE200" s="210">
        <v>0</v>
      </c>
      <c r="AF200" s="210">
        <v>0</v>
      </c>
      <c r="AG200" s="210">
        <v>0</v>
      </c>
      <c r="AH200" s="368">
        <v>0</v>
      </c>
      <c r="AI200" s="368">
        <v>0</v>
      </c>
      <c r="AJ200" s="368">
        <v>0</v>
      </c>
      <c r="AK200" s="210">
        <f t="shared" si="209"/>
        <v>0</v>
      </c>
      <c r="AL200" s="386"/>
      <c r="AM200" s="404" t="e">
        <f t="shared" si="287"/>
        <v>#DIV/0!</v>
      </c>
      <c r="AN200" s="404" t="e">
        <f t="shared" si="288"/>
        <v>#DIV/0!</v>
      </c>
      <c r="AO200" s="404" t="e">
        <f t="shared" si="289"/>
        <v>#DIV/0!</v>
      </c>
      <c r="AP200" s="404" t="e">
        <f t="shared" si="290"/>
        <v>#DIV/0!</v>
      </c>
      <c r="AQ200" s="404" t="e">
        <f t="shared" si="291"/>
        <v>#DIV/0!</v>
      </c>
      <c r="AR200" s="404" t="e">
        <f t="shared" si="292"/>
        <v>#DIV/0!</v>
      </c>
      <c r="AS200" s="404" t="e">
        <f t="shared" si="293"/>
        <v>#DIV/0!</v>
      </c>
      <c r="AT200" s="404" t="e">
        <f t="shared" si="294"/>
        <v>#DIV/0!</v>
      </c>
      <c r="AU200" s="404" t="e">
        <f t="shared" si="295"/>
        <v>#DIV/0!</v>
      </c>
      <c r="AV200" s="404" t="e">
        <f t="shared" si="296"/>
        <v>#DIV/0!</v>
      </c>
      <c r="AW200" s="404" t="e">
        <f t="shared" si="297"/>
        <v>#DIV/0!</v>
      </c>
    </row>
    <row r="201" spans="1:49" s="70" customFormat="1" x14ac:dyDescent="0.25">
      <c r="A201" s="339">
        <v>2122284</v>
      </c>
      <c r="B201" s="340" t="s">
        <v>89</v>
      </c>
      <c r="C201" s="367">
        <f>+C202</f>
        <v>651800000</v>
      </c>
      <c r="D201" s="367">
        <f t="shared" ref="D201:G201" si="305">+D202</f>
        <v>0</v>
      </c>
      <c r="E201" s="367">
        <f t="shared" si="305"/>
        <v>0</v>
      </c>
      <c r="F201" s="367">
        <f t="shared" si="305"/>
        <v>0</v>
      </c>
      <c r="G201" s="367">
        <f t="shared" si="305"/>
        <v>651800000</v>
      </c>
      <c r="H201" s="57">
        <f>+H202</f>
        <v>651800000</v>
      </c>
      <c r="I201" s="208">
        <f t="shared" ref="I201:V201" si="306">+I202</f>
        <v>54316666.659999996</v>
      </c>
      <c r="J201" s="208">
        <f t="shared" si="306"/>
        <v>54316666.659999996</v>
      </c>
      <c r="K201" s="208">
        <f t="shared" si="306"/>
        <v>54316666.659999996</v>
      </c>
      <c r="L201" s="208">
        <f t="shared" si="306"/>
        <v>54316666.659999996</v>
      </c>
      <c r="M201" s="208">
        <f t="shared" si="306"/>
        <v>54316666.659999996</v>
      </c>
      <c r="N201" s="208">
        <f t="shared" si="306"/>
        <v>54316666.659999996</v>
      </c>
      <c r="O201" s="208">
        <f t="shared" si="306"/>
        <v>54316666.659999996</v>
      </c>
      <c r="P201" s="208">
        <f t="shared" si="306"/>
        <v>54316666.659999996</v>
      </c>
      <c r="Q201" s="208">
        <f t="shared" si="306"/>
        <v>54316666.659999996</v>
      </c>
      <c r="R201" s="208">
        <f t="shared" si="306"/>
        <v>54316666.659999996</v>
      </c>
      <c r="S201" s="208">
        <f t="shared" si="306"/>
        <v>54316666.659999996</v>
      </c>
      <c r="T201" s="208">
        <f t="shared" si="306"/>
        <v>54316666.740000002</v>
      </c>
      <c r="U201" s="413">
        <f t="shared" si="210"/>
        <v>543166666.59999979</v>
      </c>
      <c r="V201" s="57">
        <f t="shared" si="306"/>
        <v>651799999.99999976</v>
      </c>
      <c r="W201" s="396">
        <f t="shared" si="298"/>
        <v>651800000</v>
      </c>
      <c r="X201" s="396">
        <f t="shared" si="299"/>
        <v>0</v>
      </c>
      <c r="Y201" s="396"/>
      <c r="Z201" s="55"/>
      <c r="AA201" s="208">
        <v>500000</v>
      </c>
      <c r="AB201" s="209">
        <v>0</v>
      </c>
      <c r="AC201" s="209">
        <v>0</v>
      </c>
      <c r="AD201" s="209">
        <v>0</v>
      </c>
      <c r="AE201" s="209">
        <v>25819860.699999999</v>
      </c>
      <c r="AF201" s="209">
        <v>0</v>
      </c>
      <c r="AG201" s="209">
        <v>170199254.49000001</v>
      </c>
      <c r="AH201" s="367">
        <v>56733084.829999998</v>
      </c>
      <c r="AI201" s="367">
        <v>56733084.829999998</v>
      </c>
      <c r="AJ201" s="367">
        <v>56733084.829999998</v>
      </c>
      <c r="AK201" s="209">
        <f t="shared" ref="AK201:AK264" si="307">SUM(AA201:AJ201)</f>
        <v>366718369.67999995</v>
      </c>
      <c r="AL201" s="387"/>
      <c r="AM201" s="405">
        <f t="shared" si="287"/>
        <v>-0.99079472230632648</v>
      </c>
      <c r="AN201" s="405">
        <f t="shared" si="288"/>
        <v>-1</v>
      </c>
      <c r="AO201" s="405">
        <f t="shared" si="289"/>
        <v>-1</v>
      </c>
      <c r="AP201" s="405">
        <f t="shared" si="290"/>
        <v>-1</v>
      </c>
      <c r="AQ201" s="405">
        <f t="shared" si="291"/>
        <v>-0.52464202448906316</v>
      </c>
      <c r="AR201" s="405">
        <f t="shared" si="292"/>
        <v>-1</v>
      </c>
      <c r="AS201" s="405">
        <f t="shared" si="293"/>
        <v>2.133462801673331</v>
      </c>
      <c r="AT201" s="405">
        <f t="shared" si="294"/>
        <v>4.4487600557776973E-2</v>
      </c>
      <c r="AU201" s="405">
        <f t="shared" si="295"/>
        <v>4.4487600557776973E-2</v>
      </c>
      <c r="AV201" s="405">
        <f t="shared" si="296"/>
        <v>4.4487600557776973E-2</v>
      </c>
      <c r="AW201" s="405">
        <f t="shared" si="297"/>
        <v>5.7514888565512718</v>
      </c>
    </row>
    <row r="202" spans="1:49" s="70" customFormat="1" x14ac:dyDescent="0.25">
      <c r="A202" s="341">
        <v>21222841</v>
      </c>
      <c r="B202" s="342" t="s">
        <v>600</v>
      </c>
      <c r="C202" s="368">
        <v>651800000</v>
      </c>
      <c r="D202" s="368">
        <v>0</v>
      </c>
      <c r="E202" s="368">
        <v>0</v>
      </c>
      <c r="F202" s="368">
        <v>0</v>
      </c>
      <c r="G202" s="368">
        <f t="shared" ref="G202" si="308">+C202+D202-E202+F202</f>
        <v>651800000</v>
      </c>
      <c r="H202" s="58">
        <v>651800000</v>
      </c>
      <c r="I202" s="210">
        <v>54316666.659999996</v>
      </c>
      <c r="J202" s="210">
        <v>54316666.659999996</v>
      </c>
      <c r="K202" s="210">
        <v>54316666.659999996</v>
      </c>
      <c r="L202" s="210">
        <v>54316666.659999996</v>
      </c>
      <c r="M202" s="210">
        <v>54316666.659999996</v>
      </c>
      <c r="N202" s="210">
        <v>54316666.659999996</v>
      </c>
      <c r="O202" s="210">
        <v>54316666.659999996</v>
      </c>
      <c r="P202" s="210">
        <v>54316666.659999996</v>
      </c>
      <c r="Q202" s="210">
        <v>54316666.659999996</v>
      </c>
      <c r="R202" s="210">
        <v>54316666.659999996</v>
      </c>
      <c r="S202" s="210">
        <v>54316666.659999996</v>
      </c>
      <c r="T202" s="210">
        <v>54316666.740000002</v>
      </c>
      <c r="U202" s="412">
        <f t="shared" ref="U202:U265" si="309">SUM(I202:R202)</f>
        <v>543166666.59999979</v>
      </c>
      <c r="V202" s="58">
        <f t="shared" si="214"/>
        <v>651799999.99999976</v>
      </c>
      <c r="W202" s="396">
        <f t="shared" si="298"/>
        <v>651800000</v>
      </c>
      <c r="X202" s="396">
        <f t="shared" si="299"/>
        <v>0</v>
      </c>
      <c r="Y202" s="396"/>
      <c r="Z202" s="55"/>
      <c r="AA202" s="210">
        <v>500000</v>
      </c>
      <c r="AB202" s="210">
        <v>0</v>
      </c>
      <c r="AC202" s="210">
        <v>0</v>
      </c>
      <c r="AD202" s="210">
        <v>0</v>
      </c>
      <c r="AE202" s="210">
        <v>25819860.699999999</v>
      </c>
      <c r="AF202" s="210">
        <v>0</v>
      </c>
      <c r="AG202" s="210">
        <v>170199254.49000001</v>
      </c>
      <c r="AH202" s="368">
        <v>56733084.829999998</v>
      </c>
      <c r="AI202" s="368">
        <v>56733084.829999998</v>
      </c>
      <c r="AJ202" s="368">
        <v>56733084.829999998</v>
      </c>
      <c r="AK202" s="210">
        <f t="shared" si="307"/>
        <v>366718369.67999995</v>
      </c>
      <c r="AL202" s="386"/>
      <c r="AM202" s="404">
        <f t="shared" si="287"/>
        <v>-0.99079472230632648</v>
      </c>
      <c r="AN202" s="404">
        <f t="shared" si="288"/>
        <v>-1</v>
      </c>
      <c r="AO202" s="404">
        <f t="shared" si="289"/>
        <v>-1</v>
      </c>
      <c r="AP202" s="404">
        <f t="shared" si="290"/>
        <v>-1</v>
      </c>
      <c r="AQ202" s="404">
        <f t="shared" si="291"/>
        <v>-0.52464202448906316</v>
      </c>
      <c r="AR202" s="404">
        <f t="shared" si="292"/>
        <v>-1</v>
      </c>
      <c r="AS202" s="404">
        <f t="shared" si="293"/>
        <v>2.133462801673331</v>
      </c>
      <c r="AT202" s="404">
        <f t="shared" si="294"/>
        <v>4.4487600557776973E-2</v>
      </c>
      <c r="AU202" s="404">
        <f t="shared" si="295"/>
        <v>4.4487600557776973E-2</v>
      </c>
      <c r="AV202" s="404">
        <f t="shared" si="296"/>
        <v>4.4487600557776973E-2</v>
      </c>
      <c r="AW202" s="404">
        <f t="shared" si="297"/>
        <v>5.7514888565512718</v>
      </c>
    </row>
    <row r="203" spans="1:49" s="70" customFormat="1" ht="45" x14ac:dyDescent="0.25">
      <c r="A203" s="339">
        <v>2122285</v>
      </c>
      <c r="B203" s="340" t="s">
        <v>90</v>
      </c>
      <c r="C203" s="367">
        <f>+C204+C207+C209</f>
        <v>119000000</v>
      </c>
      <c r="D203" s="367">
        <f t="shared" ref="D203:G203" si="310">+D204+D207+D209</f>
        <v>99189704</v>
      </c>
      <c r="E203" s="367">
        <f t="shared" si="310"/>
        <v>129000000</v>
      </c>
      <c r="F203" s="367">
        <f t="shared" si="310"/>
        <v>0</v>
      </c>
      <c r="G203" s="367">
        <f t="shared" si="310"/>
        <v>89189704</v>
      </c>
      <c r="H203" s="367">
        <f t="shared" ref="H203:V203" si="311">+H204+H207+H209</f>
        <v>119000000</v>
      </c>
      <c r="I203" s="367">
        <f t="shared" si="311"/>
        <v>0</v>
      </c>
      <c r="J203" s="367">
        <f t="shared" si="311"/>
        <v>0</v>
      </c>
      <c r="K203" s="367">
        <f t="shared" si="311"/>
        <v>0</v>
      </c>
      <c r="L203" s="367">
        <f t="shared" si="311"/>
        <v>0</v>
      </c>
      <c r="M203" s="367">
        <f t="shared" si="311"/>
        <v>0</v>
      </c>
      <c r="N203" s="367">
        <f t="shared" si="311"/>
        <v>0</v>
      </c>
      <c r="O203" s="367">
        <f t="shared" si="311"/>
        <v>0</v>
      </c>
      <c r="P203" s="367">
        <f t="shared" si="311"/>
        <v>0</v>
      </c>
      <c r="Q203" s="367">
        <f t="shared" si="311"/>
        <v>17300000</v>
      </c>
      <c r="R203" s="367">
        <f t="shared" si="311"/>
        <v>22297426</v>
      </c>
      <c r="S203" s="367">
        <f t="shared" si="311"/>
        <v>27294852</v>
      </c>
      <c r="T203" s="367">
        <f t="shared" si="311"/>
        <v>22297426</v>
      </c>
      <c r="U203" s="418">
        <f t="shared" si="309"/>
        <v>39597426</v>
      </c>
      <c r="V203" s="367">
        <f t="shared" si="311"/>
        <v>89189704</v>
      </c>
      <c r="W203" s="396">
        <f t="shared" si="298"/>
        <v>89189704</v>
      </c>
      <c r="X203" s="396">
        <f t="shared" si="299"/>
        <v>0</v>
      </c>
      <c r="Y203" s="396"/>
      <c r="Z203" s="53"/>
      <c r="AA203" s="208">
        <v>0</v>
      </c>
      <c r="AB203" s="209">
        <v>0</v>
      </c>
      <c r="AC203" s="209">
        <v>0</v>
      </c>
      <c r="AD203" s="209">
        <v>0</v>
      </c>
      <c r="AE203" s="209">
        <v>0</v>
      </c>
      <c r="AF203" s="209">
        <v>26116265</v>
      </c>
      <c r="AG203" s="209">
        <v>2174865</v>
      </c>
      <c r="AH203" s="367">
        <v>0</v>
      </c>
      <c r="AI203" s="367">
        <v>17204540.850000001</v>
      </c>
      <c r="AJ203" s="367">
        <v>18969353.550000001</v>
      </c>
      <c r="AK203" s="209">
        <f t="shared" si="307"/>
        <v>64465024.400000006</v>
      </c>
      <c r="AL203" s="386"/>
      <c r="AM203" s="405" t="e">
        <f t="shared" si="287"/>
        <v>#DIV/0!</v>
      </c>
      <c r="AN203" s="405" t="e">
        <f t="shared" si="288"/>
        <v>#DIV/0!</v>
      </c>
      <c r="AO203" s="405" t="e">
        <f t="shared" si="289"/>
        <v>#DIV/0!</v>
      </c>
      <c r="AP203" s="405" t="e">
        <f t="shared" si="290"/>
        <v>#DIV/0!</v>
      </c>
      <c r="AQ203" s="405" t="e">
        <f t="shared" si="291"/>
        <v>#DIV/0!</v>
      </c>
      <c r="AR203" s="405" t="e">
        <f t="shared" si="292"/>
        <v>#DIV/0!</v>
      </c>
      <c r="AS203" s="405" t="e">
        <f t="shared" si="293"/>
        <v>#DIV/0!</v>
      </c>
      <c r="AT203" s="405" t="e">
        <f t="shared" si="294"/>
        <v>#DIV/0!</v>
      </c>
      <c r="AU203" s="405">
        <f t="shared" si="295"/>
        <v>-5.5178699421964458E-3</v>
      </c>
      <c r="AV203" s="405">
        <f t="shared" si="296"/>
        <v>-0.14925814531237819</v>
      </c>
      <c r="AW203" s="405">
        <f t="shared" si="297"/>
        <v>1.3618015734249083</v>
      </c>
    </row>
    <row r="204" spans="1:49" s="70" customFormat="1" ht="30" x14ac:dyDescent="0.25">
      <c r="A204" s="339">
        <v>212228502</v>
      </c>
      <c r="B204" s="340" t="s">
        <v>819</v>
      </c>
      <c r="C204" s="367">
        <f>+C205+C206</f>
        <v>0</v>
      </c>
      <c r="D204" s="367">
        <f t="shared" ref="D204:G204" si="312">+D205+D206</f>
        <v>10000000</v>
      </c>
      <c r="E204" s="367">
        <f t="shared" si="312"/>
        <v>10000000</v>
      </c>
      <c r="F204" s="367">
        <f t="shared" si="312"/>
        <v>0</v>
      </c>
      <c r="G204" s="367">
        <f t="shared" si="312"/>
        <v>0</v>
      </c>
      <c r="H204" s="367">
        <f t="shared" ref="H204:V204" si="313">+H205+H206</f>
        <v>0</v>
      </c>
      <c r="I204" s="367">
        <f t="shared" si="313"/>
        <v>0</v>
      </c>
      <c r="J204" s="367">
        <f t="shared" si="313"/>
        <v>0</v>
      </c>
      <c r="K204" s="367">
        <f t="shared" si="313"/>
        <v>0</v>
      </c>
      <c r="L204" s="367">
        <f t="shared" si="313"/>
        <v>0</v>
      </c>
      <c r="M204" s="367">
        <f t="shared" si="313"/>
        <v>0</v>
      </c>
      <c r="N204" s="367">
        <f t="shared" si="313"/>
        <v>0</v>
      </c>
      <c r="O204" s="367">
        <f t="shared" si="313"/>
        <v>0</v>
      </c>
      <c r="P204" s="367">
        <f t="shared" si="313"/>
        <v>0</v>
      </c>
      <c r="Q204" s="367">
        <f t="shared" si="313"/>
        <v>0</v>
      </c>
      <c r="R204" s="367">
        <f t="shared" si="313"/>
        <v>0</v>
      </c>
      <c r="S204" s="367">
        <f t="shared" si="313"/>
        <v>0</v>
      </c>
      <c r="T204" s="367">
        <f t="shared" si="313"/>
        <v>0</v>
      </c>
      <c r="U204" s="418">
        <f t="shared" si="309"/>
        <v>0</v>
      </c>
      <c r="V204" s="367">
        <f t="shared" si="313"/>
        <v>0</v>
      </c>
      <c r="W204" s="396">
        <f t="shared" si="298"/>
        <v>0</v>
      </c>
      <c r="X204" s="396">
        <f t="shared" si="299"/>
        <v>0</v>
      </c>
      <c r="Y204" s="396"/>
      <c r="Z204" s="53"/>
      <c r="AA204" s="208"/>
      <c r="AB204" s="209">
        <v>0</v>
      </c>
      <c r="AC204" s="209">
        <v>0</v>
      </c>
      <c r="AD204" s="209">
        <v>0</v>
      </c>
      <c r="AE204" s="209">
        <v>0</v>
      </c>
      <c r="AF204" s="209">
        <v>0</v>
      </c>
      <c r="AG204" s="209">
        <v>0</v>
      </c>
      <c r="AH204" s="367">
        <v>0</v>
      </c>
      <c r="AI204" s="367">
        <v>0</v>
      </c>
      <c r="AJ204" s="367">
        <v>0</v>
      </c>
      <c r="AK204" s="209">
        <f t="shared" si="307"/>
        <v>0</v>
      </c>
      <c r="AL204" s="386"/>
      <c r="AM204" s="405" t="e">
        <f t="shared" si="287"/>
        <v>#DIV/0!</v>
      </c>
      <c r="AN204" s="405" t="e">
        <f t="shared" si="288"/>
        <v>#DIV/0!</v>
      </c>
      <c r="AO204" s="405" t="e">
        <f t="shared" si="289"/>
        <v>#DIV/0!</v>
      </c>
      <c r="AP204" s="405" t="e">
        <f t="shared" si="290"/>
        <v>#DIV/0!</v>
      </c>
      <c r="AQ204" s="405" t="e">
        <f t="shared" si="291"/>
        <v>#DIV/0!</v>
      </c>
      <c r="AR204" s="405" t="e">
        <f t="shared" si="292"/>
        <v>#DIV/0!</v>
      </c>
      <c r="AS204" s="405" t="e">
        <f t="shared" si="293"/>
        <v>#DIV/0!</v>
      </c>
      <c r="AT204" s="405" t="e">
        <f t="shared" si="294"/>
        <v>#DIV/0!</v>
      </c>
      <c r="AU204" s="405" t="e">
        <f t="shared" si="295"/>
        <v>#DIV/0!</v>
      </c>
      <c r="AV204" s="405" t="e">
        <f t="shared" si="296"/>
        <v>#DIV/0!</v>
      </c>
      <c r="AW204" s="405" t="e">
        <f t="shared" si="297"/>
        <v>#DIV/0!</v>
      </c>
    </row>
    <row r="205" spans="1:49" s="70" customFormat="1" x14ac:dyDescent="0.25">
      <c r="A205" s="341">
        <v>21222850201</v>
      </c>
      <c r="B205" s="342" t="s">
        <v>820</v>
      </c>
      <c r="C205" s="368"/>
      <c r="D205" s="368">
        <v>5000000</v>
      </c>
      <c r="E205" s="368">
        <v>5000000</v>
      </c>
      <c r="F205" s="368">
        <v>0</v>
      </c>
      <c r="G205" s="368">
        <f t="shared" ref="G205:G206" si="314">+C205+D205-E205+F205</f>
        <v>0</v>
      </c>
      <c r="H205" s="57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413">
        <f t="shared" si="309"/>
        <v>0</v>
      </c>
      <c r="V205" s="58">
        <f t="shared" si="214"/>
        <v>0</v>
      </c>
      <c r="W205" s="396">
        <f t="shared" si="298"/>
        <v>0</v>
      </c>
      <c r="X205" s="396">
        <f t="shared" si="299"/>
        <v>0</v>
      </c>
      <c r="Y205" s="396"/>
      <c r="Z205" s="53"/>
      <c r="AA205" s="208"/>
      <c r="AB205" s="209">
        <v>0</v>
      </c>
      <c r="AC205" s="209">
        <v>0</v>
      </c>
      <c r="AD205" s="209">
        <v>0</v>
      </c>
      <c r="AE205" s="209">
        <v>0</v>
      </c>
      <c r="AF205" s="209">
        <v>0</v>
      </c>
      <c r="AG205" s="209">
        <v>0</v>
      </c>
      <c r="AH205" s="367">
        <v>0</v>
      </c>
      <c r="AI205" s="368">
        <v>0</v>
      </c>
      <c r="AJ205" s="368">
        <v>0</v>
      </c>
      <c r="AK205" s="209">
        <f t="shared" si="307"/>
        <v>0</v>
      </c>
      <c r="AL205" s="386"/>
      <c r="AM205" s="405" t="e">
        <f t="shared" si="287"/>
        <v>#DIV/0!</v>
      </c>
      <c r="AN205" s="405" t="e">
        <f t="shared" si="288"/>
        <v>#DIV/0!</v>
      </c>
      <c r="AO205" s="405" t="e">
        <f t="shared" si="289"/>
        <v>#DIV/0!</v>
      </c>
      <c r="AP205" s="405" t="e">
        <f t="shared" si="290"/>
        <v>#DIV/0!</v>
      </c>
      <c r="AQ205" s="405" t="e">
        <f t="shared" si="291"/>
        <v>#DIV/0!</v>
      </c>
      <c r="AR205" s="405" t="e">
        <f t="shared" si="292"/>
        <v>#DIV/0!</v>
      </c>
      <c r="AS205" s="405" t="e">
        <f t="shared" si="293"/>
        <v>#DIV/0!</v>
      </c>
      <c r="AT205" s="405" t="e">
        <f t="shared" si="294"/>
        <v>#DIV/0!</v>
      </c>
      <c r="AU205" s="405" t="e">
        <f t="shared" si="295"/>
        <v>#DIV/0!</v>
      </c>
      <c r="AV205" s="405" t="e">
        <f t="shared" si="296"/>
        <v>#DIV/0!</v>
      </c>
      <c r="AW205" s="405" t="e">
        <f t="shared" si="297"/>
        <v>#DIV/0!</v>
      </c>
    </row>
    <row r="206" spans="1:49" s="70" customFormat="1" ht="30" x14ac:dyDescent="0.25">
      <c r="A206" s="341">
        <v>21222850202</v>
      </c>
      <c r="B206" s="342" t="s">
        <v>821</v>
      </c>
      <c r="C206" s="368"/>
      <c r="D206" s="368">
        <v>5000000</v>
      </c>
      <c r="E206" s="368">
        <v>5000000</v>
      </c>
      <c r="F206" s="368">
        <v>0</v>
      </c>
      <c r="G206" s="368">
        <f t="shared" si="314"/>
        <v>0</v>
      </c>
      <c r="H206" s="57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413">
        <f t="shared" si="309"/>
        <v>0</v>
      </c>
      <c r="V206" s="58">
        <f t="shared" si="214"/>
        <v>0</v>
      </c>
      <c r="W206" s="396">
        <f t="shared" si="298"/>
        <v>0</v>
      </c>
      <c r="X206" s="396">
        <f t="shared" si="299"/>
        <v>0</v>
      </c>
      <c r="Y206" s="396"/>
      <c r="Z206" s="53"/>
      <c r="AA206" s="208"/>
      <c r="AB206" s="209">
        <v>0</v>
      </c>
      <c r="AC206" s="209">
        <v>0</v>
      </c>
      <c r="AD206" s="209">
        <v>0</v>
      </c>
      <c r="AE206" s="209">
        <v>0</v>
      </c>
      <c r="AF206" s="209">
        <v>0</v>
      </c>
      <c r="AG206" s="209">
        <v>0</v>
      </c>
      <c r="AH206" s="367">
        <v>0</v>
      </c>
      <c r="AI206" s="368">
        <v>0</v>
      </c>
      <c r="AJ206" s="368">
        <v>0</v>
      </c>
      <c r="AK206" s="209">
        <f t="shared" si="307"/>
        <v>0</v>
      </c>
      <c r="AL206" s="386"/>
      <c r="AM206" s="405" t="e">
        <f t="shared" si="287"/>
        <v>#DIV/0!</v>
      </c>
      <c r="AN206" s="405" t="e">
        <f t="shared" si="288"/>
        <v>#DIV/0!</v>
      </c>
      <c r="AO206" s="405" t="e">
        <f t="shared" si="289"/>
        <v>#DIV/0!</v>
      </c>
      <c r="AP206" s="405" t="e">
        <f t="shared" si="290"/>
        <v>#DIV/0!</v>
      </c>
      <c r="AQ206" s="405" t="e">
        <f t="shared" si="291"/>
        <v>#DIV/0!</v>
      </c>
      <c r="AR206" s="405" t="e">
        <f t="shared" si="292"/>
        <v>#DIV/0!</v>
      </c>
      <c r="AS206" s="405" t="e">
        <f t="shared" si="293"/>
        <v>#DIV/0!</v>
      </c>
      <c r="AT206" s="405" t="e">
        <f t="shared" si="294"/>
        <v>#DIV/0!</v>
      </c>
      <c r="AU206" s="405" t="e">
        <f t="shared" si="295"/>
        <v>#DIV/0!</v>
      </c>
      <c r="AV206" s="405" t="e">
        <f t="shared" si="296"/>
        <v>#DIV/0!</v>
      </c>
      <c r="AW206" s="405" t="e">
        <f t="shared" si="297"/>
        <v>#DIV/0!</v>
      </c>
    </row>
    <row r="207" spans="1:49" s="70" customFormat="1" x14ac:dyDescent="0.25">
      <c r="A207" s="339">
        <v>212228503</v>
      </c>
      <c r="B207" s="340" t="s">
        <v>822</v>
      </c>
      <c r="C207" s="367">
        <f>+C208</f>
        <v>0</v>
      </c>
      <c r="D207" s="367">
        <f t="shared" ref="D207:G207" si="315">+D208</f>
        <v>89189704</v>
      </c>
      <c r="E207" s="367">
        <f t="shared" si="315"/>
        <v>0</v>
      </c>
      <c r="F207" s="367">
        <f t="shared" si="315"/>
        <v>0</v>
      </c>
      <c r="G207" s="367">
        <f t="shared" si="315"/>
        <v>89189704</v>
      </c>
      <c r="H207" s="367">
        <f t="shared" ref="H207:V207" si="316">+H208</f>
        <v>0</v>
      </c>
      <c r="I207" s="367">
        <f t="shared" si="316"/>
        <v>0</v>
      </c>
      <c r="J207" s="367">
        <f t="shared" si="316"/>
        <v>0</v>
      </c>
      <c r="K207" s="367">
        <f t="shared" si="316"/>
        <v>0</v>
      </c>
      <c r="L207" s="367">
        <f t="shared" si="316"/>
        <v>0</v>
      </c>
      <c r="M207" s="367">
        <f t="shared" si="316"/>
        <v>0</v>
      </c>
      <c r="N207" s="367">
        <f t="shared" si="316"/>
        <v>0</v>
      </c>
      <c r="O207" s="367">
        <f t="shared" si="316"/>
        <v>0</v>
      </c>
      <c r="P207" s="367">
        <f t="shared" si="316"/>
        <v>0</v>
      </c>
      <c r="Q207" s="367">
        <f t="shared" si="316"/>
        <v>17300000</v>
      </c>
      <c r="R207" s="367">
        <f t="shared" si="316"/>
        <v>22297426</v>
      </c>
      <c r="S207" s="367">
        <f t="shared" si="316"/>
        <v>27294852</v>
      </c>
      <c r="T207" s="367">
        <f t="shared" si="316"/>
        <v>22297426</v>
      </c>
      <c r="U207" s="418">
        <f t="shared" si="309"/>
        <v>39597426</v>
      </c>
      <c r="V207" s="367">
        <f t="shared" si="316"/>
        <v>89189704</v>
      </c>
      <c r="W207" s="396">
        <f t="shared" si="298"/>
        <v>89189704</v>
      </c>
      <c r="X207" s="396">
        <f t="shared" si="299"/>
        <v>0</v>
      </c>
      <c r="Y207" s="396"/>
      <c r="Z207" s="53"/>
      <c r="AA207" s="208"/>
      <c r="AB207" s="209">
        <v>0</v>
      </c>
      <c r="AC207" s="209">
        <v>0</v>
      </c>
      <c r="AD207" s="209">
        <v>0</v>
      </c>
      <c r="AE207" s="209">
        <v>0</v>
      </c>
      <c r="AF207" s="209">
        <v>26116265</v>
      </c>
      <c r="AG207" s="209">
        <v>2174865</v>
      </c>
      <c r="AH207" s="367">
        <v>0</v>
      </c>
      <c r="AI207" s="367">
        <v>17204540.850000001</v>
      </c>
      <c r="AJ207" s="367">
        <v>18969353.550000001</v>
      </c>
      <c r="AK207" s="209">
        <f t="shared" si="307"/>
        <v>64465024.400000006</v>
      </c>
      <c r="AL207" s="386"/>
      <c r="AM207" s="405" t="e">
        <f t="shared" si="287"/>
        <v>#DIV/0!</v>
      </c>
      <c r="AN207" s="405" t="e">
        <f t="shared" si="288"/>
        <v>#DIV/0!</v>
      </c>
      <c r="AO207" s="405" t="e">
        <f t="shared" si="289"/>
        <v>#DIV/0!</v>
      </c>
      <c r="AP207" s="405" t="e">
        <f t="shared" si="290"/>
        <v>#DIV/0!</v>
      </c>
      <c r="AQ207" s="405" t="e">
        <f t="shared" si="291"/>
        <v>#DIV/0!</v>
      </c>
      <c r="AR207" s="405" t="e">
        <f t="shared" si="292"/>
        <v>#DIV/0!</v>
      </c>
      <c r="AS207" s="405" t="e">
        <f t="shared" si="293"/>
        <v>#DIV/0!</v>
      </c>
      <c r="AT207" s="405" t="e">
        <f t="shared" si="294"/>
        <v>#DIV/0!</v>
      </c>
      <c r="AU207" s="405">
        <f t="shared" si="295"/>
        <v>-5.5178699421964458E-3</v>
      </c>
      <c r="AV207" s="405">
        <f t="shared" si="296"/>
        <v>-0.14925814531237819</v>
      </c>
      <c r="AW207" s="405">
        <f t="shared" si="297"/>
        <v>1.3618015734249083</v>
      </c>
    </row>
    <row r="208" spans="1:49" s="70" customFormat="1" ht="30" x14ac:dyDescent="0.25">
      <c r="A208" s="341">
        <v>21222850301</v>
      </c>
      <c r="B208" s="342" t="s">
        <v>823</v>
      </c>
      <c r="C208" s="368"/>
      <c r="D208" s="368">
        <f>69200000+19989704</f>
        <v>89189704</v>
      </c>
      <c r="E208" s="368">
        <v>0</v>
      </c>
      <c r="F208" s="368">
        <v>0</v>
      </c>
      <c r="G208" s="368">
        <f t="shared" ref="G208:G209" si="317">+C208+D208-E208+F208</f>
        <v>89189704</v>
      </c>
      <c r="H208" s="57"/>
      <c r="I208" s="208"/>
      <c r="J208" s="208"/>
      <c r="K208" s="208"/>
      <c r="L208" s="208"/>
      <c r="M208" s="208"/>
      <c r="N208" s="208"/>
      <c r="O208" s="208"/>
      <c r="P208" s="208"/>
      <c r="Q208" s="208">
        <v>17300000</v>
      </c>
      <c r="R208" s="208">
        <v>22297426</v>
      </c>
      <c r="S208" s="208">
        <f>22297426+4997426</f>
        <v>27294852</v>
      </c>
      <c r="T208" s="208">
        <v>22297426</v>
      </c>
      <c r="U208" s="413">
        <f t="shared" si="309"/>
        <v>39597426</v>
      </c>
      <c r="V208" s="58">
        <f t="shared" si="214"/>
        <v>89189704</v>
      </c>
      <c r="W208" s="396">
        <f t="shared" si="298"/>
        <v>89189704</v>
      </c>
      <c r="X208" s="396">
        <f t="shared" si="299"/>
        <v>0</v>
      </c>
      <c r="Y208" s="396">
        <f>+X208/4</f>
        <v>0</v>
      </c>
      <c r="Z208" s="53"/>
      <c r="AA208" s="208"/>
      <c r="AB208" s="209">
        <v>0</v>
      </c>
      <c r="AC208" s="209">
        <v>0</v>
      </c>
      <c r="AD208" s="209">
        <v>0</v>
      </c>
      <c r="AE208" s="209">
        <v>0</v>
      </c>
      <c r="AF208" s="209">
        <v>26116265</v>
      </c>
      <c r="AG208" s="209">
        <v>2174865</v>
      </c>
      <c r="AH208" s="367">
        <v>0</v>
      </c>
      <c r="AI208" s="368">
        <v>17204540.850000001</v>
      </c>
      <c r="AJ208" s="368">
        <v>18969353.550000001</v>
      </c>
      <c r="AK208" s="209">
        <f t="shared" si="307"/>
        <v>64465024.400000006</v>
      </c>
      <c r="AL208" s="387"/>
      <c r="AM208" s="405" t="e">
        <f t="shared" si="287"/>
        <v>#DIV/0!</v>
      </c>
      <c r="AN208" s="405" t="e">
        <f t="shared" si="288"/>
        <v>#DIV/0!</v>
      </c>
      <c r="AO208" s="405" t="e">
        <f t="shared" si="289"/>
        <v>#DIV/0!</v>
      </c>
      <c r="AP208" s="405" t="e">
        <f t="shared" si="290"/>
        <v>#DIV/0!</v>
      </c>
      <c r="AQ208" s="405" t="e">
        <f t="shared" si="291"/>
        <v>#DIV/0!</v>
      </c>
      <c r="AR208" s="405" t="e">
        <f t="shared" si="292"/>
        <v>#DIV/0!</v>
      </c>
      <c r="AS208" s="405" t="e">
        <f t="shared" si="293"/>
        <v>#DIV/0!</v>
      </c>
      <c r="AT208" s="405" t="e">
        <f t="shared" si="294"/>
        <v>#DIV/0!</v>
      </c>
      <c r="AU208" s="405">
        <f t="shared" si="295"/>
        <v>-5.5178699421964458E-3</v>
      </c>
      <c r="AV208" s="405">
        <f t="shared" si="296"/>
        <v>-0.14925814531237819</v>
      </c>
      <c r="AW208" s="405">
        <f t="shared" si="297"/>
        <v>1.3618015734249083</v>
      </c>
    </row>
    <row r="209" spans="1:49" s="70" customFormat="1" ht="30" x14ac:dyDescent="0.25">
      <c r="A209" s="341">
        <v>21222851</v>
      </c>
      <c r="B209" s="342" t="s">
        <v>601</v>
      </c>
      <c r="C209" s="368">
        <v>119000000</v>
      </c>
      <c r="D209" s="368">
        <v>0</v>
      </c>
      <c r="E209" s="368">
        <v>119000000</v>
      </c>
      <c r="F209" s="368">
        <v>0</v>
      </c>
      <c r="G209" s="368">
        <f t="shared" si="317"/>
        <v>0</v>
      </c>
      <c r="H209" s="58">
        <v>119000000</v>
      </c>
      <c r="I209" s="210"/>
      <c r="J209" s="210"/>
      <c r="K209" s="210"/>
      <c r="L209" s="210"/>
      <c r="M209" s="210"/>
      <c r="N209" s="210"/>
      <c r="O209" s="210"/>
      <c r="P209" s="210"/>
      <c r="Q209" s="210"/>
      <c r="R209" s="210"/>
      <c r="S209" s="210"/>
      <c r="T209" s="210"/>
      <c r="U209" s="412">
        <f t="shared" si="309"/>
        <v>0</v>
      </c>
      <c r="V209" s="58">
        <f t="shared" si="214"/>
        <v>0</v>
      </c>
      <c r="W209" s="396">
        <f t="shared" si="298"/>
        <v>0</v>
      </c>
      <c r="X209" s="396">
        <f t="shared" si="299"/>
        <v>0</v>
      </c>
      <c r="Y209" s="396"/>
      <c r="Z209" s="55"/>
      <c r="AA209" s="210">
        <v>0</v>
      </c>
      <c r="AB209" s="210">
        <v>0</v>
      </c>
      <c r="AC209" s="210">
        <v>0</v>
      </c>
      <c r="AD209" s="210">
        <v>0</v>
      </c>
      <c r="AE209" s="210">
        <v>0</v>
      </c>
      <c r="AF209" s="210">
        <v>0</v>
      </c>
      <c r="AG209" s="210">
        <v>0</v>
      </c>
      <c r="AH209" s="368">
        <v>0</v>
      </c>
      <c r="AI209" s="368">
        <v>0</v>
      </c>
      <c r="AJ209" s="368">
        <v>0</v>
      </c>
      <c r="AK209" s="210">
        <f t="shared" si="307"/>
        <v>0</v>
      </c>
      <c r="AL209" s="386"/>
      <c r="AM209" s="404" t="e">
        <f t="shared" si="287"/>
        <v>#DIV/0!</v>
      </c>
      <c r="AN209" s="404" t="e">
        <f t="shared" si="288"/>
        <v>#DIV/0!</v>
      </c>
      <c r="AO209" s="404" t="e">
        <f t="shared" si="289"/>
        <v>#DIV/0!</v>
      </c>
      <c r="AP209" s="404" t="e">
        <f t="shared" si="290"/>
        <v>#DIV/0!</v>
      </c>
      <c r="AQ209" s="404" t="e">
        <f t="shared" si="291"/>
        <v>#DIV/0!</v>
      </c>
      <c r="AR209" s="404" t="e">
        <f t="shared" si="292"/>
        <v>#DIV/0!</v>
      </c>
      <c r="AS209" s="404" t="e">
        <f t="shared" si="293"/>
        <v>#DIV/0!</v>
      </c>
      <c r="AT209" s="404" t="e">
        <f t="shared" si="294"/>
        <v>#DIV/0!</v>
      </c>
      <c r="AU209" s="404" t="e">
        <f t="shared" si="295"/>
        <v>#DIV/0!</v>
      </c>
      <c r="AV209" s="404" t="e">
        <f t="shared" si="296"/>
        <v>#DIV/0!</v>
      </c>
      <c r="AW209" s="404" t="e">
        <f t="shared" si="297"/>
        <v>#DIV/0!</v>
      </c>
    </row>
    <row r="210" spans="1:49" s="70" customFormat="1" ht="45" x14ac:dyDescent="0.25">
      <c r="A210" s="337">
        <v>2122286</v>
      </c>
      <c r="B210" s="338" t="s">
        <v>91</v>
      </c>
      <c r="C210" s="366">
        <f>+C211+C213+C214</f>
        <v>49500000</v>
      </c>
      <c r="D210" s="366">
        <f t="shared" ref="D210:AK210" si="318">+D211+D213+D214</f>
        <v>35000000</v>
      </c>
      <c r="E210" s="366">
        <f t="shared" si="318"/>
        <v>0</v>
      </c>
      <c r="F210" s="366">
        <f t="shared" si="318"/>
        <v>0</v>
      </c>
      <c r="G210" s="366">
        <f t="shared" si="318"/>
        <v>84500000</v>
      </c>
      <c r="H210" s="366">
        <f t="shared" si="318"/>
        <v>49500000</v>
      </c>
      <c r="I210" s="366">
        <f t="shared" si="318"/>
        <v>1000000</v>
      </c>
      <c r="J210" s="366">
        <f t="shared" si="318"/>
        <v>10000000</v>
      </c>
      <c r="K210" s="366">
        <f t="shared" si="318"/>
        <v>2500000</v>
      </c>
      <c r="L210" s="366">
        <f t="shared" si="318"/>
        <v>6000000</v>
      </c>
      <c r="M210" s="366">
        <f t="shared" si="318"/>
        <v>2500000</v>
      </c>
      <c r="N210" s="366">
        <f t="shared" si="318"/>
        <v>3500000</v>
      </c>
      <c r="O210" s="366">
        <f t="shared" si="318"/>
        <v>3500000</v>
      </c>
      <c r="P210" s="366">
        <f t="shared" si="318"/>
        <v>12500000</v>
      </c>
      <c r="Q210" s="366">
        <f t="shared" si="318"/>
        <v>18000000</v>
      </c>
      <c r="R210" s="366">
        <f t="shared" si="318"/>
        <v>15000000</v>
      </c>
      <c r="S210" s="366">
        <f t="shared" si="318"/>
        <v>10000000</v>
      </c>
      <c r="T210" s="366">
        <f t="shared" si="318"/>
        <v>0</v>
      </c>
      <c r="U210" s="417">
        <f t="shared" si="309"/>
        <v>74500000</v>
      </c>
      <c r="V210" s="366">
        <f t="shared" si="318"/>
        <v>84500000</v>
      </c>
      <c r="W210" s="366">
        <f t="shared" si="318"/>
        <v>84500000</v>
      </c>
      <c r="X210" s="366">
        <f t="shared" si="318"/>
        <v>0</v>
      </c>
      <c r="Y210" s="366">
        <f t="shared" si="318"/>
        <v>0</v>
      </c>
      <c r="Z210" s="366">
        <f t="shared" si="318"/>
        <v>0</v>
      </c>
      <c r="AA210" s="366">
        <f t="shared" si="318"/>
        <v>0</v>
      </c>
      <c r="AB210" s="366">
        <f t="shared" si="318"/>
        <v>1080000</v>
      </c>
      <c r="AC210" s="366">
        <f t="shared" si="318"/>
        <v>2932000</v>
      </c>
      <c r="AD210" s="366">
        <f t="shared" si="318"/>
        <v>160000</v>
      </c>
      <c r="AE210" s="366">
        <f t="shared" si="318"/>
        <v>0</v>
      </c>
      <c r="AF210" s="366">
        <f t="shared" si="318"/>
        <v>476000</v>
      </c>
      <c r="AG210" s="366">
        <f t="shared" si="318"/>
        <v>1376635</v>
      </c>
      <c r="AH210" s="366">
        <f t="shared" si="318"/>
        <v>310000</v>
      </c>
      <c r="AI210" s="366">
        <f t="shared" si="318"/>
        <v>910000</v>
      </c>
      <c r="AJ210" s="366">
        <f t="shared" si="318"/>
        <v>0</v>
      </c>
      <c r="AK210" s="366">
        <f t="shared" si="318"/>
        <v>7244635</v>
      </c>
      <c r="AL210" s="402"/>
      <c r="AM210" s="399">
        <f t="shared" si="287"/>
        <v>-1</v>
      </c>
      <c r="AN210" s="399">
        <f t="shared" si="288"/>
        <v>-0.89200000000000002</v>
      </c>
      <c r="AO210" s="399">
        <f t="shared" si="289"/>
        <v>0.17280000000000001</v>
      </c>
      <c r="AP210" s="399">
        <f t="shared" si="290"/>
        <v>-0.97333333333333338</v>
      </c>
      <c r="AQ210" s="399">
        <f t="shared" si="291"/>
        <v>-1</v>
      </c>
      <c r="AR210" s="399">
        <f t="shared" si="292"/>
        <v>-0.86399999999999999</v>
      </c>
      <c r="AS210" s="399">
        <f t="shared" si="293"/>
        <v>-0.60667571428571432</v>
      </c>
      <c r="AT210" s="399">
        <f t="shared" si="294"/>
        <v>-0.97519999999999996</v>
      </c>
      <c r="AU210" s="399">
        <f t="shared" si="295"/>
        <v>-0.94944444444444442</v>
      </c>
      <c r="AV210" s="399">
        <f t="shared" si="296"/>
        <v>-1</v>
      </c>
      <c r="AW210" s="399">
        <f t="shared" si="297"/>
        <v>-0.27553650000000002</v>
      </c>
    </row>
    <row r="211" spans="1:49" ht="45" x14ac:dyDescent="0.25">
      <c r="A211" s="339">
        <v>21222861</v>
      </c>
      <c r="B211" s="340" t="s">
        <v>92</v>
      </c>
      <c r="C211" s="367">
        <f>+C212</f>
        <v>30000000</v>
      </c>
      <c r="D211" s="367">
        <f t="shared" ref="D211:AK211" si="319">+D212</f>
        <v>0</v>
      </c>
      <c r="E211" s="367">
        <f t="shared" si="319"/>
        <v>0</v>
      </c>
      <c r="F211" s="367">
        <f t="shared" si="319"/>
        <v>0</v>
      </c>
      <c r="G211" s="367">
        <f t="shared" si="319"/>
        <v>30000000</v>
      </c>
      <c r="H211" s="367">
        <f t="shared" si="319"/>
        <v>30000000</v>
      </c>
      <c r="I211" s="367">
        <f t="shared" si="319"/>
        <v>1000000</v>
      </c>
      <c r="J211" s="367">
        <f t="shared" si="319"/>
        <v>5000000</v>
      </c>
      <c r="K211" s="367">
        <f t="shared" si="319"/>
        <v>0</v>
      </c>
      <c r="L211" s="367">
        <f t="shared" si="319"/>
        <v>3500000</v>
      </c>
      <c r="M211" s="367">
        <f t="shared" si="319"/>
        <v>0</v>
      </c>
      <c r="N211" s="367">
        <f t="shared" si="319"/>
        <v>1000000</v>
      </c>
      <c r="O211" s="367">
        <f t="shared" si="319"/>
        <v>1000000</v>
      </c>
      <c r="P211" s="367">
        <f t="shared" si="319"/>
        <v>10500000</v>
      </c>
      <c r="Q211" s="367">
        <f t="shared" si="319"/>
        <v>3000000</v>
      </c>
      <c r="R211" s="367">
        <f t="shared" si="319"/>
        <v>5000000</v>
      </c>
      <c r="S211" s="367">
        <f t="shared" si="319"/>
        <v>0</v>
      </c>
      <c r="T211" s="367">
        <f t="shared" si="319"/>
        <v>0</v>
      </c>
      <c r="U211" s="418">
        <f t="shared" si="309"/>
        <v>30000000</v>
      </c>
      <c r="V211" s="367">
        <f t="shared" si="319"/>
        <v>30000000</v>
      </c>
      <c r="W211" s="367">
        <f t="shared" si="319"/>
        <v>30000000</v>
      </c>
      <c r="X211" s="367">
        <f t="shared" si="319"/>
        <v>0</v>
      </c>
      <c r="Y211" s="367">
        <f t="shared" si="319"/>
        <v>0</v>
      </c>
      <c r="Z211" s="367">
        <f t="shared" si="319"/>
        <v>0</v>
      </c>
      <c r="AA211" s="367">
        <f t="shared" si="319"/>
        <v>0</v>
      </c>
      <c r="AB211" s="367">
        <f t="shared" si="319"/>
        <v>0</v>
      </c>
      <c r="AC211" s="367">
        <f t="shared" si="319"/>
        <v>500000</v>
      </c>
      <c r="AD211" s="367">
        <f t="shared" si="319"/>
        <v>0</v>
      </c>
      <c r="AE211" s="367">
        <f t="shared" si="319"/>
        <v>0</v>
      </c>
      <c r="AF211" s="367">
        <f t="shared" si="319"/>
        <v>0</v>
      </c>
      <c r="AG211" s="367">
        <f t="shared" si="319"/>
        <v>0</v>
      </c>
      <c r="AH211" s="367">
        <f t="shared" si="319"/>
        <v>0</v>
      </c>
      <c r="AI211" s="367">
        <f t="shared" si="319"/>
        <v>0</v>
      </c>
      <c r="AJ211" s="367">
        <f t="shared" si="319"/>
        <v>0</v>
      </c>
      <c r="AK211" s="367">
        <f t="shared" si="319"/>
        <v>500000</v>
      </c>
      <c r="AL211" s="402"/>
      <c r="AM211" s="398">
        <f t="shared" si="287"/>
        <v>-1</v>
      </c>
      <c r="AN211" s="398">
        <f t="shared" si="288"/>
        <v>-1</v>
      </c>
      <c r="AO211" s="398" t="e">
        <f t="shared" si="289"/>
        <v>#DIV/0!</v>
      </c>
      <c r="AP211" s="398">
        <f t="shared" si="290"/>
        <v>-1</v>
      </c>
      <c r="AQ211" s="398" t="e">
        <f t="shared" si="291"/>
        <v>#DIV/0!</v>
      </c>
      <c r="AR211" s="398">
        <f t="shared" si="292"/>
        <v>-1</v>
      </c>
      <c r="AS211" s="398">
        <f t="shared" si="293"/>
        <v>-1</v>
      </c>
      <c r="AT211" s="398">
        <f t="shared" si="294"/>
        <v>-1</v>
      </c>
      <c r="AU211" s="398">
        <f t="shared" si="295"/>
        <v>-1</v>
      </c>
      <c r="AV211" s="398">
        <f t="shared" si="296"/>
        <v>-1</v>
      </c>
      <c r="AW211" s="398" t="e">
        <f t="shared" si="297"/>
        <v>#DIV/0!</v>
      </c>
    </row>
    <row r="212" spans="1:49" s="70" customFormat="1" ht="30" x14ac:dyDescent="0.25">
      <c r="A212" s="341">
        <v>212228611</v>
      </c>
      <c r="B212" s="342" t="s">
        <v>602</v>
      </c>
      <c r="C212" s="368">
        <v>30000000</v>
      </c>
      <c r="D212" s="368">
        <v>0</v>
      </c>
      <c r="E212" s="368">
        <v>0</v>
      </c>
      <c r="F212" s="368">
        <v>0</v>
      </c>
      <c r="G212" s="368">
        <f t="shared" ref="G212:G214" si="320">+C212+D212-E212+F212</f>
        <v>30000000</v>
      </c>
      <c r="H212" s="59">
        <v>30000000</v>
      </c>
      <c r="I212" s="210">
        <v>1000000</v>
      </c>
      <c r="J212" s="210">
        <v>5000000</v>
      </c>
      <c r="K212" s="210">
        <v>0</v>
      </c>
      <c r="L212" s="210">
        <v>3500000</v>
      </c>
      <c r="M212" s="210">
        <v>0</v>
      </c>
      <c r="N212" s="210">
        <v>1000000</v>
      </c>
      <c r="O212" s="210">
        <v>1000000</v>
      </c>
      <c r="P212" s="210">
        <v>10500000</v>
      </c>
      <c r="Q212" s="210">
        <v>3000000</v>
      </c>
      <c r="R212" s="210">
        <v>5000000</v>
      </c>
      <c r="S212" s="210">
        <v>0</v>
      </c>
      <c r="T212" s="210">
        <v>0</v>
      </c>
      <c r="U212" s="412">
        <f t="shared" si="309"/>
        <v>30000000</v>
      </c>
      <c r="V212" s="58">
        <f t="shared" si="214"/>
        <v>30000000</v>
      </c>
      <c r="W212" s="396">
        <f t="shared" si="298"/>
        <v>30000000</v>
      </c>
      <c r="X212" s="396">
        <f t="shared" si="299"/>
        <v>0</v>
      </c>
      <c r="Y212" s="396"/>
      <c r="Z212" s="53"/>
      <c r="AA212" s="210">
        <v>0</v>
      </c>
      <c r="AB212" s="210">
        <v>0</v>
      </c>
      <c r="AC212" s="210">
        <v>500000</v>
      </c>
      <c r="AD212" s="210">
        <v>0</v>
      </c>
      <c r="AE212" s="210">
        <v>0</v>
      </c>
      <c r="AF212" s="210">
        <v>0</v>
      </c>
      <c r="AG212" s="210">
        <v>0</v>
      </c>
      <c r="AH212" s="368">
        <v>0</v>
      </c>
      <c r="AI212" s="368">
        <v>0</v>
      </c>
      <c r="AJ212" s="368">
        <v>0</v>
      </c>
      <c r="AK212" s="210">
        <f t="shared" si="307"/>
        <v>500000</v>
      </c>
      <c r="AL212" s="387"/>
      <c r="AM212" s="404">
        <f t="shared" si="287"/>
        <v>-1</v>
      </c>
      <c r="AN212" s="404">
        <f t="shared" si="288"/>
        <v>-1</v>
      </c>
      <c r="AO212" s="404" t="e">
        <f t="shared" si="289"/>
        <v>#DIV/0!</v>
      </c>
      <c r="AP212" s="404">
        <f t="shared" si="290"/>
        <v>-1</v>
      </c>
      <c r="AQ212" s="404" t="e">
        <f t="shared" si="291"/>
        <v>#DIV/0!</v>
      </c>
      <c r="AR212" s="404">
        <f t="shared" si="292"/>
        <v>-1</v>
      </c>
      <c r="AS212" s="404">
        <f t="shared" si="293"/>
        <v>-1</v>
      </c>
      <c r="AT212" s="404">
        <f t="shared" si="294"/>
        <v>-1</v>
      </c>
      <c r="AU212" s="404">
        <f t="shared" si="295"/>
        <v>-1</v>
      </c>
      <c r="AV212" s="404">
        <f t="shared" si="296"/>
        <v>-1</v>
      </c>
      <c r="AW212" s="404" t="e">
        <f t="shared" si="297"/>
        <v>#DIV/0!</v>
      </c>
    </row>
    <row r="213" spans="1:49" s="70" customFormat="1" ht="30" x14ac:dyDescent="0.25">
      <c r="A213" s="341">
        <v>21222862</v>
      </c>
      <c r="B213" s="342" t="s">
        <v>603</v>
      </c>
      <c r="C213" s="368">
        <v>1500000</v>
      </c>
      <c r="D213" s="368">
        <v>0</v>
      </c>
      <c r="E213" s="368">
        <v>0</v>
      </c>
      <c r="F213" s="368">
        <v>0</v>
      </c>
      <c r="G213" s="368">
        <f t="shared" si="320"/>
        <v>1500000</v>
      </c>
      <c r="H213" s="59">
        <v>1500000</v>
      </c>
      <c r="I213" s="210">
        <v>0</v>
      </c>
      <c r="J213" s="210">
        <v>1500000</v>
      </c>
      <c r="K213" s="210"/>
      <c r="L213" s="210"/>
      <c r="M213" s="210"/>
      <c r="N213" s="210"/>
      <c r="O213" s="210"/>
      <c r="P213" s="210">
        <v>0</v>
      </c>
      <c r="Q213" s="210"/>
      <c r="R213" s="210">
        <v>0</v>
      </c>
      <c r="S213" s="210">
        <v>0</v>
      </c>
      <c r="T213" s="210">
        <v>0</v>
      </c>
      <c r="U213" s="412">
        <f t="shared" si="309"/>
        <v>1500000</v>
      </c>
      <c r="V213" s="58">
        <f t="shared" si="214"/>
        <v>1500000</v>
      </c>
      <c r="W213" s="396">
        <f t="shared" si="298"/>
        <v>1500000</v>
      </c>
      <c r="X213" s="396">
        <f t="shared" si="299"/>
        <v>0</v>
      </c>
      <c r="Y213" s="396"/>
      <c r="Z213" s="55"/>
      <c r="AA213" s="210">
        <v>0</v>
      </c>
      <c r="AB213" s="210">
        <v>700000</v>
      </c>
      <c r="AC213" s="210">
        <v>0</v>
      </c>
      <c r="AD213" s="210">
        <v>0</v>
      </c>
      <c r="AE213" s="210">
        <v>0</v>
      </c>
      <c r="AF213" s="210">
        <v>0</v>
      </c>
      <c r="AG213" s="210">
        <v>0</v>
      </c>
      <c r="AH213" s="368">
        <v>0</v>
      </c>
      <c r="AI213" s="368">
        <v>0</v>
      </c>
      <c r="AJ213" s="368">
        <v>0</v>
      </c>
      <c r="AK213" s="210">
        <f t="shared" si="307"/>
        <v>700000</v>
      </c>
      <c r="AL213" s="387"/>
      <c r="AM213" s="404" t="e">
        <f t="shared" si="287"/>
        <v>#DIV/0!</v>
      </c>
      <c r="AN213" s="404">
        <f t="shared" si="288"/>
        <v>-0.53333333333333333</v>
      </c>
      <c r="AO213" s="404" t="e">
        <f t="shared" si="289"/>
        <v>#DIV/0!</v>
      </c>
      <c r="AP213" s="404" t="e">
        <f t="shared" si="290"/>
        <v>#DIV/0!</v>
      </c>
      <c r="AQ213" s="404" t="e">
        <f t="shared" si="291"/>
        <v>#DIV/0!</v>
      </c>
      <c r="AR213" s="404" t="e">
        <f t="shared" si="292"/>
        <v>#DIV/0!</v>
      </c>
      <c r="AS213" s="404" t="e">
        <f t="shared" si="293"/>
        <v>#DIV/0!</v>
      </c>
      <c r="AT213" s="404" t="e">
        <f t="shared" si="294"/>
        <v>#DIV/0!</v>
      </c>
      <c r="AU213" s="404" t="e">
        <f t="shared" si="295"/>
        <v>#DIV/0!</v>
      </c>
      <c r="AV213" s="404" t="e">
        <f t="shared" si="296"/>
        <v>#DIV/0!</v>
      </c>
      <c r="AW213" s="404" t="e">
        <f t="shared" si="297"/>
        <v>#DIV/0!</v>
      </c>
    </row>
    <row r="214" spans="1:49" s="70" customFormat="1" ht="30" x14ac:dyDescent="0.25">
      <c r="A214" s="341">
        <v>21222863</v>
      </c>
      <c r="B214" s="342" t="s">
        <v>604</v>
      </c>
      <c r="C214" s="368">
        <v>18000000</v>
      </c>
      <c r="D214" s="368">
        <v>35000000</v>
      </c>
      <c r="E214" s="368">
        <v>0</v>
      </c>
      <c r="F214" s="368">
        <v>0</v>
      </c>
      <c r="G214" s="368">
        <f t="shared" si="320"/>
        <v>53000000</v>
      </c>
      <c r="H214" s="59">
        <v>18000000</v>
      </c>
      <c r="I214" s="210"/>
      <c r="J214" s="210">
        <v>3500000</v>
      </c>
      <c r="K214" s="210">
        <v>2500000</v>
      </c>
      <c r="L214" s="210">
        <v>2500000</v>
      </c>
      <c r="M214" s="210">
        <v>2500000</v>
      </c>
      <c r="N214" s="210">
        <v>2500000</v>
      </c>
      <c r="O214" s="210">
        <v>2500000</v>
      </c>
      <c r="P214" s="210">
        <v>2000000</v>
      </c>
      <c r="Q214" s="210">
        <v>15000000</v>
      </c>
      <c r="R214" s="210">
        <v>10000000</v>
      </c>
      <c r="S214" s="210">
        <v>10000000</v>
      </c>
      <c r="T214" s="210"/>
      <c r="U214" s="412">
        <f t="shared" si="309"/>
        <v>43000000</v>
      </c>
      <c r="V214" s="58">
        <f t="shared" si="214"/>
        <v>53000000</v>
      </c>
      <c r="W214" s="396">
        <f t="shared" si="298"/>
        <v>53000000</v>
      </c>
      <c r="X214" s="396">
        <f t="shared" si="299"/>
        <v>0</v>
      </c>
      <c r="Y214" s="396"/>
      <c r="Z214" s="53"/>
      <c r="AA214" s="210">
        <v>0</v>
      </c>
      <c r="AB214" s="210">
        <v>380000</v>
      </c>
      <c r="AC214" s="210">
        <v>2432000</v>
      </c>
      <c r="AD214" s="210">
        <v>160000</v>
      </c>
      <c r="AE214" s="210">
        <v>0</v>
      </c>
      <c r="AF214" s="210">
        <v>476000</v>
      </c>
      <c r="AG214" s="210">
        <v>1376635</v>
      </c>
      <c r="AH214" s="368">
        <v>310000</v>
      </c>
      <c r="AI214" s="368">
        <v>910000</v>
      </c>
      <c r="AJ214" s="368">
        <v>0</v>
      </c>
      <c r="AK214" s="210">
        <f t="shared" si="307"/>
        <v>6044635</v>
      </c>
      <c r="AL214" s="386"/>
      <c r="AM214" s="404" t="e">
        <f t="shared" si="287"/>
        <v>#DIV/0!</v>
      </c>
      <c r="AN214" s="404">
        <f t="shared" si="288"/>
        <v>-0.89142857142857146</v>
      </c>
      <c r="AO214" s="404">
        <f t="shared" si="289"/>
        <v>-2.7199999999999998E-2</v>
      </c>
      <c r="AP214" s="404">
        <f t="shared" si="290"/>
        <v>-0.93600000000000005</v>
      </c>
      <c r="AQ214" s="404">
        <f t="shared" si="291"/>
        <v>-1</v>
      </c>
      <c r="AR214" s="404">
        <f t="shared" si="292"/>
        <v>-0.80959999999999999</v>
      </c>
      <c r="AS214" s="404">
        <f t="shared" si="293"/>
        <v>-0.44934600000000002</v>
      </c>
      <c r="AT214" s="404">
        <f t="shared" si="294"/>
        <v>-0.84499999999999997</v>
      </c>
      <c r="AU214" s="404">
        <f t="shared" si="295"/>
        <v>-0.93933333333333335</v>
      </c>
      <c r="AV214" s="404">
        <f t="shared" si="296"/>
        <v>-1</v>
      </c>
      <c r="AW214" s="404">
        <f t="shared" si="297"/>
        <v>-0.39553650000000001</v>
      </c>
    </row>
    <row r="215" spans="1:49" s="70" customFormat="1" ht="45" x14ac:dyDescent="0.25">
      <c r="A215" s="339">
        <v>2122287</v>
      </c>
      <c r="B215" s="340" t="s">
        <v>93</v>
      </c>
      <c r="C215" s="367">
        <f>+C216</f>
        <v>30000000</v>
      </c>
      <c r="D215" s="367">
        <f t="shared" ref="D215:G215" si="321">+D216</f>
        <v>200000000</v>
      </c>
      <c r="E215" s="367">
        <f t="shared" si="321"/>
        <v>0</v>
      </c>
      <c r="F215" s="367">
        <f t="shared" si="321"/>
        <v>0</v>
      </c>
      <c r="G215" s="367">
        <f t="shared" si="321"/>
        <v>230000000</v>
      </c>
      <c r="H215" s="57">
        <f>+H216</f>
        <v>30000000</v>
      </c>
      <c r="I215" s="208">
        <f t="shared" ref="I215:V215" si="322">+I216</f>
        <v>19166666.666666668</v>
      </c>
      <c r="J215" s="208">
        <f t="shared" si="322"/>
        <v>19166666.666666668</v>
      </c>
      <c r="K215" s="208">
        <f t="shared" si="322"/>
        <v>19166666.666666668</v>
      </c>
      <c r="L215" s="208">
        <f t="shared" si="322"/>
        <v>19166666.666666668</v>
      </c>
      <c r="M215" s="208">
        <f t="shared" si="322"/>
        <v>19166666.666666668</v>
      </c>
      <c r="N215" s="208">
        <f t="shared" si="322"/>
        <v>19166666.666666668</v>
      </c>
      <c r="O215" s="208">
        <f t="shared" si="322"/>
        <v>19166666.666666668</v>
      </c>
      <c r="P215" s="208">
        <f t="shared" si="322"/>
        <v>19166666.666666668</v>
      </c>
      <c r="Q215" s="208">
        <f t="shared" si="322"/>
        <v>19166666.666666668</v>
      </c>
      <c r="R215" s="208">
        <f t="shared" si="322"/>
        <v>19166666.666666668</v>
      </c>
      <c r="S215" s="208">
        <f t="shared" si="322"/>
        <v>19166666.666666668</v>
      </c>
      <c r="T215" s="208">
        <f t="shared" si="322"/>
        <v>19166666.666666668</v>
      </c>
      <c r="U215" s="413">
        <f t="shared" si="309"/>
        <v>191666666.66666666</v>
      </c>
      <c r="V215" s="57">
        <f t="shared" si="322"/>
        <v>229999999.99999997</v>
      </c>
      <c r="W215" s="396">
        <f t="shared" si="298"/>
        <v>230000000</v>
      </c>
      <c r="X215" s="396">
        <f t="shared" si="299"/>
        <v>0</v>
      </c>
      <c r="Y215" s="396"/>
      <c r="Z215" s="55"/>
      <c r="AA215" s="209">
        <f t="shared" ref="AA215:AE215" si="323">+AA216</f>
        <v>800000</v>
      </c>
      <c r="AB215" s="209">
        <f t="shared" si="323"/>
        <v>0</v>
      </c>
      <c r="AC215" s="209">
        <f t="shared" si="323"/>
        <v>2000000</v>
      </c>
      <c r="AD215" s="209">
        <f t="shared" si="323"/>
        <v>0</v>
      </c>
      <c r="AE215" s="209">
        <f t="shared" si="323"/>
        <v>0</v>
      </c>
      <c r="AF215" s="209">
        <f>+AF216</f>
        <v>150000</v>
      </c>
      <c r="AG215" s="209">
        <f t="shared" ref="AG215" si="324">+AG216</f>
        <v>0</v>
      </c>
      <c r="AH215" s="367">
        <v>74243850</v>
      </c>
      <c r="AI215" s="367">
        <v>0</v>
      </c>
      <c r="AJ215" s="367">
        <v>0</v>
      </c>
      <c r="AK215" s="209">
        <f t="shared" si="307"/>
        <v>77193850</v>
      </c>
      <c r="AL215" s="387"/>
      <c r="AM215" s="405">
        <f t="shared" si="287"/>
        <v>-0.95826086956521739</v>
      </c>
      <c r="AN215" s="405">
        <f t="shared" si="288"/>
        <v>-1</v>
      </c>
      <c r="AO215" s="405">
        <f t="shared" si="289"/>
        <v>-0.89565217391304353</v>
      </c>
      <c r="AP215" s="405">
        <f t="shared" si="290"/>
        <v>-1</v>
      </c>
      <c r="AQ215" s="405">
        <f t="shared" si="291"/>
        <v>-1</v>
      </c>
      <c r="AR215" s="405">
        <f t="shared" si="292"/>
        <v>-0.99217391304347824</v>
      </c>
      <c r="AS215" s="405">
        <f t="shared" si="293"/>
        <v>-1</v>
      </c>
      <c r="AT215" s="405">
        <f t="shared" si="294"/>
        <v>2.873592173913043</v>
      </c>
      <c r="AU215" s="405">
        <f t="shared" si="295"/>
        <v>-1</v>
      </c>
      <c r="AV215" s="405">
        <f t="shared" si="296"/>
        <v>-1</v>
      </c>
      <c r="AW215" s="405">
        <f t="shared" si="297"/>
        <v>3.0275052173913037</v>
      </c>
    </row>
    <row r="216" spans="1:49" s="70" customFormat="1" ht="30" x14ac:dyDescent="0.25">
      <c r="A216" s="341">
        <v>21222871</v>
      </c>
      <c r="B216" s="342" t="s">
        <v>605</v>
      </c>
      <c r="C216" s="368">
        <v>30000000</v>
      </c>
      <c r="D216" s="368">
        <v>200000000</v>
      </c>
      <c r="E216" s="368">
        <v>0</v>
      </c>
      <c r="F216" s="368">
        <v>0</v>
      </c>
      <c r="G216" s="368">
        <f t="shared" ref="G216" si="325">+C216+D216-E216+F216</f>
        <v>230000000</v>
      </c>
      <c r="H216" s="59">
        <v>30000000</v>
      </c>
      <c r="I216" s="210">
        <v>19166666.666666668</v>
      </c>
      <c r="J216" s="210">
        <v>19166666.666666668</v>
      </c>
      <c r="K216" s="210">
        <v>19166666.666666668</v>
      </c>
      <c r="L216" s="210">
        <v>19166666.666666668</v>
      </c>
      <c r="M216" s="210">
        <v>19166666.666666668</v>
      </c>
      <c r="N216" s="210">
        <v>19166666.666666668</v>
      </c>
      <c r="O216" s="210">
        <v>19166666.666666668</v>
      </c>
      <c r="P216" s="210">
        <v>19166666.666666668</v>
      </c>
      <c r="Q216" s="210">
        <v>19166666.666666668</v>
      </c>
      <c r="R216" s="210">
        <v>19166666.666666668</v>
      </c>
      <c r="S216" s="210">
        <v>19166666.666666668</v>
      </c>
      <c r="T216" s="210">
        <v>19166666.666666668</v>
      </c>
      <c r="U216" s="412">
        <f t="shared" si="309"/>
        <v>191666666.66666666</v>
      </c>
      <c r="V216" s="58">
        <f t="shared" si="214"/>
        <v>229999999.99999997</v>
      </c>
      <c r="W216" s="396">
        <f t="shared" si="298"/>
        <v>230000000</v>
      </c>
      <c r="X216" s="396">
        <f t="shared" si="299"/>
        <v>0</v>
      </c>
      <c r="Y216" s="396">
        <f>+W216/12</f>
        <v>19166666.666666668</v>
      </c>
      <c r="Z216" s="53"/>
      <c r="AA216" s="210">
        <v>800000</v>
      </c>
      <c r="AB216" s="210">
        <v>0</v>
      </c>
      <c r="AC216" s="210">
        <v>2000000</v>
      </c>
      <c r="AD216" s="210">
        <v>0</v>
      </c>
      <c r="AE216" s="210">
        <v>0</v>
      </c>
      <c r="AF216" s="210">
        <v>150000</v>
      </c>
      <c r="AG216" s="210">
        <v>0</v>
      </c>
      <c r="AH216" s="368">
        <v>74243850</v>
      </c>
      <c r="AI216" s="368">
        <v>0</v>
      </c>
      <c r="AJ216" s="368">
        <v>0</v>
      </c>
      <c r="AK216" s="210">
        <f t="shared" si="307"/>
        <v>77193850</v>
      </c>
      <c r="AL216" s="386"/>
      <c r="AM216" s="404">
        <f t="shared" si="287"/>
        <v>-0.95826086956521739</v>
      </c>
      <c r="AN216" s="404">
        <f t="shared" si="288"/>
        <v>-1</v>
      </c>
      <c r="AO216" s="404">
        <f t="shared" si="289"/>
        <v>-0.89565217391304353</v>
      </c>
      <c r="AP216" s="404">
        <f t="shared" si="290"/>
        <v>-1</v>
      </c>
      <c r="AQ216" s="404">
        <f t="shared" si="291"/>
        <v>-1</v>
      </c>
      <c r="AR216" s="404">
        <f t="shared" si="292"/>
        <v>-0.99217391304347824</v>
      </c>
      <c r="AS216" s="404">
        <f t="shared" si="293"/>
        <v>-1</v>
      </c>
      <c r="AT216" s="404">
        <f t="shared" si="294"/>
        <v>2.873592173913043</v>
      </c>
      <c r="AU216" s="404">
        <f t="shared" si="295"/>
        <v>-1</v>
      </c>
      <c r="AV216" s="404">
        <f t="shared" si="296"/>
        <v>-1</v>
      </c>
      <c r="AW216" s="404">
        <f t="shared" si="297"/>
        <v>3.0275052173913037</v>
      </c>
    </row>
    <row r="217" spans="1:49" s="70" customFormat="1" ht="30" x14ac:dyDescent="0.25">
      <c r="A217" s="337">
        <v>212229</v>
      </c>
      <c r="B217" s="338" t="s">
        <v>94</v>
      </c>
      <c r="C217" s="366">
        <f>+C218+C221+C224+C227</f>
        <v>725000000</v>
      </c>
      <c r="D217" s="366">
        <f t="shared" ref="D217:G217" si="326">+D218+D221+D224+D227</f>
        <v>0</v>
      </c>
      <c r="E217" s="366">
        <f t="shared" si="326"/>
        <v>180000000</v>
      </c>
      <c r="F217" s="366">
        <f t="shared" si="326"/>
        <v>150000000</v>
      </c>
      <c r="G217" s="366">
        <f t="shared" si="326"/>
        <v>695000000</v>
      </c>
      <c r="H217" s="61">
        <f t="shared" ref="H217:V217" si="327">+H218+H221+H224+H227</f>
        <v>1008769859.01</v>
      </c>
      <c r="I217" s="206">
        <f t="shared" si="327"/>
        <v>69416666.666666657</v>
      </c>
      <c r="J217" s="206">
        <f t="shared" si="327"/>
        <v>76416666.666666657</v>
      </c>
      <c r="K217" s="206">
        <f t="shared" si="327"/>
        <v>66416666.666666664</v>
      </c>
      <c r="L217" s="206">
        <f t="shared" si="327"/>
        <v>61416666.666666664</v>
      </c>
      <c r="M217" s="206">
        <f t="shared" si="327"/>
        <v>61416666.666666664</v>
      </c>
      <c r="N217" s="206">
        <f t="shared" si="327"/>
        <v>51416666.666666664</v>
      </c>
      <c r="O217" s="206">
        <f t="shared" si="327"/>
        <v>51416666.666666664</v>
      </c>
      <c r="P217" s="206">
        <f t="shared" si="327"/>
        <v>51416666.666666664</v>
      </c>
      <c r="Q217" s="206">
        <f t="shared" si="327"/>
        <v>51416666.666666664</v>
      </c>
      <c r="R217" s="206">
        <f t="shared" si="327"/>
        <v>51416666.666666664</v>
      </c>
      <c r="S217" s="206">
        <f t="shared" si="327"/>
        <v>51416666.666666664</v>
      </c>
      <c r="T217" s="206">
        <f t="shared" si="327"/>
        <v>51416666.666666664</v>
      </c>
      <c r="U217" s="414">
        <f t="shared" si="309"/>
        <v>592166666.66666663</v>
      </c>
      <c r="V217" s="61">
        <f t="shared" si="327"/>
        <v>695000000</v>
      </c>
      <c r="W217" s="396">
        <f t="shared" si="298"/>
        <v>695000000</v>
      </c>
      <c r="X217" s="396">
        <f t="shared" si="299"/>
        <v>0</v>
      </c>
      <c r="Y217" s="396"/>
      <c r="Z217" s="53"/>
      <c r="AA217" s="207">
        <f>+AA218+AA221+AA224+AA227</f>
        <v>45270058</v>
      </c>
      <c r="AB217" s="207">
        <f t="shared" ref="AB217:AG217" si="328">+AB218+AB221+AB224+AB227</f>
        <v>41116164</v>
      </c>
      <c r="AC217" s="207">
        <f t="shared" si="328"/>
        <v>19465396</v>
      </c>
      <c r="AD217" s="207">
        <f t="shared" si="328"/>
        <v>41960357</v>
      </c>
      <c r="AE217" s="207">
        <f t="shared" si="328"/>
        <v>64831987</v>
      </c>
      <c r="AF217" s="207">
        <f t="shared" si="328"/>
        <v>43652157</v>
      </c>
      <c r="AG217" s="207">
        <f t="shared" si="328"/>
        <v>41945668</v>
      </c>
      <c r="AH217" s="366">
        <v>40750343</v>
      </c>
      <c r="AI217" s="366">
        <v>18333961</v>
      </c>
      <c r="AJ217" s="366">
        <v>38304379</v>
      </c>
      <c r="AK217" s="207">
        <f t="shared" si="307"/>
        <v>395630470</v>
      </c>
      <c r="AL217" s="386"/>
      <c r="AM217" s="406">
        <f t="shared" si="287"/>
        <v>-0.34785030492196867</v>
      </c>
      <c r="AN217" s="406">
        <f t="shared" si="288"/>
        <v>-0.46194769029443833</v>
      </c>
      <c r="AO217" s="406">
        <f t="shared" si="289"/>
        <v>-0.70692001003764116</v>
      </c>
      <c r="AP217" s="406">
        <f t="shared" si="290"/>
        <v>-0.3167920162822252</v>
      </c>
      <c r="AQ217" s="406">
        <f t="shared" si="291"/>
        <v>5.5609014925373179E-2</v>
      </c>
      <c r="AR217" s="406">
        <f t="shared" si="292"/>
        <v>-0.1510115332252836</v>
      </c>
      <c r="AS217" s="406">
        <f t="shared" si="293"/>
        <v>-0.18420094651539703</v>
      </c>
      <c r="AT217" s="406">
        <f t="shared" si="294"/>
        <v>-0.20744875850891406</v>
      </c>
      <c r="AU217" s="406">
        <f t="shared" si="295"/>
        <v>-0.64342377309562393</v>
      </c>
      <c r="AV217" s="406">
        <f t="shared" si="296"/>
        <v>-0.25502018152350076</v>
      </c>
      <c r="AW217" s="406">
        <f t="shared" si="297"/>
        <v>6.6945958508914103</v>
      </c>
    </row>
    <row r="218" spans="1:49" s="70" customFormat="1" x14ac:dyDescent="0.25">
      <c r="A218" s="339">
        <v>2122291</v>
      </c>
      <c r="B218" s="340" t="s">
        <v>95</v>
      </c>
      <c r="C218" s="367">
        <f>+C219+C220</f>
        <v>440000000</v>
      </c>
      <c r="D218" s="367">
        <f t="shared" ref="D218:G218" si="329">+D219+D220</f>
        <v>0</v>
      </c>
      <c r="E218" s="367">
        <f t="shared" si="329"/>
        <v>150000000</v>
      </c>
      <c r="F218" s="367">
        <f t="shared" si="329"/>
        <v>150000000</v>
      </c>
      <c r="G218" s="367">
        <f t="shared" si="329"/>
        <v>440000000</v>
      </c>
      <c r="H218" s="57">
        <f>+H220+H219</f>
        <v>723769859.00999999</v>
      </c>
      <c r="I218" s="208">
        <f t="shared" ref="I218:V218" si="330">+I220+I219</f>
        <v>36666666.666666664</v>
      </c>
      <c r="J218" s="208">
        <f t="shared" si="330"/>
        <v>36666666.666666664</v>
      </c>
      <c r="K218" s="208">
        <f t="shared" si="330"/>
        <v>36666666.666666664</v>
      </c>
      <c r="L218" s="208">
        <f t="shared" si="330"/>
        <v>36666666.666666664</v>
      </c>
      <c r="M218" s="208">
        <f t="shared" si="330"/>
        <v>36666666.666666664</v>
      </c>
      <c r="N218" s="208">
        <f t="shared" si="330"/>
        <v>36666666.666666664</v>
      </c>
      <c r="O218" s="208">
        <f t="shared" si="330"/>
        <v>36666666.666666664</v>
      </c>
      <c r="P218" s="208">
        <f t="shared" si="330"/>
        <v>36666666.666666664</v>
      </c>
      <c r="Q218" s="208">
        <f t="shared" si="330"/>
        <v>36666666.666666664</v>
      </c>
      <c r="R218" s="208">
        <f t="shared" si="330"/>
        <v>36666666.666666664</v>
      </c>
      <c r="S218" s="208">
        <f t="shared" si="330"/>
        <v>36666666.666666664</v>
      </c>
      <c r="T218" s="208">
        <f t="shared" si="330"/>
        <v>36666666.666666664</v>
      </c>
      <c r="U218" s="413">
        <f t="shared" si="309"/>
        <v>366666666.66666669</v>
      </c>
      <c r="V218" s="57">
        <f t="shared" si="330"/>
        <v>439999999.99999994</v>
      </c>
      <c r="W218" s="396">
        <f t="shared" si="298"/>
        <v>440000000</v>
      </c>
      <c r="X218" s="396">
        <f t="shared" si="299"/>
        <v>0</v>
      </c>
      <c r="Y218" s="396"/>
      <c r="Z218" s="55"/>
      <c r="AA218" s="208">
        <v>0</v>
      </c>
      <c r="AB218" s="209">
        <f>+AB219+AB220</f>
        <v>1200000</v>
      </c>
      <c r="AC218" s="209">
        <f t="shared" ref="AC218:AG218" si="331">+AC219+AC220</f>
        <v>13221087</v>
      </c>
      <c r="AD218" s="209">
        <f t="shared" si="331"/>
        <v>36038557</v>
      </c>
      <c r="AE218" s="209">
        <f t="shared" si="331"/>
        <v>51509644</v>
      </c>
      <c r="AF218" s="209">
        <f t="shared" si="331"/>
        <v>27693428</v>
      </c>
      <c r="AG218" s="209">
        <f t="shared" si="331"/>
        <v>23913261</v>
      </c>
      <c r="AH218" s="367">
        <v>19570000</v>
      </c>
      <c r="AI218" s="367">
        <v>8163261</v>
      </c>
      <c r="AJ218" s="367">
        <v>28363829</v>
      </c>
      <c r="AK218" s="209">
        <f t="shared" si="307"/>
        <v>209673067</v>
      </c>
      <c r="AL218" s="387"/>
      <c r="AM218" s="405">
        <f t="shared" si="287"/>
        <v>-1</v>
      </c>
      <c r="AN218" s="405">
        <f t="shared" si="288"/>
        <v>-0.96727272727272728</v>
      </c>
      <c r="AO218" s="405">
        <f t="shared" si="289"/>
        <v>-0.63942489999999996</v>
      </c>
      <c r="AP218" s="405">
        <f t="shared" si="290"/>
        <v>-1.7130263636363569E-2</v>
      </c>
      <c r="AQ218" s="405">
        <f t="shared" si="291"/>
        <v>0.40480847272727283</v>
      </c>
      <c r="AR218" s="405">
        <f t="shared" si="292"/>
        <v>-0.24472469090909085</v>
      </c>
      <c r="AS218" s="405">
        <f t="shared" si="293"/>
        <v>-0.34782015454545451</v>
      </c>
      <c r="AT218" s="405">
        <f t="shared" si="294"/>
        <v>-0.46627272727272723</v>
      </c>
      <c r="AU218" s="405">
        <f t="shared" si="295"/>
        <v>-0.77736560909090913</v>
      </c>
      <c r="AV218" s="405">
        <f t="shared" si="296"/>
        <v>-0.22644102727272722</v>
      </c>
      <c r="AW218" s="405">
        <f t="shared" si="297"/>
        <v>4.718356372727273</v>
      </c>
    </row>
    <row r="219" spans="1:49" s="70" customFormat="1" x14ac:dyDescent="0.25">
      <c r="A219" s="341">
        <v>21222911</v>
      </c>
      <c r="B219" s="342" t="s">
        <v>606</v>
      </c>
      <c r="C219" s="383">
        <v>190000000</v>
      </c>
      <c r="D219" s="368">
        <v>0</v>
      </c>
      <c r="E219" s="368">
        <v>150000000</v>
      </c>
      <c r="F219" s="368">
        <v>0</v>
      </c>
      <c r="G219" s="368">
        <f t="shared" ref="G219:G220" si="332">+C219+D219-E219+F219</f>
        <v>40000000</v>
      </c>
      <c r="H219" s="59">
        <v>190000000</v>
      </c>
      <c r="I219" s="210">
        <v>3333333.3333333335</v>
      </c>
      <c r="J219" s="210">
        <v>3333333.3333333335</v>
      </c>
      <c r="K219" s="210">
        <v>3333333.3333333335</v>
      </c>
      <c r="L219" s="210">
        <v>3333333.3333333335</v>
      </c>
      <c r="M219" s="210">
        <v>3333333.3333333335</v>
      </c>
      <c r="N219" s="210">
        <v>3333333.3333333335</v>
      </c>
      <c r="O219" s="210">
        <v>3333333.3333333335</v>
      </c>
      <c r="P219" s="210">
        <v>3333333.3333333335</v>
      </c>
      <c r="Q219" s="210">
        <v>3333333.3333333335</v>
      </c>
      <c r="R219" s="210">
        <v>3333333.3333333335</v>
      </c>
      <c r="S219" s="210">
        <v>3333333.3333333335</v>
      </c>
      <c r="T219" s="210">
        <v>3333333.3333333335</v>
      </c>
      <c r="U219" s="412">
        <f t="shared" si="309"/>
        <v>33333333.333333328</v>
      </c>
      <c r="V219" s="58">
        <f t="shared" si="214"/>
        <v>40000000</v>
      </c>
      <c r="W219" s="396">
        <f t="shared" si="298"/>
        <v>40000000</v>
      </c>
      <c r="X219" s="396">
        <f t="shared" si="299"/>
        <v>0</v>
      </c>
      <c r="Y219" s="396">
        <f t="shared" ref="Y219:Y220" si="333">+W219/12</f>
        <v>3333333.3333333335</v>
      </c>
      <c r="Z219" s="55"/>
      <c r="AA219" s="210">
        <v>0</v>
      </c>
      <c r="AB219" s="210">
        <v>0</v>
      </c>
      <c r="AC219" s="210">
        <v>0</v>
      </c>
      <c r="AD219" s="210">
        <v>0</v>
      </c>
      <c r="AE219" s="210">
        <v>15100000</v>
      </c>
      <c r="AF219" s="210">
        <v>5500000</v>
      </c>
      <c r="AG219" s="210">
        <v>19400000</v>
      </c>
      <c r="AH219" s="368">
        <v>0</v>
      </c>
      <c r="AI219" s="368">
        <v>0</v>
      </c>
      <c r="AJ219" s="368">
        <v>0</v>
      </c>
      <c r="AK219" s="210">
        <f t="shared" si="307"/>
        <v>40000000</v>
      </c>
      <c r="AL219" s="387"/>
      <c r="AM219" s="404">
        <f t="shared" si="287"/>
        <v>-1</v>
      </c>
      <c r="AN219" s="404">
        <f t="shared" si="288"/>
        <v>-1</v>
      </c>
      <c r="AO219" s="404">
        <f t="shared" si="289"/>
        <v>-1</v>
      </c>
      <c r="AP219" s="404">
        <f t="shared" si="290"/>
        <v>-1</v>
      </c>
      <c r="AQ219" s="404">
        <f t="shared" si="291"/>
        <v>3.53</v>
      </c>
      <c r="AR219" s="404">
        <f t="shared" si="292"/>
        <v>0.64999999999999991</v>
      </c>
      <c r="AS219" s="404">
        <f t="shared" si="293"/>
        <v>4.8199999999999994</v>
      </c>
      <c r="AT219" s="404">
        <f t="shared" si="294"/>
        <v>-1</v>
      </c>
      <c r="AU219" s="404">
        <f t="shared" si="295"/>
        <v>-1</v>
      </c>
      <c r="AV219" s="404">
        <f t="shared" si="296"/>
        <v>-1</v>
      </c>
      <c r="AW219" s="404">
        <f t="shared" si="297"/>
        <v>10.999999999999998</v>
      </c>
    </row>
    <row r="220" spans="1:49" ht="30" x14ac:dyDescent="0.25">
      <c r="A220" s="341">
        <v>21222912</v>
      </c>
      <c r="B220" s="342" t="s">
        <v>607</v>
      </c>
      <c r="C220" s="383">
        <v>250000000</v>
      </c>
      <c r="D220" s="368">
        <v>0</v>
      </c>
      <c r="E220" s="368">
        <v>0</v>
      </c>
      <c r="F220" s="368">
        <v>150000000</v>
      </c>
      <c r="G220" s="368">
        <f t="shared" si="332"/>
        <v>400000000</v>
      </c>
      <c r="H220" s="60">
        <f t="shared" ref="H220" si="334">+H133+H18</f>
        <v>533769859.00999999</v>
      </c>
      <c r="I220" s="210">
        <v>33333333.333333332</v>
      </c>
      <c r="J220" s="210">
        <v>33333333.333333332</v>
      </c>
      <c r="K220" s="210">
        <v>33333333.333333332</v>
      </c>
      <c r="L220" s="210">
        <v>33333333.333333332</v>
      </c>
      <c r="M220" s="210">
        <v>33333333.333333332</v>
      </c>
      <c r="N220" s="210">
        <v>33333333.333333332</v>
      </c>
      <c r="O220" s="210">
        <v>33333333.333333332</v>
      </c>
      <c r="P220" s="210">
        <v>33333333.333333332</v>
      </c>
      <c r="Q220" s="210">
        <v>33333333.333333332</v>
      </c>
      <c r="R220" s="210">
        <v>33333333.333333332</v>
      </c>
      <c r="S220" s="210">
        <v>33333333.333333332</v>
      </c>
      <c r="T220" s="210">
        <v>33333333.333333332</v>
      </c>
      <c r="U220" s="412">
        <f t="shared" si="309"/>
        <v>333333333.33333331</v>
      </c>
      <c r="V220" s="58">
        <f t="shared" si="214"/>
        <v>399999999.99999994</v>
      </c>
      <c r="W220" s="396">
        <f t="shared" si="298"/>
        <v>400000000</v>
      </c>
      <c r="X220" s="396">
        <f t="shared" si="299"/>
        <v>0</v>
      </c>
      <c r="Y220" s="396">
        <f t="shared" si="333"/>
        <v>33333333.333333332</v>
      </c>
      <c r="AA220" s="210">
        <v>0</v>
      </c>
      <c r="AB220" s="210">
        <v>1200000</v>
      </c>
      <c r="AC220" s="210">
        <v>13221087</v>
      </c>
      <c r="AD220" s="210">
        <v>36038557</v>
      </c>
      <c r="AE220" s="210">
        <v>36409644</v>
      </c>
      <c r="AF220" s="210">
        <v>22193428</v>
      </c>
      <c r="AG220" s="210">
        <v>4513261</v>
      </c>
      <c r="AH220" s="368">
        <v>19570000</v>
      </c>
      <c r="AI220" s="368">
        <v>8163261</v>
      </c>
      <c r="AJ220" s="368">
        <v>28363829</v>
      </c>
      <c r="AK220" s="210">
        <f t="shared" si="307"/>
        <v>169673067</v>
      </c>
      <c r="AL220" s="386"/>
      <c r="AM220" s="404">
        <f t="shared" si="287"/>
        <v>-1</v>
      </c>
      <c r="AN220" s="404">
        <f t="shared" si="288"/>
        <v>-0.96399999999999997</v>
      </c>
      <c r="AO220" s="404">
        <f t="shared" si="289"/>
        <v>-0.60336738999999995</v>
      </c>
      <c r="AP220" s="404">
        <f t="shared" si="290"/>
        <v>8.1156710000000035E-2</v>
      </c>
      <c r="AQ220" s="404">
        <f t="shared" si="291"/>
        <v>9.2289320000000036E-2</v>
      </c>
      <c r="AR220" s="404">
        <f t="shared" si="292"/>
        <v>-0.33419715999999999</v>
      </c>
      <c r="AS220" s="404">
        <f t="shared" si="293"/>
        <v>-0.86460216999999995</v>
      </c>
      <c r="AT220" s="404">
        <f t="shared" si="294"/>
        <v>-0.41289999999999999</v>
      </c>
      <c r="AU220" s="404">
        <f t="shared" si="295"/>
        <v>-0.75510217000000002</v>
      </c>
      <c r="AV220" s="404">
        <f t="shared" si="296"/>
        <v>-0.14908512999999995</v>
      </c>
      <c r="AW220" s="404">
        <f t="shared" si="297"/>
        <v>4.09019201</v>
      </c>
    </row>
    <row r="221" spans="1:49" s="70" customFormat="1" ht="45" x14ac:dyDescent="0.25">
      <c r="A221" s="339">
        <v>2122293</v>
      </c>
      <c r="B221" s="340" t="s">
        <v>96</v>
      </c>
      <c r="C221" s="367">
        <f>+C222+C223</f>
        <v>93000000</v>
      </c>
      <c r="D221" s="367">
        <f t="shared" ref="D221:G221" si="335">+D222+D223</f>
        <v>0</v>
      </c>
      <c r="E221" s="367">
        <f t="shared" si="335"/>
        <v>0</v>
      </c>
      <c r="F221" s="367">
        <f t="shared" si="335"/>
        <v>0</v>
      </c>
      <c r="G221" s="367">
        <f t="shared" si="335"/>
        <v>93000000</v>
      </c>
      <c r="H221" s="57">
        <f>+H222+H223</f>
        <v>93000000</v>
      </c>
      <c r="I221" s="208">
        <f t="shared" ref="I221:V221" si="336">+I222+I223</f>
        <v>7750000</v>
      </c>
      <c r="J221" s="208">
        <f t="shared" si="336"/>
        <v>7750000</v>
      </c>
      <c r="K221" s="208">
        <f t="shared" si="336"/>
        <v>7750000</v>
      </c>
      <c r="L221" s="208">
        <f t="shared" si="336"/>
        <v>7750000</v>
      </c>
      <c r="M221" s="208">
        <f t="shared" si="336"/>
        <v>7750000</v>
      </c>
      <c r="N221" s="208">
        <f t="shared" si="336"/>
        <v>7750000</v>
      </c>
      <c r="O221" s="208">
        <f t="shared" si="336"/>
        <v>7750000</v>
      </c>
      <c r="P221" s="208">
        <f t="shared" si="336"/>
        <v>7750000</v>
      </c>
      <c r="Q221" s="208">
        <f t="shared" si="336"/>
        <v>7750000</v>
      </c>
      <c r="R221" s="208">
        <f t="shared" si="336"/>
        <v>7750000</v>
      </c>
      <c r="S221" s="208">
        <f t="shared" si="336"/>
        <v>7750000</v>
      </c>
      <c r="T221" s="208">
        <f t="shared" si="336"/>
        <v>7750000</v>
      </c>
      <c r="U221" s="413">
        <f t="shared" si="309"/>
        <v>77500000</v>
      </c>
      <c r="V221" s="57">
        <f t="shared" si="336"/>
        <v>93000000</v>
      </c>
      <c r="W221" s="396">
        <f t="shared" si="298"/>
        <v>93000000</v>
      </c>
      <c r="X221" s="396">
        <f t="shared" si="299"/>
        <v>0</v>
      </c>
      <c r="Y221" s="396"/>
      <c r="Z221" s="55"/>
      <c r="AA221" s="209">
        <f t="shared" ref="AA221:AC221" si="337">+AA222+AA223</f>
        <v>8831840</v>
      </c>
      <c r="AB221" s="209">
        <f t="shared" si="337"/>
        <v>5112840</v>
      </c>
      <c r="AC221" s="209">
        <f t="shared" si="337"/>
        <v>3310900</v>
      </c>
      <c r="AD221" s="209">
        <f>+AD222+AD223</f>
        <v>5921800</v>
      </c>
      <c r="AE221" s="209">
        <f t="shared" ref="AE221:AG221" si="338">+AE222+AE223</f>
        <v>325600</v>
      </c>
      <c r="AF221" s="209">
        <f t="shared" si="338"/>
        <v>1163600</v>
      </c>
      <c r="AG221" s="209">
        <f t="shared" si="338"/>
        <v>1093850</v>
      </c>
      <c r="AH221" s="367">
        <v>7341790</v>
      </c>
      <c r="AI221" s="367">
        <v>10170700</v>
      </c>
      <c r="AJ221" s="367">
        <v>9940550</v>
      </c>
      <c r="AK221" s="209">
        <f t="shared" si="307"/>
        <v>53213470</v>
      </c>
      <c r="AL221" s="387"/>
      <c r="AM221" s="405">
        <f t="shared" si="287"/>
        <v>0.13959225806451614</v>
      </c>
      <c r="AN221" s="405">
        <f t="shared" si="288"/>
        <v>-0.34027870967741936</v>
      </c>
      <c r="AO221" s="405">
        <f t="shared" si="289"/>
        <v>-0.57278709677419359</v>
      </c>
      <c r="AP221" s="405">
        <f t="shared" si="290"/>
        <v>-0.23589677419354838</v>
      </c>
      <c r="AQ221" s="405">
        <f t="shared" si="291"/>
        <v>-0.95798709677419358</v>
      </c>
      <c r="AR221" s="405">
        <f t="shared" si="292"/>
        <v>-0.849858064516129</v>
      </c>
      <c r="AS221" s="405">
        <f t="shared" si="293"/>
        <v>-0.85885806451612901</v>
      </c>
      <c r="AT221" s="405">
        <f t="shared" si="294"/>
        <v>-5.2672258064516128E-2</v>
      </c>
      <c r="AU221" s="405">
        <f t="shared" si="295"/>
        <v>0.3123483870967742</v>
      </c>
      <c r="AV221" s="405">
        <f t="shared" si="296"/>
        <v>0.28265161290322582</v>
      </c>
      <c r="AW221" s="405">
        <f t="shared" si="297"/>
        <v>5.8662541935483867</v>
      </c>
    </row>
    <row r="222" spans="1:49" s="70" customFormat="1" ht="45" x14ac:dyDescent="0.25">
      <c r="A222" s="341">
        <v>21222931</v>
      </c>
      <c r="B222" s="342" t="s">
        <v>608</v>
      </c>
      <c r="C222" s="368">
        <v>57000000</v>
      </c>
      <c r="D222" s="368">
        <v>0</v>
      </c>
      <c r="E222" s="368">
        <v>0</v>
      </c>
      <c r="F222" s="368">
        <v>0</v>
      </c>
      <c r="G222" s="368">
        <f t="shared" ref="G222:G223" si="339">+C222+D222-E222+F222</f>
        <v>57000000</v>
      </c>
      <c r="H222" s="58">
        <v>57000000</v>
      </c>
      <c r="I222" s="210">
        <v>4750000</v>
      </c>
      <c r="J222" s="210">
        <v>4750000</v>
      </c>
      <c r="K222" s="210">
        <v>4750000</v>
      </c>
      <c r="L222" s="210">
        <v>4750000</v>
      </c>
      <c r="M222" s="210">
        <v>4750000</v>
      </c>
      <c r="N222" s="210">
        <v>4750000</v>
      </c>
      <c r="O222" s="210">
        <v>4750000</v>
      </c>
      <c r="P222" s="210">
        <v>4750000</v>
      </c>
      <c r="Q222" s="210">
        <v>4750000</v>
      </c>
      <c r="R222" s="210">
        <v>4750000</v>
      </c>
      <c r="S222" s="210">
        <v>4750000</v>
      </c>
      <c r="T222" s="210">
        <v>4750000</v>
      </c>
      <c r="U222" s="412">
        <f t="shared" si="309"/>
        <v>47500000</v>
      </c>
      <c r="V222" s="58">
        <f t="shared" si="214"/>
        <v>57000000</v>
      </c>
      <c r="W222" s="396">
        <f t="shared" si="298"/>
        <v>57000000</v>
      </c>
      <c r="X222" s="396">
        <f t="shared" si="299"/>
        <v>0</v>
      </c>
      <c r="Y222" s="396"/>
      <c r="Z222" s="55"/>
      <c r="AA222" s="210">
        <v>8756340</v>
      </c>
      <c r="AB222" s="210">
        <v>2702640</v>
      </c>
      <c r="AC222" s="210">
        <v>3310900</v>
      </c>
      <c r="AD222" s="210">
        <f>533250+2794750</f>
        <v>3328000</v>
      </c>
      <c r="AE222" s="210">
        <v>325600</v>
      </c>
      <c r="AF222" s="210">
        <v>292700</v>
      </c>
      <c r="AG222" s="210">
        <v>291350</v>
      </c>
      <c r="AH222" s="368">
        <v>6513790</v>
      </c>
      <c r="AI222" s="368">
        <v>9177400</v>
      </c>
      <c r="AJ222" s="368">
        <v>9456050</v>
      </c>
      <c r="AK222" s="210">
        <f t="shared" si="307"/>
        <v>44154770</v>
      </c>
      <c r="AL222" s="387"/>
      <c r="AM222" s="404">
        <f t="shared" si="287"/>
        <v>0.84343999999999997</v>
      </c>
      <c r="AN222" s="404">
        <f t="shared" si="288"/>
        <v>-0.43102315789473683</v>
      </c>
      <c r="AO222" s="404">
        <f t="shared" si="289"/>
        <v>-0.30296842105263155</v>
      </c>
      <c r="AP222" s="404">
        <f t="shared" si="290"/>
        <v>-0.29936842105263156</v>
      </c>
      <c r="AQ222" s="404">
        <f t="shared" si="291"/>
        <v>-0.93145263157894742</v>
      </c>
      <c r="AR222" s="404">
        <f t="shared" si="292"/>
        <v>-0.93837894736842109</v>
      </c>
      <c r="AS222" s="404">
        <f t="shared" si="293"/>
        <v>-0.93866315789473687</v>
      </c>
      <c r="AT222" s="404">
        <f t="shared" si="294"/>
        <v>0.37132421052631581</v>
      </c>
      <c r="AU222" s="404">
        <f t="shared" si="295"/>
        <v>0.93208421052631574</v>
      </c>
      <c r="AV222" s="404">
        <f t="shared" si="296"/>
        <v>0.9907473684210526</v>
      </c>
      <c r="AW222" s="404">
        <f t="shared" si="297"/>
        <v>8.2957410526315787</v>
      </c>
    </row>
    <row r="223" spans="1:49" s="70" customFormat="1" ht="30" x14ac:dyDescent="0.25">
      <c r="A223" s="341">
        <v>21222936</v>
      </c>
      <c r="B223" s="342" t="s">
        <v>609</v>
      </c>
      <c r="C223" s="368">
        <v>36000000</v>
      </c>
      <c r="D223" s="368">
        <v>0</v>
      </c>
      <c r="E223" s="368">
        <v>0</v>
      </c>
      <c r="F223" s="368">
        <v>0</v>
      </c>
      <c r="G223" s="368">
        <f t="shared" si="339"/>
        <v>36000000</v>
      </c>
      <c r="H223" s="58">
        <v>36000000</v>
      </c>
      <c r="I223" s="210">
        <v>3000000</v>
      </c>
      <c r="J223" s="210">
        <v>3000000</v>
      </c>
      <c r="K223" s="210">
        <v>3000000</v>
      </c>
      <c r="L223" s="210">
        <v>3000000</v>
      </c>
      <c r="M223" s="210">
        <v>3000000</v>
      </c>
      <c r="N223" s="210">
        <v>3000000</v>
      </c>
      <c r="O223" s="210">
        <v>3000000</v>
      </c>
      <c r="P223" s="210">
        <v>3000000</v>
      </c>
      <c r="Q223" s="210">
        <v>3000000</v>
      </c>
      <c r="R223" s="210">
        <v>3000000</v>
      </c>
      <c r="S223" s="210">
        <v>3000000</v>
      </c>
      <c r="T223" s="210">
        <v>3000000</v>
      </c>
      <c r="U223" s="412">
        <f t="shared" si="309"/>
        <v>30000000</v>
      </c>
      <c r="V223" s="58">
        <f t="shared" si="214"/>
        <v>36000000</v>
      </c>
      <c r="W223" s="396">
        <f t="shared" si="298"/>
        <v>36000000</v>
      </c>
      <c r="X223" s="396">
        <f t="shared" si="299"/>
        <v>0</v>
      </c>
      <c r="Y223" s="396"/>
      <c r="Z223" s="55"/>
      <c r="AA223" s="210">
        <v>75500</v>
      </c>
      <c r="AB223" s="210">
        <v>2410200</v>
      </c>
      <c r="AC223" s="210">
        <v>0</v>
      </c>
      <c r="AD223" s="210">
        <v>2593800</v>
      </c>
      <c r="AE223" s="210">
        <v>0</v>
      </c>
      <c r="AF223" s="210">
        <v>870900</v>
      </c>
      <c r="AG223" s="210">
        <v>802500</v>
      </c>
      <c r="AH223" s="368">
        <v>828000</v>
      </c>
      <c r="AI223" s="368">
        <v>993300</v>
      </c>
      <c r="AJ223" s="368">
        <v>484500</v>
      </c>
      <c r="AK223" s="210">
        <f t="shared" si="307"/>
        <v>9058700</v>
      </c>
      <c r="AL223" s="386"/>
      <c r="AM223" s="404">
        <f t="shared" si="287"/>
        <v>-0.97483333333333333</v>
      </c>
      <c r="AN223" s="404">
        <f t="shared" si="288"/>
        <v>-0.1966</v>
      </c>
      <c r="AO223" s="404">
        <f t="shared" si="289"/>
        <v>-1</v>
      </c>
      <c r="AP223" s="404">
        <f t="shared" si="290"/>
        <v>-0.13539999999999999</v>
      </c>
      <c r="AQ223" s="404">
        <f t="shared" si="291"/>
        <v>-1</v>
      </c>
      <c r="AR223" s="404">
        <f t="shared" si="292"/>
        <v>-0.7097</v>
      </c>
      <c r="AS223" s="404">
        <f t="shared" si="293"/>
        <v>-0.73250000000000004</v>
      </c>
      <c r="AT223" s="404">
        <f t="shared" si="294"/>
        <v>-0.72399999999999998</v>
      </c>
      <c r="AU223" s="404">
        <f t="shared" si="295"/>
        <v>-0.66890000000000005</v>
      </c>
      <c r="AV223" s="404">
        <f t="shared" si="296"/>
        <v>-0.83850000000000002</v>
      </c>
      <c r="AW223" s="404">
        <f t="shared" si="297"/>
        <v>2.0195666666666665</v>
      </c>
    </row>
    <row r="224" spans="1:49" x14ac:dyDescent="0.25">
      <c r="A224" s="339">
        <v>2122294</v>
      </c>
      <c r="B224" s="340" t="s">
        <v>97</v>
      </c>
      <c r="C224" s="367">
        <f>+C225+C226</f>
        <v>115000000</v>
      </c>
      <c r="D224" s="367">
        <f t="shared" ref="D224:G224" si="340">+D225+D226</f>
        <v>0</v>
      </c>
      <c r="E224" s="367">
        <f t="shared" si="340"/>
        <v>30000000</v>
      </c>
      <c r="F224" s="367">
        <f t="shared" si="340"/>
        <v>0</v>
      </c>
      <c r="G224" s="367">
        <f t="shared" si="340"/>
        <v>85000000</v>
      </c>
      <c r="H224" s="57">
        <f>+H226+H225</f>
        <v>115000000</v>
      </c>
      <c r="I224" s="208">
        <f t="shared" ref="I224:V224" si="341">+I226+I225</f>
        <v>25000000</v>
      </c>
      <c r="J224" s="208">
        <f t="shared" si="341"/>
        <v>25000000</v>
      </c>
      <c r="K224" s="208">
        <f t="shared" si="341"/>
        <v>15000000</v>
      </c>
      <c r="L224" s="208">
        <f t="shared" si="341"/>
        <v>10000000</v>
      </c>
      <c r="M224" s="208">
        <f t="shared" si="341"/>
        <v>10000000</v>
      </c>
      <c r="N224" s="208">
        <f t="shared" si="341"/>
        <v>0</v>
      </c>
      <c r="O224" s="208">
        <f t="shared" si="341"/>
        <v>0</v>
      </c>
      <c r="P224" s="208">
        <f t="shared" si="341"/>
        <v>0</v>
      </c>
      <c r="Q224" s="208">
        <f t="shared" si="341"/>
        <v>0</v>
      </c>
      <c r="R224" s="208">
        <f t="shared" si="341"/>
        <v>0</v>
      </c>
      <c r="S224" s="208">
        <f t="shared" si="341"/>
        <v>0</v>
      </c>
      <c r="T224" s="208">
        <f t="shared" si="341"/>
        <v>0</v>
      </c>
      <c r="U224" s="413">
        <f t="shared" si="309"/>
        <v>85000000</v>
      </c>
      <c r="V224" s="57">
        <f t="shared" si="341"/>
        <v>85000000</v>
      </c>
      <c r="W224" s="396">
        <f t="shared" si="298"/>
        <v>85000000</v>
      </c>
      <c r="X224" s="396">
        <f t="shared" si="299"/>
        <v>0</v>
      </c>
      <c r="Y224" s="396"/>
      <c r="Z224" s="55"/>
      <c r="AA224" s="208">
        <v>35382308</v>
      </c>
      <c r="AB224" s="209">
        <v>34040840</v>
      </c>
      <c r="AC224" s="209">
        <v>2633409</v>
      </c>
      <c r="AD224" s="209">
        <v>0</v>
      </c>
      <c r="AE224" s="209">
        <v>12943443</v>
      </c>
      <c r="AF224" s="209">
        <v>0</v>
      </c>
      <c r="AG224" s="209">
        <v>0</v>
      </c>
      <c r="AH224" s="367">
        <v>0</v>
      </c>
      <c r="AI224" s="367">
        <v>0</v>
      </c>
      <c r="AJ224" s="367">
        <v>0</v>
      </c>
      <c r="AK224" s="209">
        <f t="shared" si="307"/>
        <v>85000000</v>
      </c>
      <c r="AL224" s="387"/>
      <c r="AM224" s="405">
        <f t="shared" si="287"/>
        <v>0.41529231999999999</v>
      </c>
      <c r="AN224" s="405">
        <f t="shared" si="288"/>
        <v>0.3616336</v>
      </c>
      <c r="AO224" s="405">
        <f t="shared" si="289"/>
        <v>-0.82443940000000004</v>
      </c>
      <c r="AP224" s="405">
        <f t="shared" si="290"/>
        <v>-1</v>
      </c>
      <c r="AQ224" s="405">
        <f t="shared" si="291"/>
        <v>0.2943443</v>
      </c>
      <c r="AR224" s="405" t="e">
        <f t="shared" si="292"/>
        <v>#DIV/0!</v>
      </c>
      <c r="AS224" s="405" t="e">
        <f t="shared" si="293"/>
        <v>#DIV/0!</v>
      </c>
      <c r="AT224" s="405" t="e">
        <f t="shared" si="294"/>
        <v>#DIV/0!</v>
      </c>
      <c r="AU224" s="405" t="e">
        <f t="shared" si="295"/>
        <v>#DIV/0!</v>
      </c>
      <c r="AV224" s="405" t="e">
        <f t="shared" si="296"/>
        <v>#DIV/0!</v>
      </c>
      <c r="AW224" s="405" t="e">
        <f t="shared" si="297"/>
        <v>#DIV/0!</v>
      </c>
    </row>
    <row r="225" spans="1:49" ht="45" x14ac:dyDescent="0.25">
      <c r="A225" s="341">
        <v>21222941</v>
      </c>
      <c r="B225" s="342" t="s">
        <v>643</v>
      </c>
      <c r="C225" s="368">
        <v>30000000</v>
      </c>
      <c r="D225" s="368">
        <v>0</v>
      </c>
      <c r="E225" s="368">
        <v>30000000</v>
      </c>
      <c r="F225" s="368">
        <v>0</v>
      </c>
      <c r="G225" s="368">
        <f t="shared" ref="G225:G226" si="342">+C225+D225-E225+F225</f>
        <v>0</v>
      </c>
      <c r="H225" s="59">
        <v>30000000</v>
      </c>
      <c r="I225" s="210"/>
      <c r="J225" s="210"/>
      <c r="K225" s="210"/>
      <c r="L225" s="210"/>
      <c r="M225" s="210"/>
      <c r="N225" s="210"/>
      <c r="O225" s="210"/>
      <c r="P225" s="210"/>
      <c r="Q225" s="210"/>
      <c r="R225" s="210"/>
      <c r="S225" s="210"/>
      <c r="T225" s="210"/>
      <c r="U225" s="412">
        <f t="shared" si="309"/>
        <v>0</v>
      </c>
      <c r="V225" s="58">
        <f t="shared" si="214"/>
        <v>0</v>
      </c>
      <c r="W225" s="396">
        <f t="shared" si="298"/>
        <v>0</v>
      </c>
      <c r="X225" s="396">
        <f t="shared" si="299"/>
        <v>0</v>
      </c>
      <c r="Y225" s="396"/>
      <c r="Z225" s="55"/>
      <c r="AA225" s="210">
        <v>0</v>
      </c>
      <c r="AB225" s="210">
        <v>0</v>
      </c>
      <c r="AC225" s="210">
        <v>0</v>
      </c>
      <c r="AD225" s="210">
        <v>0</v>
      </c>
      <c r="AE225" s="210">
        <v>0</v>
      </c>
      <c r="AF225" s="210">
        <v>0</v>
      </c>
      <c r="AG225" s="210">
        <v>0</v>
      </c>
      <c r="AH225" s="368">
        <v>0</v>
      </c>
      <c r="AI225" s="368">
        <v>0</v>
      </c>
      <c r="AJ225" s="368">
        <v>0</v>
      </c>
      <c r="AK225" s="210">
        <f t="shared" si="307"/>
        <v>0</v>
      </c>
      <c r="AL225" s="387"/>
      <c r="AM225" s="404" t="e">
        <f t="shared" si="287"/>
        <v>#DIV/0!</v>
      </c>
      <c r="AN225" s="404" t="e">
        <f t="shared" si="288"/>
        <v>#DIV/0!</v>
      </c>
      <c r="AO225" s="404" t="e">
        <f t="shared" si="289"/>
        <v>#DIV/0!</v>
      </c>
      <c r="AP225" s="404" t="e">
        <f t="shared" si="290"/>
        <v>#DIV/0!</v>
      </c>
      <c r="AQ225" s="404" t="e">
        <f t="shared" si="291"/>
        <v>#DIV/0!</v>
      </c>
      <c r="AR225" s="404" t="e">
        <f t="shared" si="292"/>
        <v>#DIV/0!</v>
      </c>
      <c r="AS225" s="404" t="e">
        <f t="shared" si="293"/>
        <v>#DIV/0!</v>
      </c>
      <c r="AT225" s="404" t="e">
        <f t="shared" si="294"/>
        <v>#DIV/0!</v>
      </c>
      <c r="AU225" s="404" t="e">
        <f t="shared" si="295"/>
        <v>#DIV/0!</v>
      </c>
      <c r="AV225" s="404" t="e">
        <f t="shared" si="296"/>
        <v>#DIV/0!</v>
      </c>
      <c r="AW225" s="404" t="e">
        <f t="shared" si="297"/>
        <v>#DIV/0!</v>
      </c>
    </row>
    <row r="226" spans="1:49" ht="30" x14ac:dyDescent="0.25">
      <c r="A226" s="341">
        <v>21222942</v>
      </c>
      <c r="B226" s="342" t="s">
        <v>610</v>
      </c>
      <c r="C226" s="368">
        <v>85000000</v>
      </c>
      <c r="D226" s="368">
        <v>0</v>
      </c>
      <c r="E226" s="368">
        <v>0</v>
      </c>
      <c r="F226" s="368">
        <v>0</v>
      </c>
      <c r="G226" s="368">
        <f t="shared" si="342"/>
        <v>85000000</v>
      </c>
      <c r="H226" s="59">
        <v>85000000</v>
      </c>
      <c r="I226" s="210">
        <v>25000000</v>
      </c>
      <c r="J226" s="210">
        <v>25000000</v>
      </c>
      <c r="K226" s="210">
        <v>15000000</v>
      </c>
      <c r="L226" s="210">
        <v>10000000</v>
      </c>
      <c r="M226" s="210">
        <v>10000000</v>
      </c>
      <c r="N226" s="210">
        <v>0</v>
      </c>
      <c r="O226" s="210">
        <v>0</v>
      </c>
      <c r="P226" s="210">
        <v>0</v>
      </c>
      <c r="Q226" s="210">
        <v>0</v>
      </c>
      <c r="R226" s="210">
        <v>0</v>
      </c>
      <c r="S226" s="210">
        <v>0</v>
      </c>
      <c r="T226" s="210">
        <v>0</v>
      </c>
      <c r="U226" s="412">
        <f t="shared" si="309"/>
        <v>85000000</v>
      </c>
      <c r="V226" s="58">
        <f t="shared" si="214"/>
        <v>85000000</v>
      </c>
      <c r="W226" s="396">
        <f t="shared" si="298"/>
        <v>85000000</v>
      </c>
      <c r="X226" s="396">
        <f t="shared" si="299"/>
        <v>0</v>
      </c>
      <c r="Y226" s="396"/>
      <c r="Z226" s="55"/>
      <c r="AA226" s="210">
        <v>35382308</v>
      </c>
      <c r="AB226" s="210">
        <v>34040840</v>
      </c>
      <c r="AC226" s="210">
        <v>2633409</v>
      </c>
      <c r="AD226" s="210">
        <v>0</v>
      </c>
      <c r="AE226" s="210">
        <v>12943443</v>
      </c>
      <c r="AF226" s="210">
        <v>0</v>
      </c>
      <c r="AG226" s="210">
        <v>0</v>
      </c>
      <c r="AH226" s="368">
        <v>0</v>
      </c>
      <c r="AI226" s="368">
        <v>0</v>
      </c>
      <c r="AJ226" s="368">
        <v>0</v>
      </c>
      <c r="AK226" s="210">
        <f t="shared" si="307"/>
        <v>85000000</v>
      </c>
      <c r="AL226" s="386"/>
      <c r="AM226" s="404">
        <f t="shared" si="287"/>
        <v>0.41529231999999999</v>
      </c>
      <c r="AN226" s="404">
        <f t="shared" si="288"/>
        <v>0.3616336</v>
      </c>
      <c r="AO226" s="404">
        <f t="shared" si="289"/>
        <v>-0.82443940000000004</v>
      </c>
      <c r="AP226" s="404">
        <f t="shared" si="290"/>
        <v>-1</v>
      </c>
      <c r="AQ226" s="404">
        <f t="shared" si="291"/>
        <v>0.2943443</v>
      </c>
      <c r="AR226" s="404" t="e">
        <f t="shared" si="292"/>
        <v>#DIV/0!</v>
      </c>
      <c r="AS226" s="404" t="e">
        <f t="shared" si="293"/>
        <v>#DIV/0!</v>
      </c>
      <c r="AT226" s="404" t="e">
        <f t="shared" si="294"/>
        <v>#DIV/0!</v>
      </c>
      <c r="AU226" s="404" t="e">
        <f t="shared" si="295"/>
        <v>#DIV/0!</v>
      </c>
      <c r="AV226" s="404" t="e">
        <f t="shared" si="296"/>
        <v>#DIV/0!</v>
      </c>
      <c r="AW226" s="404" t="e">
        <f t="shared" si="297"/>
        <v>#DIV/0!</v>
      </c>
    </row>
    <row r="227" spans="1:49" x14ac:dyDescent="0.25">
      <c r="A227" s="339">
        <v>2122296</v>
      </c>
      <c r="B227" s="340" t="s">
        <v>98</v>
      </c>
      <c r="C227" s="367">
        <f>+C228+C229+C230+C231</f>
        <v>77000000</v>
      </c>
      <c r="D227" s="367">
        <f t="shared" ref="D227:G227" si="343">+D228+D229+D230+D231</f>
        <v>0</v>
      </c>
      <c r="E227" s="367">
        <f t="shared" si="343"/>
        <v>0</v>
      </c>
      <c r="F227" s="367">
        <f t="shared" si="343"/>
        <v>0</v>
      </c>
      <c r="G227" s="367">
        <f t="shared" si="343"/>
        <v>77000000</v>
      </c>
      <c r="H227" s="57">
        <f>+H231+H230+H229+H228</f>
        <v>77000000</v>
      </c>
      <c r="I227" s="208">
        <f t="shared" ref="I227:V227" si="344">+I231+I230+I229+I228</f>
        <v>0</v>
      </c>
      <c r="J227" s="208">
        <f t="shared" si="344"/>
        <v>7000000</v>
      </c>
      <c r="K227" s="208">
        <f t="shared" si="344"/>
        <v>7000000</v>
      </c>
      <c r="L227" s="208">
        <f t="shared" si="344"/>
        <v>7000000</v>
      </c>
      <c r="M227" s="208">
        <f t="shared" si="344"/>
        <v>7000000</v>
      </c>
      <c r="N227" s="208">
        <f t="shared" si="344"/>
        <v>7000000</v>
      </c>
      <c r="O227" s="208">
        <f t="shared" si="344"/>
        <v>7000000</v>
      </c>
      <c r="P227" s="208">
        <f t="shared" si="344"/>
        <v>7000000</v>
      </c>
      <c r="Q227" s="208">
        <f t="shared" si="344"/>
        <v>7000000</v>
      </c>
      <c r="R227" s="208">
        <f t="shared" si="344"/>
        <v>7000000</v>
      </c>
      <c r="S227" s="208">
        <f t="shared" si="344"/>
        <v>7000000</v>
      </c>
      <c r="T227" s="208">
        <f t="shared" si="344"/>
        <v>7000000</v>
      </c>
      <c r="U227" s="413">
        <f t="shared" si="309"/>
        <v>63000000</v>
      </c>
      <c r="V227" s="57">
        <f t="shared" si="344"/>
        <v>77000000</v>
      </c>
      <c r="W227" s="396">
        <f t="shared" si="298"/>
        <v>77000000</v>
      </c>
      <c r="X227" s="396">
        <f t="shared" si="299"/>
        <v>0</v>
      </c>
      <c r="Y227" s="396"/>
      <c r="Z227" s="55"/>
      <c r="AA227" s="209">
        <f t="shared" ref="AA227:AD227" si="345">SUM(AA228:AA231)</f>
        <v>1055910</v>
      </c>
      <c r="AB227" s="209">
        <f t="shared" si="345"/>
        <v>762484</v>
      </c>
      <c r="AC227" s="209">
        <f t="shared" si="345"/>
        <v>300000</v>
      </c>
      <c r="AD227" s="209">
        <f t="shared" si="345"/>
        <v>0</v>
      </c>
      <c r="AE227" s="209">
        <f>SUM(AE228:AE231)</f>
        <v>53300</v>
      </c>
      <c r="AF227" s="209">
        <f t="shared" ref="AF227:AG227" si="346">SUM(AF228:AF231)</f>
        <v>14795129</v>
      </c>
      <c r="AG227" s="209">
        <f t="shared" si="346"/>
        <v>16938557</v>
      </c>
      <c r="AH227" s="367">
        <v>13838553</v>
      </c>
      <c r="AI227" s="367">
        <v>0</v>
      </c>
      <c r="AJ227" s="367">
        <v>0</v>
      </c>
      <c r="AK227" s="209">
        <f t="shared" si="307"/>
        <v>47743933</v>
      </c>
      <c r="AL227" s="387"/>
      <c r="AM227" s="405" t="e">
        <f t="shared" si="287"/>
        <v>#DIV/0!</v>
      </c>
      <c r="AN227" s="405">
        <f t="shared" si="288"/>
        <v>-0.89107371428571425</v>
      </c>
      <c r="AO227" s="405">
        <f t="shared" si="289"/>
        <v>-0.95714285714285718</v>
      </c>
      <c r="AP227" s="405">
        <f t="shared" si="290"/>
        <v>-1</v>
      </c>
      <c r="AQ227" s="405">
        <f t="shared" si="291"/>
        <v>-0.99238571428571432</v>
      </c>
      <c r="AR227" s="405">
        <f t="shared" si="292"/>
        <v>1.1135898571428571</v>
      </c>
      <c r="AS227" s="405">
        <f t="shared" si="293"/>
        <v>1.4197938571428572</v>
      </c>
      <c r="AT227" s="405">
        <f t="shared" si="294"/>
        <v>0.97693614285714281</v>
      </c>
      <c r="AU227" s="405">
        <f t="shared" si="295"/>
        <v>-1</v>
      </c>
      <c r="AV227" s="405">
        <f t="shared" si="296"/>
        <v>-1</v>
      </c>
      <c r="AW227" s="405">
        <f t="shared" si="297"/>
        <v>5.8205618571428568</v>
      </c>
    </row>
    <row r="228" spans="1:49" x14ac:dyDescent="0.25">
      <c r="A228" s="341">
        <v>21222961</v>
      </c>
      <c r="B228" s="342" t="s">
        <v>611</v>
      </c>
      <c r="C228" s="368">
        <v>50000000</v>
      </c>
      <c r="D228" s="368">
        <v>0</v>
      </c>
      <c r="E228" s="368">
        <v>0</v>
      </c>
      <c r="F228" s="368">
        <v>0</v>
      </c>
      <c r="G228" s="368">
        <f t="shared" ref="G228:G231" si="347">+C228+D228-E228+F228</f>
        <v>50000000</v>
      </c>
      <c r="H228" s="59">
        <v>50000000</v>
      </c>
      <c r="I228" s="210"/>
      <c r="J228" s="210">
        <v>4545454.5454545459</v>
      </c>
      <c r="K228" s="210">
        <v>4545454.5454545459</v>
      </c>
      <c r="L228" s="210">
        <v>4545454.5454545459</v>
      </c>
      <c r="M228" s="210">
        <v>4545454.5454545459</v>
      </c>
      <c r="N228" s="210">
        <v>4545454.5454545459</v>
      </c>
      <c r="O228" s="210">
        <v>4545454.5454545459</v>
      </c>
      <c r="P228" s="210">
        <v>4545454.5454545459</v>
      </c>
      <c r="Q228" s="210">
        <v>4545454.5454545459</v>
      </c>
      <c r="R228" s="210">
        <v>4545454.5454545459</v>
      </c>
      <c r="S228" s="210">
        <v>4545454.5454545459</v>
      </c>
      <c r="T228" s="210">
        <v>4545454.5454545459</v>
      </c>
      <c r="U228" s="412">
        <f t="shared" si="309"/>
        <v>40909090.909090914</v>
      </c>
      <c r="V228" s="58">
        <f t="shared" si="214"/>
        <v>50000000.000000007</v>
      </c>
      <c r="W228" s="396">
        <f t="shared" si="298"/>
        <v>50000000</v>
      </c>
      <c r="X228" s="396">
        <f t="shared" si="299"/>
        <v>0</v>
      </c>
      <c r="Y228" s="396"/>
      <c r="Z228" s="55"/>
      <c r="AA228" s="210">
        <v>650000</v>
      </c>
      <c r="AB228" s="210">
        <v>762484</v>
      </c>
      <c r="AC228" s="210">
        <v>300000</v>
      </c>
      <c r="AD228" s="210">
        <v>0</v>
      </c>
      <c r="AE228" s="210">
        <v>53300</v>
      </c>
      <c r="AF228" s="210">
        <v>14795129</v>
      </c>
      <c r="AG228" s="210">
        <v>16938557</v>
      </c>
      <c r="AH228" s="368">
        <v>7056772</v>
      </c>
      <c r="AI228" s="368">
        <v>0</v>
      </c>
      <c r="AJ228" s="368">
        <v>0</v>
      </c>
      <c r="AK228" s="210">
        <f t="shared" si="307"/>
        <v>40556242</v>
      </c>
      <c r="AL228" s="387"/>
      <c r="AM228" s="404" t="e">
        <f t="shared" si="287"/>
        <v>#DIV/0!</v>
      </c>
      <c r="AN228" s="404">
        <f t="shared" si="288"/>
        <v>-0.83225351999999997</v>
      </c>
      <c r="AO228" s="404">
        <f t="shared" si="289"/>
        <v>-0.93400000000000005</v>
      </c>
      <c r="AP228" s="404">
        <f t="shared" si="290"/>
        <v>-1</v>
      </c>
      <c r="AQ228" s="404">
        <f t="shared" si="291"/>
        <v>-0.98827399999999999</v>
      </c>
      <c r="AR228" s="404">
        <f t="shared" si="292"/>
        <v>2.2549283799999995</v>
      </c>
      <c r="AS228" s="404">
        <f t="shared" si="293"/>
        <v>2.7264825399999992</v>
      </c>
      <c r="AT228" s="404">
        <f t="shared" si="294"/>
        <v>0.5524898399999999</v>
      </c>
      <c r="AU228" s="404">
        <f t="shared" si="295"/>
        <v>-1</v>
      </c>
      <c r="AV228" s="404">
        <f t="shared" si="296"/>
        <v>-1</v>
      </c>
      <c r="AW228" s="404">
        <f t="shared" si="297"/>
        <v>7.9223732399999989</v>
      </c>
    </row>
    <row r="229" spans="1:49" ht="30" x14ac:dyDescent="0.25">
      <c r="A229" s="341">
        <v>21222962</v>
      </c>
      <c r="B229" s="342" t="s">
        <v>612</v>
      </c>
      <c r="C229" s="368">
        <v>9000000</v>
      </c>
      <c r="D229" s="368">
        <v>0</v>
      </c>
      <c r="E229" s="368">
        <v>0</v>
      </c>
      <c r="F229" s="368">
        <v>0</v>
      </c>
      <c r="G229" s="368">
        <f t="shared" si="347"/>
        <v>9000000</v>
      </c>
      <c r="H229" s="59">
        <v>9000000</v>
      </c>
      <c r="I229" s="210"/>
      <c r="J229" s="210">
        <v>818181.81818181823</v>
      </c>
      <c r="K229" s="210">
        <v>818181.81818181823</v>
      </c>
      <c r="L229" s="210">
        <v>818181.81818181823</v>
      </c>
      <c r="M229" s="210">
        <v>818181.81818181823</v>
      </c>
      <c r="N229" s="210">
        <v>818181.81818181823</v>
      </c>
      <c r="O229" s="210">
        <v>818181.81818181823</v>
      </c>
      <c r="P229" s="210">
        <v>818181.81818181823</v>
      </c>
      <c r="Q229" s="210">
        <v>818181.81818181823</v>
      </c>
      <c r="R229" s="210">
        <v>818181.81818181823</v>
      </c>
      <c r="S229" s="210">
        <v>818181.81818181823</v>
      </c>
      <c r="T229" s="210">
        <v>818181.81818181823</v>
      </c>
      <c r="U229" s="412">
        <f t="shared" si="309"/>
        <v>7363636.3636363642</v>
      </c>
      <c r="V229" s="58">
        <f t="shared" si="214"/>
        <v>9000000</v>
      </c>
      <c r="W229" s="396">
        <f t="shared" si="298"/>
        <v>9000000</v>
      </c>
      <c r="X229" s="396">
        <f t="shared" si="299"/>
        <v>0</v>
      </c>
      <c r="Y229" s="396"/>
      <c r="Z229" s="55"/>
      <c r="AA229" s="210">
        <v>0</v>
      </c>
      <c r="AB229" s="210">
        <v>0</v>
      </c>
      <c r="AC229" s="210">
        <v>0</v>
      </c>
      <c r="AD229" s="210">
        <v>0</v>
      </c>
      <c r="AE229" s="210">
        <v>0</v>
      </c>
      <c r="AF229" s="210">
        <v>0</v>
      </c>
      <c r="AG229" s="210">
        <v>0</v>
      </c>
      <c r="AH229" s="368">
        <v>0</v>
      </c>
      <c r="AI229" s="368">
        <v>0</v>
      </c>
      <c r="AJ229" s="368">
        <v>0</v>
      </c>
      <c r="AK229" s="210">
        <f t="shared" si="307"/>
        <v>0</v>
      </c>
      <c r="AL229" s="387"/>
      <c r="AM229" s="404" t="e">
        <f t="shared" si="287"/>
        <v>#DIV/0!</v>
      </c>
      <c r="AN229" s="404">
        <f t="shared" si="288"/>
        <v>-1</v>
      </c>
      <c r="AO229" s="404">
        <f t="shared" si="289"/>
        <v>-1</v>
      </c>
      <c r="AP229" s="404">
        <f t="shared" si="290"/>
        <v>-1</v>
      </c>
      <c r="AQ229" s="404">
        <f t="shared" si="291"/>
        <v>-1</v>
      </c>
      <c r="AR229" s="404">
        <f t="shared" si="292"/>
        <v>-1</v>
      </c>
      <c r="AS229" s="404">
        <f t="shared" si="293"/>
        <v>-1</v>
      </c>
      <c r="AT229" s="404">
        <f t="shared" si="294"/>
        <v>-1</v>
      </c>
      <c r="AU229" s="404">
        <f t="shared" si="295"/>
        <v>-1</v>
      </c>
      <c r="AV229" s="404">
        <f t="shared" si="296"/>
        <v>-1</v>
      </c>
      <c r="AW229" s="404">
        <f t="shared" si="297"/>
        <v>-1</v>
      </c>
    </row>
    <row r="230" spans="1:49" ht="30" x14ac:dyDescent="0.25">
      <c r="A230" s="341">
        <v>21222963</v>
      </c>
      <c r="B230" s="342" t="s">
        <v>613</v>
      </c>
      <c r="C230" s="368">
        <v>8000000</v>
      </c>
      <c r="D230" s="368">
        <v>0</v>
      </c>
      <c r="E230" s="368">
        <v>0</v>
      </c>
      <c r="F230" s="368">
        <v>0</v>
      </c>
      <c r="G230" s="368">
        <f t="shared" si="347"/>
        <v>8000000</v>
      </c>
      <c r="H230" s="59">
        <v>8000000</v>
      </c>
      <c r="I230" s="210"/>
      <c r="J230" s="210">
        <v>727272.72727272729</v>
      </c>
      <c r="K230" s="210">
        <v>727272.72727272729</v>
      </c>
      <c r="L230" s="210">
        <v>727272.72727272729</v>
      </c>
      <c r="M230" s="210">
        <v>727272.72727272729</v>
      </c>
      <c r="N230" s="210">
        <v>727272.72727272729</v>
      </c>
      <c r="O230" s="210">
        <v>727272.72727272729</v>
      </c>
      <c r="P230" s="210">
        <v>727272.72727272729</v>
      </c>
      <c r="Q230" s="210">
        <v>727272.72727272729</v>
      </c>
      <c r="R230" s="210">
        <v>727272.72727272729</v>
      </c>
      <c r="S230" s="210">
        <v>727272.72727272729</v>
      </c>
      <c r="T230" s="210">
        <v>727272.72727272729</v>
      </c>
      <c r="U230" s="412">
        <f t="shared" si="309"/>
        <v>6545454.5454545468</v>
      </c>
      <c r="V230" s="58">
        <f t="shared" si="214"/>
        <v>8000000.0000000019</v>
      </c>
      <c r="W230" s="396">
        <f t="shared" si="298"/>
        <v>8000000</v>
      </c>
      <c r="X230" s="396">
        <f t="shared" si="299"/>
        <v>0</v>
      </c>
      <c r="Y230" s="396"/>
      <c r="Z230" s="55"/>
      <c r="AA230" s="210">
        <v>300000</v>
      </c>
      <c r="AB230" s="210">
        <v>0</v>
      </c>
      <c r="AC230" s="210">
        <v>0</v>
      </c>
      <c r="AD230" s="210">
        <v>0</v>
      </c>
      <c r="AE230" s="210">
        <v>0</v>
      </c>
      <c r="AF230" s="210">
        <v>0</v>
      </c>
      <c r="AG230" s="210">
        <v>0</v>
      </c>
      <c r="AH230" s="368">
        <v>0</v>
      </c>
      <c r="AI230" s="368">
        <v>0</v>
      </c>
      <c r="AJ230" s="368">
        <v>0</v>
      </c>
      <c r="AK230" s="210">
        <f t="shared" si="307"/>
        <v>300000</v>
      </c>
      <c r="AL230" s="387"/>
      <c r="AM230" s="404" t="e">
        <f t="shared" si="287"/>
        <v>#DIV/0!</v>
      </c>
      <c r="AN230" s="404">
        <f t="shared" si="288"/>
        <v>-1</v>
      </c>
      <c r="AO230" s="404">
        <f t="shared" si="289"/>
        <v>-1</v>
      </c>
      <c r="AP230" s="404">
        <f t="shared" si="290"/>
        <v>-1</v>
      </c>
      <c r="AQ230" s="404">
        <f t="shared" si="291"/>
        <v>-1</v>
      </c>
      <c r="AR230" s="404">
        <f t="shared" si="292"/>
        <v>-1</v>
      </c>
      <c r="AS230" s="404">
        <f t="shared" si="293"/>
        <v>-1</v>
      </c>
      <c r="AT230" s="404">
        <f t="shared" si="294"/>
        <v>-1</v>
      </c>
      <c r="AU230" s="404">
        <f t="shared" si="295"/>
        <v>-1</v>
      </c>
      <c r="AV230" s="404">
        <f t="shared" si="296"/>
        <v>-1</v>
      </c>
      <c r="AW230" s="404">
        <f t="shared" si="297"/>
        <v>-0.58750000000000002</v>
      </c>
    </row>
    <row r="231" spans="1:49" x14ac:dyDescent="0.25">
      <c r="A231" s="341">
        <v>21222964</v>
      </c>
      <c r="B231" s="342" t="s">
        <v>614</v>
      </c>
      <c r="C231" s="368">
        <v>10000000</v>
      </c>
      <c r="D231" s="368">
        <v>0</v>
      </c>
      <c r="E231" s="368">
        <v>0</v>
      </c>
      <c r="F231" s="368">
        <v>0</v>
      </c>
      <c r="G231" s="368">
        <f t="shared" si="347"/>
        <v>10000000</v>
      </c>
      <c r="H231" s="59">
        <v>10000000</v>
      </c>
      <c r="I231" s="210">
        <v>0</v>
      </c>
      <c r="J231" s="210">
        <v>909090.90909090906</v>
      </c>
      <c r="K231" s="210">
        <v>909090.90909090906</v>
      </c>
      <c r="L231" s="210">
        <v>909090.90909090906</v>
      </c>
      <c r="M231" s="210">
        <v>909090.90909090906</v>
      </c>
      <c r="N231" s="210">
        <v>909090.90909090906</v>
      </c>
      <c r="O231" s="210">
        <v>909090.90909090906</v>
      </c>
      <c r="P231" s="210">
        <v>909090.90909090906</v>
      </c>
      <c r="Q231" s="210">
        <v>909090.90909090906</v>
      </c>
      <c r="R231" s="210">
        <v>909090.90909090906</v>
      </c>
      <c r="S231" s="210">
        <v>909090.90909090906</v>
      </c>
      <c r="T231" s="210">
        <v>909090.90909090906</v>
      </c>
      <c r="U231" s="412">
        <f t="shared" si="309"/>
        <v>8181818.1818181816</v>
      </c>
      <c r="V231" s="58">
        <f t="shared" si="214"/>
        <v>9999999.9999999981</v>
      </c>
      <c r="W231" s="396">
        <f t="shared" si="298"/>
        <v>10000000</v>
      </c>
      <c r="X231" s="396">
        <f t="shared" si="299"/>
        <v>0</v>
      </c>
      <c r="Y231" s="396"/>
      <c r="Z231" s="55"/>
      <c r="AA231" s="210">
        <v>105910</v>
      </c>
      <c r="AB231" s="210">
        <v>0</v>
      </c>
      <c r="AC231" s="210">
        <v>0</v>
      </c>
      <c r="AD231" s="210">
        <v>0</v>
      </c>
      <c r="AE231" s="210">
        <v>0</v>
      </c>
      <c r="AF231" s="210">
        <v>0</v>
      </c>
      <c r="AG231" s="210">
        <v>0</v>
      </c>
      <c r="AH231" s="368">
        <v>6781781</v>
      </c>
      <c r="AI231" s="368">
        <v>0</v>
      </c>
      <c r="AJ231" s="368">
        <v>0</v>
      </c>
      <c r="AK231" s="210">
        <f t="shared" si="307"/>
        <v>6887691</v>
      </c>
      <c r="AL231" s="386"/>
      <c r="AM231" s="404" t="e">
        <f t="shared" si="287"/>
        <v>#DIV/0!</v>
      </c>
      <c r="AN231" s="404">
        <f t="shared" si="288"/>
        <v>-1</v>
      </c>
      <c r="AO231" s="404">
        <f t="shared" si="289"/>
        <v>-1</v>
      </c>
      <c r="AP231" s="404">
        <f t="shared" si="290"/>
        <v>-1</v>
      </c>
      <c r="AQ231" s="404">
        <f t="shared" si="291"/>
        <v>-1</v>
      </c>
      <c r="AR231" s="404">
        <f t="shared" si="292"/>
        <v>-1</v>
      </c>
      <c r="AS231" s="404">
        <f t="shared" si="293"/>
        <v>-1</v>
      </c>
      <c r="AT231" s="404">
        <f t="shared" si="294"/>
        <v>6.4599590999999998</v>
      </c>
      <c r="AU231" s="404">
        <f t="shared" si="295"/>
        <v>-1</v>
      </c>
      <c r="AV231" s="404">
        <f t="shared" si="296"/>
        <v>-1</v>
      </c>
      <c r="AW231" s="404">
        <f t="shared" si="297"/>
        <v>6.5764601000000003</v>
      </c>
    </row>
    <row r="232" spans="1:49" x14ac:dyDescent="0.25">
      <c r="A232" s="335">
        <v>214</v>
      </c>
      <c r="B232" s="336" t="s">
        <v>824</v>
      </c>
      <c r="C232" s="365">
        <f>+C233</f>
        <v>0</v>
      </c>
      <c r="D232" s="365">
        <f t="shared" ref="D232:G234" si="348">+D233</f>
        <v>0</v>
      </c>
      <c r="E232" s="365">
        <f t="shared" si="348"/>
        <v>0</v>
      </c>
      <c r="F232" s="365">
        <f t="shared" si="348"/>
        <v>81466480.730000004</v>
      </c>
      <c r="G232" s="365">
        <f t="shared" si="348"/>
        <v>81466480.730000004</v>
      </c>
      <c r="H232" s="365">
        <f t="shared" ref="H232:V234" si="349">+H233</f>
        <v>0</v>
      </c>
      <c r="I232" s="365">
        <f t="shared" si="349"/>
        <v>0</v>
      </c>
      <c r="J232" s="365">
        <f t="shared" si="349"/>
        <v>0</v>
      </c>
      <c r="K232" s="365">
        <f t="shared" si="349"/>
        <v>0</v>
      </c>
      <c r="L232" s="365">
        <f t="shared" si="349"/>
        <v>0</v>
      </c>
      <c r="M232" s="365">
        <f t="shared" si="349"/>
        <v>0</v>
      </c>
      <c r="N232" s="365">
        <f t="shared" si="349"/>
        <v>13577746.788333334</v>
      </c>
      <c r="O232" s="365">
        <f t="shared" si="349"/>
        <v>13577746.788333334</v>
      </c>
      <c r="P232" s="365">
        <f t="shared" si="349"/>
        <v>13577746.788333334</v>
      </c>
      <c r="Q232" s="365">
        <f t="shared" si="349"/>
        <v>13577746.788333334</v>
      </c>
      <c r="R232" s="365">
        <f t="shared" si="349"/>
        <v>13577746.788333334</v>
      </c>
      <c r="S232" s="365">
        <f t="shared" si="349"/>
        <v>13577746.788333334</v>
      </c>
      <c r="T232" s="365">
        <f t="shared" si="349"/>
        <v>0</v>
      </c>
      <c r="U232" s="416">
        <f t="shared" si="309"/>
        <v>67888733.941666663</v>
      </c>
      <c r="V232" s="365">
        <f t="shared" si="349"/>
        <v>81466480.729999989</v>
      </c>
      <c r="W232" s="396">
        <f t="shared" si="298"/>
        <v>81466480.730000004</v>
      </c>
      <c r="X232" s="396">
        <f t="shared" si="299"/>
        <v>0</v>
      </c>
      <c r="Y232" s="396"/>
      <c r="Z232" s="55"/>
      <c r="AA232" s="210"/>
      <c r="AB232" s="205">
        <v>0</v>
      </c>
      <c r="AC232" s="205">
        <v>0</v>
      </c>
      <c r="AD232" s="205">
        <v>0</v>
      </c>
      <c r="AE232" s="205">
        <v>0</v>
      </c>
      <c r="AF232" s="205">
        <v>0</v>
      </c>
      <c r="AG232" s="205">
        <v>0</v>
      </c>
      <c r="AH232" s="365">
        <v>0</v>
      </c>
      <c r="AI232" s="365">
        <v>0</v>
      </c>
      <c r="AJ232" s="365">
        <v>0</v>
      </c>
      <c r="AK232" s="205">
        <f t="shared" si="307"/>
        <v>0</v>
      </c>
      <c r="AL232" s="386"/>
      <c r="AM232" s="407" t="e">
        <f t="shared" si="287"/>
        <v>#DIV/0!</v>
      </c>
      <c r="AN232" s="407" t="e">
        <f t="shared" si="288"/>
        <v>#DIV/0!</v>
      </c>
      <c r="AO232" s="407" t="e">
        <f t="shared" si="289"/>
        <v>#DIV/0!</v>
      </c>
      <c r="AP232" s="407" t="e">
        <f t="shared" si="290"/>
        <v>#DIV/0!</v>
      </c>
      <c r="AQ232" s="407" t="e">
        <f t="shared" si="291"/>
        <v>#DIV/0!</v>
      </c>
      <c r="AR232" s="407">
        <f t="shared" si="292"/>
        <v>-1</v>
      </c>
      <c r="AS232" s="407">
        <f t="shared" si="293"/>
        <v>-1</v>
      </c>
      <c r="AT232" s="407">
        <f t="shared" si="294"/>
        <v>-1</v>
      </c>
      <c r="AU232" s="407">
        <f t="shared" si="295"/>
        <v>-1</v>
      </c>
      <c r="AV232" s="407">
        <f t="shared" si="296"/>
        <v>-1</v>
      </c>
      <c r="AW232" s="407">
        <f t="shared" si="297"/>
        <v>-1</v>
      </c>
    </row>
    <row r="233" spans="1:49" x14ac:dyDescent="0.25">
      <c r="A233" s="335">
        <v>2143</v>
      </c>
      <c r="B233" s="336" t="s">
        <v>825</v>
      </c>
      <c r="C233" s="365">
        <f>+C234</f>
        <v>0</v>
      </c>
      <c r="D233" s="365">
        <f t="shared" si="348"/>
        <v>0</v>
      </c>
      <c r="E233" s="365">
        <f t="shared" si="348"/>
        <v>0</v>
      </c>
      <c r="F233" s="365">
        <f t="shared" si="348"/>
        <v>81466480.730000004</v>
      </c>
      <c r="G233" s="365">
        <f t="shared" si="348"/>
        <v>81466480.730000004</v>
      </c>
      <c r="H233" s="365">
        <f t="shared" si="349"/>
        <v>0</v>
      </c>
      <c r="I233" s="365">
        <f t="shared" si="349"/>
        <v>0</v>
      </c>
      <c r="J233" s="365">
        <f t="shared" si="349"/>
        <v>0</v>
      </c>
      <c r="K233" s="365">
        <f t="shared" si="349"/>
        <v>0</v>
      </c>
      <c r="L233" s="365">
        <f t="shared" si="349"/>
        <v>0</v>
      </c>
      <c r="M233" s="365">
        <f t="shared" si="349"/>
        <v>0</v>
      </c>
      <c r="N233" s="365">
        <f t="shared" si="349"/>
        <v>13577746.788333334</v>
      </c>
      <c r="O233" s="365">
        <f t="shared" si="349"/>
        <v>13577746.788333334</v>
      </c>
      <c r="P233" s="365">
        <f t="shared" si="349"/>
        <v>13577746.788333334</v>
      </c>
      <c r="Q233" s="365">
        <f t="shared" si="349"/>
        <v>13577746.788333334</v>
      </c>
      <c r="R233" s="365">
        <f t="shared" si="349"/>
        <v>13577746.788333334</v>
      </c>
      <c r="S233" s="365">
        <f t="shared" si="349"/>
        <v>13577746.788333334</v>
      </c>
      <c r="T233" s="365">
        <f t="shared" si="349"/>
        <v>0</v>
      </c>
      <c r="U233" s="416">
        <f t="shared" si="309"/>
        <v>67888733.941666663</v>
      </c>
      <c r="V233" s="365">
        <f t="shared" si="349"/>
        <v>81466480.729999989</v>
      </c>
      <c r="W233" s="396">
        <f t="shared" si="298"/>
        <v>81466480.730000004</v>
      </c>
      <c r="X233" s="396">
        <f t="shared" si="299"/>
        <v>0</v>
      </c>
      <c r="Y233" s="396"/>
      <c r="Z233" s="55"/>
      <c r="AA233" s="210"/>
      <c r="AB233" s="205">
        <v>0</v>
      </c>
      <c r="AC233" s="205">
        <v>0</v>
      </c>
      <c r="AD233" s="205">
        <v>0</v>
      </c>
      <c r="AE233" s="205">
        <v>0</v>
      </c>
      <c r="AF233" s="205">
        <v>0</v>
      </c>
      <c r="AG233" s="205">
        <v>0</v>
      </c>
      <c r="AH233" s="365">
        <v>0</v>
      </c>
      <c r="AI233" s="365">
        <v>0</v>
      </c>
      <c r="AJ233" s="365">
        <v>0</v>
      </c>
      <c r="AK233" s="205">
        <f t="shared" si="307"/>
        <v>0</v>
      </c>
      <c r="AL233" s="386"/>
      <c r="AM233" s="407" t="e">
        <f t="shared" si="287"/>
        <v>#DIV/0!</v>
      </c>
      <c r="AN233" s="407" t="e">
        <f t="shared" si="288"/>
        <v>#DIV/0!</v>
      </c>
      <c r="AO233" s="407" t="e">
        <f t="shared" si="289"/>
        <v>#DIV/0!</v>
      </c>
      <c r="AP233" s="407" t="e">
        <f t="shared" si="290"/>
        <v>#DIV/0!</v>
      </c>
      <c r="AQ233" s="407" t="e">
        <f t="shared" si="291"/>
        <v>#DIV/0!</v>
      </c>
      <c r="AR233" s="407">
        <f t="shared" si="292"/>
        <v>-1</v>
      </c>
      <c r="AS233" s="407">
        <f t="shared" si="293"/>
        <v>-1</v>
      </c>
      <c r="AT233" s="407">
        <f t="shared" si="294"/>
        <v>-1</v>
      </c>
      <c r="AU233" s="407">
        <f t="shared" si="295"/>
        <v>-1</v>
      </c>
      <c r="AV233" s="407">
        <f t="shared" si="296"/>
        <v>-1</v>
      </c>
      <c r="AW233" s="407">
        <f t="shared" si="297"/>
        <v>-1</v>
      </c>
    </row>
    <row r="234" spans="1:49" x14ac:dyDescent="0.25">
      <c r="A234" s="339">
        <v>21431</v>
      </c>
      <c r="B234" s="340" t="s">
        <v>826</v>
      </c>
      <c r="C234" s="367">
        <f>+C235</f>
        <v>0</v>
      </c>
      <c r="D234" s="367">
        <f t="shared" si="348"/>
        <v>0</v>
      </c>
      <c r="E234" s="367">
        <f t="shared" si="348"/>
        <v>0</v>
      </c>
      <c r="F234" s="367">
        <f t="shared" si="348"/>
        <v>81466480.730000004</v>
      </c>
      <c r="G234" s="367">
        <f t="shared" si="348"/>
        <v>81466480.730000004</v>
      </c>
      <c r="H234" s="367">
        <f t="shared" si="349"/>
        <v>0</v>
      </c>
      <c r="I234" s="367">
        <f t="shared" si="349"/>
        <v>0</v>
      </c>
      <c r="J234" s="367">
        <f t="shared" si="349"/>
        <v>0</v>
      </c>
      <c r="K234" s="367">
        <f t="shared" si="349"/>
        <v>0</v>
      </c>
      <c r="L234" s="367">
        <f t="shared" si="349"/>
        <v>0</v>
      </c>
      <c r="M234" s="367">
        <f t="shared" si="349"/>
        <v>0</v>
      </c>
      <c r="N234" s="367">
        <f t="shared" si="349"/>
        <v>13577746.788333334</v>
      </c>
      <c r="O234" s="367">
        <f t="shared" si="349"/>
        <v>13577746.788333334</v>
      </c>
      <c r="P234" s="367">
        <f t="shared" si="349"/>
        <v>13577746.788333334</v>
      </c>
      <c r="Q234" s="367">
        <f t="shared" si="349"/>
        <v>13577746.788333334</v>
      </c>
      <c r="R234" s="367">
        <f t="shared" si="349"/>
        <v>13577746.788333334</v>
      </c>
      <c r="S234" s="367">
        <f t="shared" si="349"/>
        <v>13577746.788333334</v>
      </c>
      <c r="T234" s="367">
        <f t="shared" si="349"/>
        <v>0</v>
      </c>
      <c r="U234" s="418">
        <f t="shared" si="309"/>
        <v>67888733.941666663</v>
      </c>
      <c r="V234" s="367">
        <f t="shared" si="349"/>
        <v>81466480.729999989</v>
      </c>
      <c r="W234" s="396">
        <f t="shared" si="298"/>
        <v>81466480.730000004</v>
      </c>
      <c r="X234" s="396">
        <f t="shared" si="299"/>
        <v>0</v>
      </c>
      <c r="Y234" s="396"/>
      <c r="Z234" s="55"/>
      <c r="AA234" s="210"/>
      <c r="AB234" s="209">
        <v>0</v>
      </c>
      <c r="AC234" s="209">
        <v>0</v>
      </c>
      <c r="AD234" s="209">
        <v>0</v>
      </c>
      <c r="AE234" s="209">
        <v>0</v>
      </c>
      <c r="AF234" s="209">
        <v>0</v>
      </c>
      <c r="AG234" s="209">
        <v>0</v>
      </c>
      <c r="AH234" s="367">
        <v>0</v>
      </c>
      <c r="AI234" s="367">
        <v>0</v>
      </c>
      <c r="AJ234" s="367">
        <v>0</v>
      </c>
      <c r="AK234" s="209">
        <f t="shared" si="307"/>
        <v>0</v>
      </c>
      <c r="AL234" s="387"/>
      <c r="AM234" s="405" t="e">
        <f t="shared" si="287"/>
        <v>#DIV/0!</v>
      </c>
      <c r="AN234" s="405" t="e">
        <f t="shared" si="288"/>
        <v>#DIV/0!</v>
      </c>
      <c r="AO234" s="405" t="e">
        <f t="shared" si="289"/>
        <v>#DIV/0!</v>
      </c>
      <c r="AP234" s="405" t="e">
        <f t="shared" si="290"/>
        <v>#DIV/0!</v>
      </c>
      <c r="AQ234" s="405" t="e">
        <f t="shared" si="291"/>
        <v>#DIV/0!</v>
      </c>
      <c r="AR234" s="405">
        <f t="shared" si="292"/>
        <v>-1</v>
      </c>
      <c r="AS234" s="405">
        <f t="shared" si="293"/>
        <v>-1</v>
      </c>
      <c r="AT234" s="405">
        <f t="shared" si="294"/>
        <v>-1</v>
      </c>
      <c r="AU234" s="405">
        <f t="shared" si="295"/>
        <v>-1</v>
      </c>
      <c r="AV234" s="405">
        <f t="shared" si="296"/>
        <v>-1</v>
      </c>
      <c r="AW234" s="405">
        <f t="shared" si="297"/>
        <v>-1</v>
      </c>
    </row>
    <row r="235" spans="1:49" x14ac:dyDescent="0.25">
      <c r="A235" s="341">
        <v>2143101</v>
      </c>
      <c r="B235" s="342" t="s">
        <v>827</v>
      </c>
      <c r="C235" s="368"/>
      <c r="D235" s="368">
        <v>0</v>
      </c>
      <c r="E235" s="368">
        <v>0</v>
      </c>
      <c r="F235" s="368">
        <f>81466420.73+60</f>
        <v>81466480.730000004</v>
      </c>
      <c r="G235" s="368">
        <f t="shared" ref="G235" si="350">+C235+D235-E235+F235</f>
        <v>81466480.730000004</v>
      </c>
      <c r="H235" s="176"/>
      <c r="I235" s="210"/>
      <c r="J235" s="210"/>
      <c r="K235" s="210"/>
      <c r="L235" s="210"/>
      <c r="M235" s="210"/>
      <c r="N235" s="210">
        <v>13577746.788333334</v>
      </c>
      <c r="O235" s="210">
        <v>13577746.788333334</v>
      </c>
      <c r="P235" s="210">
        <v>13577746.788333334</v>
      </c>
      <c r="Q235" s="210">
        <v>13577746.788333334</v>
      </c>
      <c r="R235" s="210">
        <v>13577746.788333334</v>
      </c>
      <c r="S235" s="210">
        <v>13577746.788333334</v>
      </c>
      <c r="T235" s="210"/>
      <c r="U235" s="412">
        <f t="shared" si="309"/>
        <v>67888733.941666663</v>
      </c>
      <c r="V235" s="58">
        <f t="shared" si="214"/>
        <v>81466480.729999989</v>
      </c>
      <c r="W235" s="396">
        <f t="shared" si="298"/>
        <v>81466480.730000004</v>
      </c>
      <c r="X235" s="396">
        <f t="shared" si="299"/>
        <v>0</v>
      </c>
      <c r="Y235" s="396">
        <f>+X235/6</f>
        <v>0</v>
      </c>
      <c r="Z235" s="55"/>
      <c r="AA235" s="210"/>
      <c r="AB235" s="210">
        <v>0</v>
      </c>
      <c r="AC235" s="210">
        <v>0</v>
      </c>
      <c r="AD235" s="210">
        <v>0</v>
      </c>
      <c r="AE235" s="210">
        <v>0</v>
      </c>
      <c r="AF235" s="210">
        <v>0</v>
      </c>
      <c r="AG235" s="210">
        <v>0</v>
      </c>
      <c r="AH235" s="368">
        <v>0</v>
      </c>
      <c r="AI235" s="368">
        <v>0</v>
      </c>
      <c r="AJ235" s="368">
        <v>0</v>
      </c>
      <c r="AK235" s="210">
        <f t="shared" si="307"/>
        <v>0</v>
      </c>
      <c r="AL235" s="386"/>
      <c r="AM235" s="404" t="e">
        <f t="shared" si="287"/>
        <v>#DIV/0!</v>
      </c>
      <c r="AN235" s="404" t="e">
        <f t="shared" si="288"/>
        <v>#DIV/0!</v>
      </c>
      <c r="AO235" s="404" t="e">
        <f t="shared" si="289"/>
        <v>#DIV/0!</v>
      </c>
      <c r="AP235" s="404" t="e">
        <f t="shared" si="290"/>
        <v>#DIV/0!</v>
      </c>
      <c r="AQ235" s="404" t="e">
        <f t="shared" si="291"/>
        <v>#DIV/0!</v>
      </c>
      <c r="AR235" s="404">
        <f t="shared" si="292"/>
        <v>-1</v>
      </c>
      <c r="AS235" s="404">
        <f t="shared" si="293"/>
        <v>-1</v>
      </c>
      <c r="AT235" s="404">
        <f t="shared" si="294"/>
        <v>-1</v>
      </c>
      <c r="AU235" s="404">
        <f t="shared" si="295"/>
        <v>-1</v>
      </c>
      <c r="AV235" s="404">
        <f t="shared" si="296"/>
        <v>-1</v>
      </c>
      <c r="AW235" s="404">
        <f t="shared" si="297"/>
        <v>-1</v>
      </c>
    </row>
    <row r="236" spans="1:49" x14ac:dyDescent="0.25">
      <c r="A236" s="335">
        <v>217</v>
      </c>
      <c r="B236" s="336" t="s">
        <v>99</v>
      </c>
      <c r="C236" s="365">
        <f>+C237</f>
        <v>4366488983</v>
      </c>
      <c r="D236" s="365">
        <f t="shared" ref="D236:G236" si="351">+D237</f>
        <v>0</v>
      </c>
      <c r="E236" s="365">
        <f t="shared" si="351"/>
        <v>0</v>
      </c>
      <c r="F236" s="365">
        <f t="shared" si="351"/>
        <v>0</v>
      </c>
      <c r="G236" s="365">
        <f t="shared" si="351"/>
        <v>4366488983</v>
      </c>
      <c r="H236" s="54">
        <f>+H237</f>
        <v>4366488983</v>
      </c>
      <c r="I236" s="204">
        <f t="shared" ref="I236:V236" si="352">+I237</f>
        <v>0</v>
      </c>
      <c r="J236" s="204">
        <f t="shared" si="352"/>
        <v>4366488983</v>
      </c>
      <c r="K236" s="204">
        <f t="shared" si="352"/>
        <v>0</v>
      </c>
      <c r="L236" s="204">
        <f t="shared" si="352"/>
        <v>0</v>
      </c>
      <c r="M236" s="204">
        <f t="shared" si="352"/>
        <v>0</v>
      </c>
      <c r="N236" s="204">
        <f t="shared" si="352"/>
        <v>0</v>
      </c>
      <c r="O236" s="204">
        <f t="shared" si="352"/>
        <v>0</v>
      </c>
      <c r="P236" s="204">
        <f t="shared" si="352"/>
        <v>0</v>
      </c>
      <c r="Q236" s="204">
        <f t="shared" si="352"/>
        <v>0</v>
      </c>
      <c r="R236" s="204">
        <f t="shared" si="352"/>
        <v>0</v>
      </c>
      <c r="S236" s="204">
        <f t="shared" si="352"/>
        <v>0</v>
      </c>
      <c r="T236" s="204">
        <f t="shared" si="352"/>
        <v>0</v>
      </c>
      <c r="U236" s="415">
        <f t="shared" si="309"/>
        <v>4366488983</v>
      </c>
      <c r="V236" s="54">
        <f t="shared" si="352"/>
        <v>4366488983</v>
      </c>
      <c r="W236" s="396">
        <f t="shared" si="298"/>
        <v>4366488983</v>
      </c>
      <c r="X236" s="396">
        <f t="shared" si="299"/>
        <v>0</v>
      </c>
      <c r="Y236" s="396"/>
      <c r="Z236" s="55"/>
      <c r="AA236" s="204">
        <v>0</v>
      </c>
      <c r="AB236" s="205">
        <v>4079214982</v>
      </c>
      <c r="AC236" s="205">
        <v>57691478</v>
      </c>
      <c r="AD236" s="205">
        <v>0</v>
      </c>
      <c r="AE236" s="205">
        <v>9037535</v>
      </c>
      <c r="AF236" s="205">
        <v>0</v>
      </c>
      <c r="AG236" s="205">
        <v>1749701</v>
      </c>
      <c r="AH236" s="365">
        <v>0</v>
      </c>
      <c r="AI236" s="365">
        <v>56824642</v>
      </c>
      <c r="AJ236" s="365">
        <v>13680114</v>
      </c>
      <c r="AK236" s="205">
        <f t="shared" si="307"/>
        <v>4218198452</v>
      </c>
      <c r="AL236" s="387"/>
      <c r="AM236" s="407" t="e">
        <f t="shared" si="287"/>
        <v>#DIV/0!</v>
      </c>
      <c r="AN236" s="407">
        <f t="shared" si="288"/>
        <v>-6.5790616240746391E-2</v>
      </c>
      <c r="AO236" s="407" t="e">
        <f t="shared" si="289"/>
        <v>#DIV/0!</v>
      </c>
      <c r="AP236" s="407" t="e">
        <f t="shared" si="290"/>
        <v>#DIV/0!</v>
      </c>
      <c r="AQ236" s="407" t="e">
        <f t="shared" si="291"/>
        <v>#DIV/0!</v>
      </c>
      <c r="AR236" s="407" t="e">
        <f t="shared" si="292"/>
        <v>#DIV/0!</v>
      </c>
      <c r="AS236" s="407" t="e">
        <f t="shared" si="293"/>
        <v>#DIV/0!</v>
      </c>
      <c r="AT236" s="407" t="e">
        <f t="shared" si="294"/>
        <v>#DIV/0!</v>
      </c>
      <c r="AU236" s="407" t="e">
        <f t="shared" si="295"/>
        <v>#DIV/0!</v>
      </c>
      <c r="AV236" s="407" t="e">
        <f t="shared" si="296"/>
        <v>#DIV/0!</v>
      </c>
      <c r="AW236" s="407" t="e">
        <f t="shared" si="297"/>
        <v>#DIV/0!</v>
      </c>
    </row>
    <row r="237" spans="1:49" s="70" customFormat="1" x14ac:dyDescent="0.25">
      <c r="A237" s="341">
        <v>2171</v>
      </c>
      <c r="B237" s="342" t="s">
        <v>615</v>
      </c>
      <c r="C237" s="368">
        <v>4366488983</v>
      </c>
      <c r="D237" s="368">
        <v>0</v>
      </c>
      <c r="E237" s="368">
        <v>0</v>
      </c>
      <c r="F237" s="368">
        <v>0</v>
      </c>
      <c r="G237" s="368">
        <f t="shared" ref="G237" si="353">+C237+D237-E237+F237</f>
        <v>4366488983</v>
      </c>
      <c r="H237" s="59">
        <v>4366488983</v>
      </c>
      <c r="I237" s="210"/>
      <c r="J237" s="210">
        <v>4366488983</v>
      </c>
      <c r="K237" s="210"/>
      <c r="L237" s="210"/>
      <c r="M237" s="210"/>
      <c r="N237" s="210"/>
      <c r="O237" s="210"/>
      <c r="P237" s="210"/>
      <c r="Q237" s="210"/>
      <c r="R237" s="210"/>
      <c r="S237" s="210"/>
      <c r="T237" s="210"/>
      <c r="U237" s="412">
        <f t="shared" si="309"/>
        <v>4366488983</v>
      </c>
      <c r="V237" s="58">
        <f t="shared" si="214"/>
        <v>4366488983</v>
      </c>
      <c r="W237" s="396">
        <f t="shared" si="298"/>
        <v>4366488983</v>
      </c>
      <c r="X237" s="396">
        <f t="shared" si="299"/>
        <v>0</v>
      </c>
      <c r="Y237" s="396"/>
      <c r="Z237" s="53"/>
      <c r="AA237" s="210">
        <v>0</v>
      </c>
      <c r="AB237" s="210">
        <v>4079214982</v>
      </c>
      <c r="AC237" s="210">
        <v>57691478</v>
      </c>
      <c r="AD237" s="210">
        <v>0</v>
      </c>
      <c r="AE237" s="210">
        <v>9037535</v>
      </c>
      <c r="AF237" s="210">
        <v>0</v>
      </c>
      <c r="AG237" s="210">
        <v>1749701</v>
      </c>
      <c r="AH237" s="368">
        <v>0</v>
      </c>
      <c r="AI237" s="368">
        <v>56824642</v>
      </c>
      <c r="AJ237" s="368">
        <v>13680114</v>
      </c>
      <c r="AK237" s="210">
        <f t="shared" si="307"/>
        <v>4218198452</v>
      </c>
      <c r="AL237" s="386"/>
      <c r="AM237" s="404" t="e">
        <f t="shared" si="287"/>
        <v>#DIV/0!</v>
      </c>
      <c r="AN237" s="404">
        <f t="shared" si="288"/>
        <v>-6.5790616240746391E-2</v>
      </c>
      <c r="AO237" s="404" t="e">
        <f t="shared" si="289"/>
        <v>#DIV/0!</v>
      </c>
      <c r="AP237" s="404" t="e">
        <f t="shared" si="290"/>
        <v>#DIV/0!</v>
      </c>
      <c r="AQ237" s="404" t="e">
        <f t="shared" si="291"/>
        <v>#DIV/0!</v>
      </c>
      <c r="AR237" s="404" t="e">
        <f t="shared" si="292"/>
        <v>#DIV/0!</v>
      </c>
      <c r="AS237" s="404" t="e">
        <f t="shared" si="293"/>
        <v>#DIV/0!</v>
      </c>
      <c r="AT237" s="404" t="e">
        <f t="shared" si="294"/>
        <v>#DIV/0!</v>
      </c>
      <c r="AU237" s="404" t="e">
        <f t="shared" si="295"/>
        <v>#DIV/0!</v>
      </c>
      <c r="AV237" s="404" t="e">
        <f t="shared" si="296"/>
        <v>#DIV/0!</v>
      </c>
      <c r="AW237" s="404" t="e">
        <f t="shared" si="297"/>
        <v>#DIV/0!</v>
      </c>
    </row>
    <row r="238" spans="1:49" ht="30" x14ac:dyDescent="0.25">
      <c r="A238" s="335">
        <v>218</v>
      </c>
      <c r="B238" s="336" t="s">
        <v>100</v>
      </c>
      <c r="C238" s="365">
        <f>+C239</f>
        <v>748133878</v>
      </c>
      <c r="D238" s="365">
        <f t="shared" ref="D238:G238" si="354">+D239</f>
        <v>20312351</v>
      </c>
      <c r="E238" s="365">
        <f t="shared" si="354"/>
        <v>358775800</v>
      </c>
      <c r="F238" s="365">
        <f t="shared" si="354"/>
        <v>0</v>
      </c>
      <c r="G238" s="365">
        <f t="shared" si="354"/>
        <v>409670429</v>
      </c>
      <c r="H238" s="365">
        <f t="shared" ref="H238:V238" si="355">+H239</f>
        <v>748133878</v>
      </c>
      <c r="I238" s="365">
        <f t="shared" si="355"/>
        <v>92700136.166666672</v>
      </c>
      <c r="J238" s="365">
        <f t="shared" si="355"/>
        <v>26890866.666666668</v>
      </c>
      <c r="K238" s="365">
        <f t="shared" si="355"/>
        <v>1666666.6666666667</v>
      </c>
      <c r="L238" s="365">
        <f t="shared" si="355"/>
        <v>1666666.6666666667</v>
      </c>
      <c r="M238" s="365">
        <f t="shared" si="355"/>
        <v>92700136.166666672</v>
      </c>
      <c r="N238" s="365">
        <f t="shared" si="355"/>
        <v>1666666.6666666667</v>
      </c>
      <c r="O238" s="365">
        <f t="shared" si="355"/>
        <v>1666666.6666666667</v>
      </c>
      <c r="P238" s="365">
        <f t="shared" si="355"/>
        <v>1979017.6666666667</v>
      </c>
      <c r="Q238" s="365">
        <f t="shared" si="355"/>
        <v>92700136.166666672</v>
      </c>
      <c r="R238" s="365">
        <f t="shared" si="355"/>
        <v>1666666.6666666667</v>
      </c>
      <c r="S238" s="365">
        <f t="shared" si="355"/>
        <v>1666666.6666666667</v>
      </c>
      <c r="T238" s="365">
        <f t="shared" si="355"/>
        <v>92700136.166666672</v>
      </c>
      <c r="U238" s="416">
        <f t="shared" si="309"/>
        <v>315303626.16666669</v>
      </c>
      <c r="V238" s="365">
        <f t="shared" si="355"/>
        <v>409670429</v>
      </c>
      <c r="W238" s="396">
        <f t="shared" si="298"/>
        <v>409670429</v>
      </c>
      <c r="X238" s="396">
        <f t="shared" si="299"/>
        <v>0</v>
      </c>
      <c r="Y238" s="396"/>
      <c r="Z238" s="55"/>
      <c r="AA238" s="205">
        <f>+AA239</f>
        <v>85167552</v>
      </c>
      <c r="AB238" s="205">
        <f t="shared" ref="AB238:AG238" si="356">+AB239</f>
        <v>0</v>
      </c>
      <c r="AC238" s="205">
        <f t="shared" si="356"/>
        <v>61755703</v>
      </c>
      <c r="AD238" s="205">
        <f t="shared" si="356"/>
        <v>0</v>
      </c>
      <c r="AE238" s="205">
        <f t="shared" si="356"/>
        <v>120907204</v>
      </c>
      <c r="AF238" s="205">
        <f t="shared" si="356"/>
        <v>369000</v>
      </c>
      <c r="AG238" s="205">
        <f t="shared" si="356"/>
        <v>122524708</v>
      </c>
      <c r="AH238" s="365">
        <v>2690801</v>
      </c>
      <c r="AI238" s="365">
        <v>1670229</v>
      </c>
      <c r="AJ238" s="365">
        <v>8027808</v>
      </c>
      <c r="AK238" s="205">
        <f t="shared" si="307"/>
        <v>403113005</v>
      </c>
      <c r="AL238" s="386"/>
      <c r="AM238" s="407">
        <f t="shared" si="287"/>
        <v>-8.1257530766985595E-2</v>
      </c>
      <c r="AN238" s="407">
        <f t="shared" si="288"/>
        <v>-1</v>
      </c>
      <c r="AO238" s="407">
        <f t="shared" si="289"/>
        <v>36.053421800000002</v>
      </c>
      <c r="AP238" s="407">
        <f t="shared" si="290"/>
        <v>-1</v>
      </c>
      <c r="AQ238" s="407">
        <f t="shared" si="291"/>
        <v>0.30428291693789433</v>
      </c>
      <c r="AR238" s="407">
        <f t="shared" si="292"/>
        <v>-0.77859999999999996</v>
      </c>
      <c r="AS238" s="407">
        <f t="shared" si="293"/>
        <v>72.5148248</v>
      </c>
      <c r="AT238" s="407">
        <f t="shared" si="294"/>
        <v>0.35966497183030027</v>
      </c>
      <c r="AU238" s="407">
        <f t="shared" si="295"/>
        <v>-0.98198245365036918</v>
      </c>
      <c r="AV238" s="407">
        <f t="shared" si="296"/>
        <v>3.8166847999999995</v>
      </c>
      <c r="AW238" s="407">
        <f t="shared" si="297"/>
        <v>240.86780299999998</v>
      </c>
    </row>
    <row r="239" spans="1:49" x14ac:dyDescent="0.25">
      <c r="A239" s="335">
        <v>2181</v>
      </c>
      <c r="B239" s="336" t="s">
        <v>101</v>
      </c>
      <c r="C239" s="365">
        <f>+C240+C242+C245</f>
        <v>748133878</v>
      </c>
      <c r="D239" s="365">
        <f t="shared" ref="D239:G239" si="357">+D240+D242+D245</f>
        <v>20312351</v>
      </c>
      <c r="E239" s="365">
        <f t="shared" si="357"/>
        <v>358775800</v>
      </c>
      <c r="F239" s="365">
        <f t="shared" si="357"/>
        <v>0</v>
      </c>
      <c r="G239" s="365">
        <f t="shared" si="357"/>
        <v>409670429</v>
      </c>
      <c r="H239" s="365">
        <f t="shared" ref="H239:V239" si="358">+H240+H242+H245</f>
        <v>748133878</v>
      </c>
      <c r="I239" s="365">
        <f t="shared" si="358"/>
        <v>92700136.166666672</v>
      </c>
      <c r="J239" s="365">
        <f t="shared" si="358"/>
        <v>26890866.666666668</v>
      </c>
      <c r="K239" s="365">
        <f t="shared" si="358"/>
        <v>1666666.6666666667</v>
      </c>
      <c r="L239" s="365">
        <f t="shared" si="358"/>
        <v>1666666.6666666667</v>
      </c>
      <c r="M239" s="365">
        <f t="shared" si="358"/>
        <v>92700136.166666672</v>
      </c>
      <c r="N239" s="365">
        <f t="shared" si="358"/>
        <v>1666666.6666666667</v>
      </c>
      <c r="O239" s="365">
        <f t="shared" si="358"/>
        <v>1666666.6666666667</v>
      </c>
      <c r="P239" s="365">
        <f t="shared" si="358"/>
        <v>1979017.6666666667</v>
      </c>
      <c r="Q239" s="365">
        <f t="shared" si="358"/>
        <v>92700136.166666672</v>
      </c>
      <c r="R239" s="365">
        <f t="shared" si="358"/>
        <v>1666666.6666666667</v>
      </c>
      <c r="S239" s="365">
        <f t="shared" si="358"/>
        <v>1666666.6666666667</v>
      </c>
      <c r="T239" s="365">
        <f t="shared" si="358"/>
        <v>92700136.166666672</v>
      </c>
      <c r="U239" s="416">
        <f t="shared" si="309"/>
        <v>315303626.16666669</v>
      </c>
      <c r="V239" s="365">
        <f t="shared" si="358"/>
        <v>409670429</v>
      </c>
      <c r="W239" s="396">
        <f t="shared" si="298"/>
        <v>409670429</v>
      </c>
      <c r="X239" s="396">
        <f t="shared" si="299"/>
        <v>0</v>
      </c>
      <c r="Y239" s="396"/>
      <c r="Z239" s="55"/>
      <c r="AA239" s="205">
        <f>+AA240+AA242+AA245</f>
        <v>85167552</v>
      </c>
      <c r="AB239" s="205">
        <f t="shared" ref="AB239:AG239" si="359">+AB240+AB242+AB245</f>
        <v>0</v>
      </c>
      <c r="AC239" s="205">
        <f t="shared" si="359"/>
        <v>61755703</v>
      </c>
      <c r="AD239" s="205">
        <f t="shared" si="359"/>
        <v>0</v>
      </c>
      <c r="AE239" s="205">
        <f t="shared" si="359"/>
        <v>120907204</v>
      </c>
      <c r="AF239" s="205">
        <f t="shared" si="359"/>
        <v>369000</v>
      </c>
      <c r="AG239" s="205">
        <f t="shared" si="359"/>
        <v>122524708</v>
      </c>
      <c r="AH239" s="365">
        <v>2690801</v>
      </c>
      <c r="AI239" s="365">
        <v>1670229</v>
      </c>
      <c r="AJ239" s="365">
        <v>8027808</v>
      </c>
      <c r="AK239" s="205">
        <f t="shared" si="307"/>
        <v>403113005</v>
      </c>
      <c r="AL239" s="386"/>
      <c r="AM239" s="407">
        <f t="shared" si="287"/>
        <v>-8.1257530766985595E-2</v>
      </c>
      <c r="AN239" s="407">
        <f t="shared" si="288"/>
        <v>-1</v>
      </c>
      <c r="AO239" s="407">
        <f t="shared" si="289"/>
        <v>36.053421800000002</v>
      </c>
      <c r="AP239" s="407">
        <f t="shared" si="290"/>
        <v>-1</v>
      </c>
      <c r="AQ239" s="407">
        <f t="shared" si="291"/>
        <v>0.30428291693789433</v>
      </c>
      <c r="AR239" s="407">
        <f t="shared" si="292"/>
        <v>-0.77859999999999996</v>
      </c>
      <c r="AS239" s="407">
        <f t="shared" si="293"/>
        <v>72.5148248</v>
      </c>
      <c r="AT239" s="407">
        <f t="shared" si="294"/>
        <v>0.35966497183030027</v>
      </c>
      <c r="AU239" s="407">
        <f t="shared" si="295"/>
        <v>-0.98198245365036918</v>
      </c>
      <c r="AV239" s="407">
        <f t="shared" si="296"/>
        <v>3.8166847999999995</v>
      </c>
      <c r="AW239" s="407">
        <f t="shared" si="297"/>
        <v>240.86780299999998</v>
      </c>
    </row>
    <row r="240" spans="1:49" x14ac:dyDescent="0.25">
      <c r="A240" s="339">
        <v>21811</v>
      </c>
      <c r="B240" s="340" t="s">
        <v>102</v>
      </c>
      <c r="C240" s="367">
        <f>+C241</f>
        <v>384000000</v>
      </c>
      <c r="D240" s="367">
        <f t="shared" ref="D240:G240" si="360">+D241</f>
        <v>0</v>
      </c>
      <c r="E240" s="367">
        <f t="shared" si="360"/>
        <v>358775800</v>
      </c>
      <c r="F240" s="367">
        <f t="shared" si="360"/>
        <v>0</v>
      </c>
      <c r="G240" s="367">
        <f t="shared" si="360"/>
        <v>25224200</v>
      </c>
      <c r="H240" s="367">
        <f t="shared" ref="H240:V240" si="361">+H241</f>
        <v>384000000</v>
      </c>
      <c r="I240" s="367">
        <f t="shared" si="361"/>
        <v>0</v>
      </c>
      <c r="J240" s="367">
        <f t="shared" si="361"/>
        <v>25224200</v>
      </c>
      <c r="K240" s="367">
        <f t="shared" si="361"/>
        <v>0</v>
      </c>
      <c r="L240" s="367">
        <f t="shared" si="361"/>
        <v>0</v>
      </c>
      <c r="M240" s="367">
        <f t="shared" si="361"/>
        <v>0</v>
      </c>
      <c r="N240" s="367">
        <f t="shared" si="361"/>
        <v>0</v>
      </c>
      <c r="O240" s="367">
        <f t="shared" si="361"/>
        <v>0</v>
      </c>
      <c r="P240" s="367">
        <f t="shared" si="361"/>
        <v>0</v>
      </c>
      <c r="Q240" s="367">
        <f t="shared" si="361"/>
        <v>0</v>
      </c>
      <c r="R240" s="367">
        <f t="shared" si="361"/>
        <v>0</v>
      </c>
      <c r="S240" s="367">
        <f t="shared" si="361"/>
        <v>0</v>
      </c>
      <c r="T240" s="367">
        <f t="shared" si="361"/>
        <v>0</v>
      </c>
      <c r="U240" s="418">
        <f t="shared" si="309"/>
        <v>25224200</v>
      </c>
      <c r="V240" s="367">
        <f t="shared" si="361"/>
        <v>25224200</v>
      </c>
      <c r="W240" s="396">
        <f t="shared" si="298"/>
        <v>25224200</v>
      </c>
      <c r="X240" s="396">
        <f t="shared" si="299"/>
        <v>0</v>
      </c>
      <c r="Y240" s="396"/>
      <c r="Z240" s="55"/>
      <c r="AA240" s="208">
        <v>24724200</v>
      </c>
      <c r="AB240" s="209">
        <v>0</v>
      </c>
      <c r="AC240" s="209">
        <v>500000</v>
      </c>
      <c r="AD240" s="209">
        <v>0</v>
      </c>
      <c r="AE240" s="209">
        <v>0</v>
      </c>
      <c r="AF240" s="209">
        <v>0</v>
      </c>
      <c r="AG240" s="209">
        <v>0</v>
      </c>
      <c r="AH240" s="367">
        <v>0</v>
      </c>
      <c r="AI240" s="367">
        <v>0</v>
      </c>
      <c r="AJ240" s="367">
        <v>0</v>
      </c>
      <c r="AK240" s="209">
        <f t="shared" si="307"/>
        <v>25224200</v>
      </c>
      <c r="AL240" s="387"/>
      <c r="AM240" s="405" t="e">
        <f t="shared" si="287"/>
        <v>#DIV/0!</v>
      </c>
      <c r="AN240" s="405">
        <f t="shared" si="288"/>
        <v>-1</v>
      </c>
      <c r="AO240" s="405" t="e">
        <f t="shared" si="289"/>
        <v>#DIV/0!</v>
      </c>
      <c r="AP240" s="405" t="e">
        <f t="shared" si="290"/>
        <v>#DIV/0!</v>
      </c>
      <c r="AQ240" s="405" t="e">
        <f t="shared" si="291"/>
        <v>#DIV/0!</v>
      </c>
      <c r="AR240" s="405" t="e">
        <f t="shared" si="292"/>
        <v>#DIV/0!</v>
      </c>
      <c r="AS240" s="405" t="e">
        <f t="shared" si="293"/>
        <v>#DIV/0!</v>
      </c>
      <c r="AT240" s="405" t="e">
        <f t="shared" si="294"/>
        <v>#DIV/0!</v>
      </c>
      <c r="AU240" s="405" t="e">
        <f t="shared" si="295"/>
        <v>#DIV/0!</v>
      </c>
      <c r="AV240" s="405" t="e">
        <f t="shared" si="296"/>
        <v>#DIV/0!</v>
      </c>
      <c r="AW240" s="405" t="e">
        <f t="shared" si="297"/>
        <v>#DIV/0!</v>
      </c>
    </row>
    <row r="241" spans="1:49" s="70" customFormat="1" x14ac:dyDescent="0.25">
      <c r="A241" s="341">
        <v>218111</v>
      </c>
      <c r="B241" s="342" t="s">
        <v>616</v>
      </c>
      <c r="C241" s="368">
        <v>384000000</v>
      </c>
      <c r="D241" s="368">
        <v>0</v>
      </c>
      <c r="E241" s="368">
        <f>275000000+83775800</f>
        <v>358775800</v>
      </c>
      <c r="F241" s="368">
        <v>0</v>
      </c>
      <c r="G241" s="368">
        <f t="shared" ref="G241" si="362">+C241+D241-E241+F241</f>
        <v>25224200</v>
      </c>
      <c r="H241" s="59">
        <v>384000000</v>
      </c>
      <c r="I241" s="210"/>
      <c r="J241" s="210">
        <v>25224200</v>
      </c>
      <c r="K241" s="210"/>
      <c r="L241" s="210"/>
      <c r="M241" s="210"/>
      <c r="N241" s="210"/>
      <c r="O241" s="210"/>
      <c r="P241" s="210"/>
      <c r="Q241" s="210"/>
      <c r="R241" s="210"/>
      <c r="S241" s="210"/>
      <c r="T241" s="210"/>
      <c r="U241" s="412">
        <f t="shared" si="309"/>
        <v>25224200</v>
      </c>
      <c r="V241" s="58">
        <f t="shared" si="214"/>
        <v>25224200</v>
      </c>
      <c r="W241" s="396">
        <f t="shared" si="298"/>
        <v>25224200</v>
      </c>
      <c r="X241" s="396">
        <f t="shared" si="299"/>
        <v>0</v>
      </c>
      <c r="Y241" s="396"/>
      <c r="Z241" s="55"/>
      <c r="AA241" s="210">
        <v>24724200</v>
      </c>
      <c r="AB241" s="210">
        <v>0</v>
      </c>
      <c r="AC241" s="210">
        <v>500000</v>
      </c>
      <c r="AD241" s="210">
        <v>0</v>
      </c>
      <c r="AE241" s="210">
        <v>0</v>
      </c>
      <c r="AF241" s="210">
        <v>0</v>
      </c>
      <c r="AG241" s="210">
        <v>0</v>
      </c>
      <c r="AH241" s="368">
        <v>0</v>
      </c>
      <c r="AI241" s="368">
        <v>0</v>
      </c>
      <c r="AJ241" s="368">
        <v>0</v>
      </c>
      <c r="AK241" s="210">
        <f t="shared" si="307"/>
        <v>25224200</v>
      </c>
      <c r="AL241" s="386"/>
      <c r="AM241" s="404" t="e">
        <f t="shared" si="287"/>
        <v>#DIV/0!</v>
      </c>
      <c r="AN241" s="404">
        <f t="shared" si="288"/>
        <v>-1</v>
      </c>
      <c r="AO241" s="404" t="e">
        <f t="shared" si="289"/>
        <v>#DIV/0!</v>
      </c>
      <c r="AP241" s="404" t="e">
        <f t="shared" si="290"/>
        <v>#DIV/0!</v>
      </c>
      <c r="AQ241" s="404" t="e">
        <f t="shared" si="291"/>
        <v>#DIV/0!</v>
      </c>
      <c r="AR241" s="404" t="e">
        <f t="shared" si="292"/>
        <v>#DIV/0!</v>
      </c>
      <c r="AS241" s="404" t="e">
        <f t="shared" si="293"/>
        <v>#DIV/0!</v>
      </c>
      <c r="AT241" s="404" t="e">
        <f t="shared" si="294"/>
        <v>#DIV/0!</v>
      </c>
      <c r="AU241" s="404" t="e">
        <f t="shared" si="295"/>
        <v>#DIV/0!</v>
      </c>
      <c r="AV241" s="404" t="e">
        <f t="shared" si="296"/>
        <v>#DIV/0!</v>
      </c>
      <c r="AW241" s="404" t="e">
        <f t="shared" si="297"/>
        <v>#DIV/0!</v>
      </c>
    </row>
    <row r="242" spans="1:49" x14ac:dyDescent="0.25">
      <c r="A242" s="339">
        <v>21812</v>
      </c>
      <c r="B242" s="340" t="s">
        <v>103</v>
      </c>
      <c r="C242" s="367">
        <f>+C243+C244</f>
        <v>364133878</v>
      </c>
      <c r="D242" s="367">
        <f t="shared" ref="D242:G242" si="363">+D243+D244</f>
        <v>20000000</v>
      </c>
      <c r="E242" s="367">
        <f t="shared" si="363"/>
        <v>0</v>
      </c>
      <c r="F242" s="367">
        <f t="shared" si="363"/>
        <v>0</v>
      </c>
      <c r="G242" s="367">
        <f t="shared" si="363"/>
        <v>384133878</v>
      </c>
      <c r="H242" s="367">
        <f t="shared" ref="H242:V242" si="364">+H243+H244</f>
        <v>364133878</v>
      </c>
      <c r="I242" s="367">
        <f t="shared" si="364"/>
        <v>92700136.166666672</v>
      </c>
      <c r="J242" s="367">
        <f t="shared" si="364"/>
        <v>1666666.6666666667</v>
      </c>
      <c r="K242" s="367">
        <f t="shared" si="364"/>
        <v>1666666.6666666667</v>
      </c>
      <c r="L242" s="367">
        <f t="shared" si="364"/>
        <v>1666666.6666666667</v>
      </c>
      <c r="M242" s="367">
        <f t="shared" si="364"/>
        <v>92700136.166666672</v>
      </c>
      <c r="N242" s="367">
        <f t="shared" si="364"/>
        <v>1666666.6666666667</v>
      </c>
      <c r="O242" s="367">
        <f t="shared" si="364"/>
        <v>1666666.6666666667</v>
      </c>
      <c r="P242" s="367">
        <f t="shared" si="364"/>
        <v>1666666.6666666667</v>
      </c>
      <c r="Q242" s="367">
        <f t="shared" si="364"/>
        <v>92700136.166666672</v>
      </c>
      <c r="R242" s="367">
        <f t="shared" si="364"/>
        <v>1666666.6666666667</v>
      </c>
      <c r="S242" s="367">
        <f t="shared" si="364"/>
        <v>1666666.6666666667</v>
      </c>
      <c r="T242" s="367">
        <f t="shared" si="364"/>
        <v>92700136.166666672</v>
      </c>
      <c r="U242" s="418">
        <f t="shared" si="309"/>
        <v>289767075.16666669</v>
      </c>
      <c r="V242" s="367">
        <f t="shared" si="364"/>
        <v>384133878</v>
      </c>
      <c r="W242" s="396">
        <f t="shared" si="298"/>
        <v>384133878</v>
      </c>
      <c r="X242" s="396">
        <f t="shared" si="299"/>
        <v>0</v>
      </c>
      <c r="Y242" s="396"/>
      <c r="Z242" s="55"/>
      <c r="AA242" s="209">
        <f>+AA243+AA244</f>
        <v>60443352</v>
      </c>
      <c r="AB242" s="209">
        <f t="shared" ref="AB242:AG242" si="365">+AB243+AB244</f>
        <v>0</v>
      </c>
      <c r="AC242" s="209">
        <f t="shared" si="365"/>
        <v>60943352</v>
      </c>
      <c r="AD242" s="209">
        <f t="shared" si="365"/>
        <v>0</v>
      </c>
      <c r="AE242" s="209">
        <f t="shared" si="365"/>
        <v>120907204</v>
      </c>
      <c r="AF242" s="209">
        <f t="shared" si="365"/>
        <v>369000</v>
      </c>
      <c r="AG242" s="209">
        <f t="shared" si="365"/>
        <v>122524708</v>
      </c>
      <c r="AH242" s="367">
        <v>2690801</v>
      </c>
      <c r="AI242" s="367">
        <v>1670229</v>
      </c>
      <c r="AJ242" s="367">
        <v>8027808</v>
      </c>
      <c r="AK242" s="209">
        <f t="shared" si="307"/>
        <v>377576454</v>
      </c>
      <c r="AL242" s="387"/>
      <c r="AM242" s="405">
        <f t="shared" si="287"/>
        <v>-0.34796911310542</v>
      </c>
      <c r="AN242" s="405">
        <f t="shared" si="288"/>
        <v>-1</v>
      </c>
      <c r="AO242" s="405">
        <f t="shared" si="289"/>
        <v>35.566011199999998</v>
      </c>
      <c r="AP242" s="405">
        <f t="shared" si="290"/>
        <v>-1</v>
      </c>
      <c r="AQ242" s="405">
        <f t="shared" si="291"/>
        <v>0.30428291693789433</v>
      </c>
      <c r="AR242" s="405">
        <f t="shared" si="292"/>
        <v>-0.77859999999999996</v>
      </c>
      <c r="AS242" s="405">
        <f t="shared" si="293"/>
        <v>72.5148248</v>
      </c>
      <c r="AT242" s="405">
        <f t="shared" si="294"/>
        <v>0.61448059999999993</v>
      </c>
      <c r="AU242" s="405">
        <f t="shared" si="295"/>
        <v>-0.98198245365036918</v>
      </c>
      <c r="AV242" s="405">
        <f t="shared" si="296"/>
        <v>3.8166847999999995</v>
      </c>
      <c r="AW242" s="405">
        <f t="shared" si="297"/>
        <v>225.54587239999998</v>
      </c>
    </row>
    <row r="243" spans="1:49" x14ac:dyDescent="0.25">
      <c r="A243" s="341">
        <v>2181202</v>
      </c>
      <c r="B243" s="342" t="s">
        <v>828</v>
      </c>
      <c r="C243" s="368"/>
      <c r="D243" s="368">
        <v>20000000</v>
      </c>
      <c r="E243" s="368">
        <v>0</v>
      </c>
      <c r="F243" s="368">
        <v>0</v>
      </c>
      <c r="G243" s="368">
        <f t="shared" ref="G243:G245" si="366">+C243+D243-E243+F243</f>
        <v>20000000</v>
      </c>
      <c r="H243" s="175"/>
      <c r="I243" s="208">
        <v>1666666.6666666667</v>
      </c>
      <c r="J243" s="208">
        <v>1666666.6666666667</v>
      </c>
      <c r="K243" s="208">
        <v>1666666.6666666667</v>
      </c>
      <c r="L243" s="208">
        <v>1666666.6666666667</v>
      </c>
      <c r="M243" s="208">
        <v>1666666.6666666667</v>
      </c>
      <c r="N243" s="208">
        <v>1666666.6666666667</v>
      </c>
      <c r="O243" s="208">
        <v>1666666.6666666667</v>
      </c>
      <c r="P243" s="208">
        <v>1666666.6666666667</v>
      </c>
      <c r="Q243" s="208">
        <v>1666666.6666666667</v>
      </c>
      <c r="R243" s="208">
        <v>1666666.6666666667</v>
      </c>
      <c r="S243" s="208">
        <v>1666666.6666666667</v>
      </c>
      <c r="T243" s="208">
        <v>1666666.6666666667</v>
      </c>
      <c r="U243" s="413">
        <f t="shared" si="309"/>
        <v>16666666.666666664</v>
      </c>
      <c r="V243" s="58">
        <f t="shared" si="214"/>
        <v>20000000</v>
      </c>
      <c r="W243" s="396">
        <f t="shared" si="298"/>
        <v>20000000</v>
      </c>
      <c r="X243" s="396">
        <f t="shared" si="299"/>
        <v>0</v>
      </c>
      <c r="Y243" s="396">
        <f>+X243/12</f>
        <v>0</v>
      </c>
      <c r="Z243" s="55"/>
      <c r="AA243" s="208"/>
      <c r="AB243" s="210">
        <v>0</v>
      </c>
      <c r="AC243" s="210">
        <v>500000</v>
      </c>
      <c r="AD243" s="210">
        <v>0</v>
      </c>
      <c r="AE243" s="210">
        <v>20500</v>
      </c>
      <c r="AF243" s="210">
        <v>369000</v>
      </c>
      <c r="AG243" s="210">
        <v>1674000</v>
      </c>
      <c r="AH243" s="368">
        <v>2690801</v>
      </c>
      <c r="AI243" s="368">
        <v>1670229</v>
      </c>
      <c r="AJ243" s="368">
        <v>8027808</v>
      </c>
      <c r="AK243" s="210">
        <f t="shared" si="307"/>
        <v>14952338</v>
      </c>
      <c r="AL243" s="387"/>
      <c r="AM243" s="404">
        <f t="shared" si="287"/>
        <v>-1</v>
      </c>
      <c r="AN243" s="404">
        <f t="shared" si="288"/>
        <v>-1</v>
      </c>
      <c r="AO243" s="404">
        <f t="shared" si="289"/>
        <v>-0.70000000000000007</v>
      </c>
      <c r="AP243" s="404">
        <f t="shared" si="290"/>
        <v>-1</v>
      </c>
      <c r="AQ243" s="404">
        <f t="shared" si="291"/>
        <v>-0.98770000000000002</v>
      </c>
      <c r="AR243" s="404">
        <f t="shared" si="292"/>
        <v>-0.77859999999999996</v>
      </c>
      <c r="AS243" s="404">
        <f t="shared" si="293"/>
        <v>4.3999999999999534E-3</v>
      </c>
      <c r="AT243" s="404">
        <f t="shared" si="294"/>
        <v>0.61448059999999993</v>
      </c>
      <c r="AU243" s="404">
        <f t="shared" si="295"/>
        <v>2.1373999999999534E-3</v>
      </c>
      <c r="AV243" s="404">
        <f t="shared" si="296"/>
        <v>3.8166847999999995</v>
      </c>
      <c r="AW243" s="404">
        <f t="shared" si="297"/>
        <v>7.9714027999999999</v>
      </c>
    </row>
    <row r="244" spans="1:49" x14ac:dyDescent="0.25">
      <c r="A244" s="341">
        <v>218121</v>
      </c>
      <c r="B244" s="342" t="s">
        <v>617</v>
      </c>
      <c r="C244" s="368">
        <v>364133878</v>
      </c>
      <c r="D244" s="368">
        <v>0</v>
      </c>
      <c r="E244" s="368">
        <v>0</v>
      </c>
      <c r="F244" s="368">
        <v>0</v>
      </c>
      <c r="G244" s="368">
        <f t="shared" si="366"/>
        <v>364133878</v>
      </c>
      <c r="H244" s="59">
        <v>364133878</v>
      </c>
      <c r="I244" s="210">
        <f>+H244/4</f>
        <v>91033469.5</v>
      </c>
      <c r="J244" s="210"/>
      <c r="K244" s="210"/>
      <c r="L244" s="210"/>
      <c r="M244" s="210">
        <v>91033469.5</v>
      </c>
      <c r="N244" s="210"/>
      <c r="O244" s="210"/>
      <c r="P244" s="210"/>
      <c r="Q244" s="210">
        <v>91033469.5</v>
      </c>
      <c r="R244" s="210"/>
      <c r="S244" s="210"/>
      <c r="T244" s="210">
        <v>91033469.5</v>
      </c>
      <c r="U244" s="412">
        <f t="shared" si="309"/>
        <v>273100408.5</v>
      </c>
      <c r="V244" s="58">
        <f>SUM(I244:T244)</f>
        <v>364133878</v>
      </c>
      <c r="W244" s="396">
        <f t="shared" si="298"/>
        <v>364133878</v>
      </c>
      <c r="X244" s="396">
        <f t="shared" si="299"/>
        <v>0</v>
      </c>
      <c r="Y244" s="396"/>
      <c r="Z244" s="55"/>
      <c r="AA244" s="210">
        <v>60443352</v>
      </c>
      <c r="AB244" s="210">
        <v>0</v>
      </c>
      <c r="AC244" s="210">
        <v>60443352</v>
      </c>
      <c r="AD244" s="210">
        <v>0</v>
      </c>
      <c r="AE244" s="210">
        <v>120886704</v>
      </c>
      <c r="AF244" s="210">
        <v>0</v>
      </c>
      <c r="AG244" s="210">
        <v>120850708</v>
      </c>
      <c r="AH244" s="368">
        <v>0</v>
      </c>
      <c r="AI244" s="368">
        <v>0</v>
      </c>
      <c r="AJ244" s="368">
        <v>0</v>
      </c>
      <c r="AK244" s="210">
        <f t="shared" si="307"/>
        <v>362624116</v>
      </c>
      <c r="AL244" s="387"/>
      <c r="AM244" s="404">
        <f t="shared" si="287"/>
        <v>-0.33603154606778995</v>
      </c>
      <c r="AN244" s="404" t="e">
        <f t="shared" si="288"/>
        <v>#DIV/0!</v>
      </c>
      <c r="AO244" s="404" t="e">
        <f t="shared" si="289"/>
        <v>#DIV/0!</v>
      </c>
      <c r="AP244" s="404" t="e">
        <f t="shared" si="290"/>
        <v>#DIV/0!</v>
      </c>
      <c r="AQ244" s="404">
        <f t="shared" si="291"/>
        <v>0.32793690786442015</v>
      </c>
      <c r="AR244" s="404" t="e">
        <f t="shared" si="292"/>
        <v>#DIV/0!</v>
      </c>
      <c r="AS244" s="404" t="e">
        <f t="shared" si="293"/>
        <v>#DIV/0!</v>
      </c>
      <c r="AT244" s="404" t="e">
        <f t="shared" si="294"/>
        <v>#DIV/0!</v>
      </c>
      <c r="AU244" s="404">
        <f t="shared" si="295"/>
        <v>-1</v>
      </c>
      <c r="AV244" s="404" t="e">
        <f t="shared" si="296"/>
        <v>#DIV/0!</v>
      </c>
      <c r="AW244" s="404" t="e">
        <f t="shared" si="297"/>
        <v>#DIV/0!</v>
      </c>
    </row>
    <row r="245" spans="1:49" x14ac:dyDescent="0.25">
      <c r="A245" s="341">
        <v>21813</v>
      </c>
      <c r="B245" s="342" t="s">
        <v>856</v>
      </c>
      <c r="C245" s="368"/>
      <c r="D245" s="368">
        <v>312351</v>
      </c>
      <c r="E245" s="368">
        <v>0</v>
      </c>
      <c r="F245" s="368">
        <v>0</v>
      </c>
      <c r="G245" s="368">
        <f t="shared" si="366"/>
        <v>312351</v>
      </c>
      <c r="H245" s="176"/>
      <c r="I245" s="210"/>
      <c r="J245" s="210"/>
      <c r="K245" s="210"/>
      <c r="L245" s="210"/>
      <c r="M245" s="210"/>
      <c r="N245" s="210"/>
      <c r="O245" s="210"/>
      <c r="P245" s="210">
        <v>312351</v>
      </c>
      <c r="Q245" s="210"/>
      <c r="R245" s="210"/>
      <c r="S245" s="210"/>
      <c r="T245" s="210"/>
      <c r="U245" s="412">
        <f t="shared" si="309"/>
        <v>312351</v>
      </c>
      <c r="V245" s="58">
        <f t="shared" si="214"/>
        <v>312351</v>
      </c>
      <c r="W245" s="396">
        <f t="shared" si="298"/>
        <v>312351</v>
      </c>
      <c r="X245" s="396">
        <f t="shared" si="299"/>
        <v>0</v>
      </c>
      <c r="Y245" s="396"/>
      <c r="Z245" s="55"/>
      <c r="AA245" s="210"/>
      <c r="AB245" s="210"/>
      <c r="AC245" s="210">
        <v>312351</v>
      </c>
      <c r="AD245" s="210">
        <v>0</v>
      </c>
      <c r="AE245" s="210">
        <v>0</v>
      </c>
      <c r="AF245" s="210">
        <v>0</v>
      </c>
      <c r="AG245" s="210">
        <v>0</v>
      </c>
      <c r="AH245" s="368">
        <v>0</v>
      </c>
      <c r="AI245" s="368">
        <v>0</v>
      </c>
      <c r="AJ245" s="368">
        <v>0</v>
      </c>
      <c r="AK245" s="210">
        <f t="shared" si="307"/>
        <v>312351</v>
      </c>
      <c r="AL245" s="386"/>
      <c r="AM245" s="404" t="e">
        <f t="shared" si="287"/>
        <v>#DIV/0!</v>
      </c>
      <c r="AN245" s="404" t="e">
        <f t="shared" si="288"/>
        <v>#DIV/0!</v>
      </c>
      <c r="AO245" s="404" t="e">
        <f t="shared" si="289"/>
        <v>#DIV/0!</v>
      </c>
      <c r="AP245" s="404" t="e">
        <f t="shared" si="290"/>
        <v>#DIV/0!</v>
      </c>
      <c r="AQ245" s="404" t="e">
        <f t="shared" si="291"/>
        <v>#DIV/0!</v>
      </c>
      <c r="AR245" s="404" t="e">
        <f t="shared" si="292"/>
        <v>#DIV/0!</v>
      </c>
      <c r="AS245" s="404" t="e">
        <f t="shared" si="293"/>
        <v>#DIV/0!</v>
      </c>
      <c r="AT245" s="404">
        <f t="shared" si="294"/>
        <v>-1</v>
      </c>
      <c r="AU245" s="404" t="e">
        <f t="shared" si="295"/>
        <v>#DIV/0!</v>
      </c>
      <c r="AV245" s="404" t="e">
        <f t="shared" si="296"/>
        <v>#DIV/0!</v>
      </c>
      <c r="AW245" s="404" t="e">
        <f t="shared" si="297"/>
        <v>#DIV/0!</v>
      </c>
    </row>
    <row r="246" spans="1:49" s="70" customFormat="1" x14ac:dyDescent="0.25">
      <c r="A246" s="335">
        <v>23</v>
      </c>
      <c r="B246" s="336" t="s">
        <v>104</v>
      </c>
      <c r="C246" s="365">
        <f>+C247+C276+C314+C319+C331+C407</f>
        <v>10950809240</v>
      </c>
      <c r="D246" s="365">
        <f t="shared" ref="D246:AK246" si="367">+D247+D276+D314+D319+D331+D407</f>
        <v>8979378326</v>
      </c>
      <c r="E246" s="365">
        <f t="shared" si="367"/>
        <v>8775378326</v>
      </c>
      <c r="F246" s="365">
        <f t="shared" si="367"/>
        <v>28834994807.510002</v>
      </c>
      <c r="G246" s="365">
        <f t="shared" si="367"/>
        <v>39989804047.510002</v>
      </c>
      <c r="H246" s="365">
        <f t="shared" si="367"/>
        <v>23771289902.810001</v>
      </c>
      <c r="I246" s="365">
        <f t="shared" si="367"/>
        <v>900032613.16666675</v>
      </c>
      <c r="J246" s="365">
        <f t="shared" si="367"/>
        <v>1620817388.331212</v>
      </c>
      <c r="K246" s="365">
        <f t="shared" si="367"/>
        <v>3221280222.3612123</v>
      </c>
      <c r="L246" s="365">
        <f t="shared" si="367"/>
        <v>3088505154.8056569</v>
      </c>
      <c r="M246" s="365">
        <f t="shared" si="367"/>
        <v>2749505154.8056564</v>
      </c>
      <c r="N246" s="365">
        <f t="shared" si="367"/>
        <v>2477005154.8056564</v>
      </c>
      <c r="O246" s="365">
        <f t="shared" si="367"/>
        <v>3410484101.7173233</v>
      </c>
      <c r="P246" s="365">
        <f t="shared" si="367"/>
        <v>5183742085.7773228</v>
      </c>
      <c r="Q246" s="365">
        <f t="shared" si="367"/>
        <v>3499061305.7773228</v>
      </c>
      <c r="R246" s="365">
        <f t="shared" si="367"/>
        <v>4660361876.4739895</v>
      </c>
      <c r="S246" s="365">
        <f t="shared" si="367"/>
        <v>5062069270.4439898</v>
      </c>
      <c r="T246" s="365">
        <f t="shared" si="367"/>
        <v>4116939719.1839895</v>
      </c>
      <c r="U246" s="416">
        <f t="shared" si="309"/>
        <v>30810795058.022018</v>
      </c>
      <c r="V246" s="365">
        <f t="shared" si="367"/>
        <v>39989804047.650002</v>
      </c>
      <c r="W246" s="365">
        <f t="shared" si="367"/>
        <v>39989804047.510002</v>
      </c>
      <c r="X246" s="365">
        <f t="shared" si="367"/>
        <v>-0.14000056684017181</v>
      </c>
      <c r="Y246" s="365">
        <f t="shared" si="367"/>
        <v>181082307.66666666</v>
      </c>
      <c r="Z246" s="365">
        <f t="shared" si="367"/>
        <v>0</v>
      </c>
      <c r="AA246" s="365">
        <f t="shared" si="367"/>
        <v>78134749</v>
      </c>
      <c r="AB246" s="365">
        <f t="shared" si="367"/>
        <v>247402273</v>
      </c>
      <c r="AC246" s="365">
        <f t="shared" si="367"/>
        <v>549993577</v>
      </c>
      <c r="AD246" s="365">
        <f t="shared" si="367"/>
        <v>597654879.88</v>
      </c>
      <c r="AE246" s="365">
        <f t="shared" si="367"/>
        <v>343162386</v>
      </c>
      <c r="AF246" s="365">
        <f t="shared" si="367"/>
        <v>971358494.70000005</v>
      </c>
      <c r="AG246" s="365">
        <f t="shared" si="367"/>
        <v>1573809598.3899999</v>
      </c>
      <c r="AH246" s="365">
        <f t="shared" si="367"/>
        <v>1203763395.0999999</v>
      </c>
      <c r="AI246" s="365">
        <f t="shared" si="367"/>
        <v>2017097116</v>
      </c>
      <c r="AJ246" s="365">
        <f t="shared" si="367"/>
        <v>1895548118.71</v>
      </c>
      <c r="AK246" s="365">
        <f t="shared" si="367"/>
        <v>9477924587.7800007</v>
      </c>
      <c r="AL246" s="402"/>
      <c r="AM246" s="400">
        <f t="shared" si="287"/>
        <v>-0.91318675806080918</v>
      </c>
      <c r="AN246" s="400">
        <f t="shared" si="288"/>
        <v>-0.84735956389589051</v>
      </c>
      <c r="AO246" s="400">
        <f t="shared" si="289"/>
        <v>-0.82926242393254057</v>
      </c>
      <c r="AP246" s="400">
        <f t="shared" si="290"/>
        <v>-0.80649056746754655</v>
      </c>
      <c r="AQ246" s="400">
        <f t="shared" si="291"/>
        <v>-0.87519121926350574</v>
      </c>
      <c r="AR246" s="400">
        <f t="shared" si="292"/>
        <v>-0.60784962727450931</v>
      </c>
      <c r="AS246" s="400">
        <f t="shared" si="293"/>
        <v>-0.53853777016655202</v>
      </c>
      <c r="AT246" s="400">
        <f t="shared" si="294"/>
        <v>-0.76778100160446339</v>
      </c>
      <c r="AU246" s="400">
        <f t="shared" si="295"/>
        <v>-0.42353193050102955</v>
      </c>
      <c r="AV246" s="400">
        <f t="shared" si="296"/>
        <v>-0.59326160307873688</v>
      </c>
      <c r="AW246" s="400">
        <f t="shared" si="297"/>
        <v>0.87234193793414838</v>
      </c>
    </row>
    <row r="247" spans="1:49" x14ac:dyDescent="0.25">
      <c r="A247" s="335">
        <v>231</v>
      </c>
      <c r="B247" s="336" t="s">
        <v>105</v>
      </c>
      <c r="C247" s="365">
        <f>+C248+C251+C255+C271+C274</f>
        <v>4085000000</v>
      </c>
      <c r="D247" s="365">
        <f t="shared" ref="D247:AK247" si="368">+D248+D251+D255+D271+D274</f>
        <v>703452900</v>
      </c>
      <c r="E247" s="365">
        <f t="shared" si="368"/>
        <v>1254000000</v>
      </c>
      <c r="F247" s="365">
        <f t="shared" si="368"/>
        <v>13730067173</v>
      </c>
      <c r="G247" s="365">
        <f t="shared" si="368"/>
        <v>17264520073</v>
      </c>
      <c r="H247" s="365">
        <f t="shared" si="368"/>
        <v>4485000000</v>
      </c>
      <c r="I247" s="365">
        <f t="shared" si="368"/>
        <v>639583333.33333337</v>
      </c>
      <c r="J247" s="365">
        <f t="shared" si="368"/>
        <v>64583333.333333328</v>
      </c>
      <c r="K247" s="365">
        <f t="shared" si="368"/>
        <v>1675255290.3333333</v>
      </c>
      <c r="L247" s="365">
        <f t="shared" si="368"/>
        <v>1935255290.3333333</v>
      </c>
      <c r="M247" s="365">
        <f t="shared" si="368"/>
        <v>1701255290.3333333</v>
      </c>
      <c r="N247" s="365">
        <f t="shared" si="368"/>
        <v>1445255290.3333333</v>
      </c>
      <c r="O247" s="365">
        <f t="shared" si="368"/>
        <v>1395255290.3333333</v>
      </c>
      <c r="P247" s="365">
        <f t="shared" si="368"/>
        <v>1445255290.3333333</v>
      </c>
      <c r="Q247" s="365">
        <f t="shared" si="368"/>
        <v>1395255290.3333333</v>
      </c>
      <c r="R247" s="365">
        <f t="shared" si="368"/>
        <v>1945255290.3333333</v>
      </c>
      <c r="S247" s="365">
        <f t="shared" si="368"/>
        <v>2177055793.333333</v>
      </c>
      <c r="T247" s="365">
        <f t="shared" si="368"/>
        <v>1445255290.3333333</v>
      </c>
      <c r="U247" s="416">
        <f t="shared" si="309"/>
        <v>13642208989.333334</v>
      </c>
      <c r="V247" s="365">
        <f t="shared" si="368"/>
        <v>17264520073</v>
      </c>
      <c r="W247" s="365">
        <f t="shared" si="368"/>
        <v>17264520073</v>
      </c>
      <c r="X247" s="365">
        <f t="shared" si="368"/>
        <v>0</v>
      </c>
      <c r="Y247" s="365">
        <f t="shared" si="368"/>
        <v>0</v>
      </c>
      <c r="Z247" s="365">
        <f t="shared" si="368"/>
        <v>0</v>
      </c>
      <c r="AA247" s="365">
        <f t="shared" si="368"/>
        <v>65344249</v>
      </c>
      <c r="AB247" s="365">
        <f t="shared" si="368"/>
        <v>140506251</v>
      </c>
      <c r="AC247" s="365">
        <f t="shared" si="368"/>
        <v>223466375</v>
      </c>
      <c r="AD247" s="365">
        <f t="shared" si="368"/>
        <v>416836290.77999997</v>
      </c>
      <c r="AE247" s="365">
        <f t="shared" si="368"/>
        <v>241960357</v>
      </c>
      <c r="AF247" s="365">
        <f t="shared" si="368"/>
        <v>230976720</v>
      </c>
      <c r="AG247" s="365">
        <f t="shared" si="368"/>
        <v>611748359</v>
      </c>
      <c r="AH247" s="365">
        <f t="shared" si="368"/>
        <v>478292742</v>
      </c>
      <c r="AI247" s="365">
        <f t="shared" si="368"/>
        <v>953332377</v>
      </c>
      <c r="AJ247" s="365">
        <f t="shared" si="368"/>
        <v>920745975</v>
      </c>
      <c r="AK247" s="365">
        <f t="shared" si="368"/>
        <v>4283209695.7799997</v>
      </c>
      <c r="AL247" s="402"/>
      <c r="AM247" s="400">
        <f t="shared" si="287"/>
        <v>-0.89783309602605865</v>
      </c>
      <c r="AN247" s="400">
        <f t="shared" si="288"/>
        <v>1.1755806606451615</v>
      </c>
      <c r="AO247" s="400">
        <f t="shared" si="289"/>
        <v>-0.86660756943167994</v>
      </c>
      <c r="AP247" s="400">
        <f t="shared" si="290"/>
        <v>-0.78460914543827287</v>
      </c>
      <c r="AQ247" s="400">
        <f t="shared" si="291"/>
        <v>-0.8577753977461009</v>
      </c>
      <c r="AR247" s="400">
        <f t="shared" si="292"/>
        <v>-0.84018275418543698</v>
      </c>
      <c r="AS247" s="400">
        <f t="shared" si="293"/>
        <v>-0.5615509482470048</v>
      </c>
      <c r="AT247" s="400">
        <f t="shared" si="294"/>
        <v>-0.66906003029424188</v>
      </c>
      <c r="AU247" s="400">
        <f t="shared" si="295"/>
        <v>-0.3167326555900431</v>
      </c>
      <c r="AV247" s="400">
        <f t="shared" si="296"/>
        <v>-0.52667087987087613</v>
      </c>
      <c r="AW247" s="400">
        <f t="shared" si="297"/>
        <v>0.96743221230076648</v>
      </c>
    </row>
    <row r="248" spans="1:49" ht="30" x14ac:dyDescent="0.25">
      <c r="A248" s="335">
        <v>2311</v>
      </c>
      <c r="B248" s="336" t="s">
        <v>106</v>
      </c>
      <c r="C248" s="365">
        <f>+C249+C250</f>
        <v>515000000</v>
      </c>
      <c r="D248" s="365">
        <f t="shared" ref="D248:AK248" si="369">+D249+D250</f>
        <v>0</v>
      </c>
      <c r="E248" s="365">
        <f t="shared" si="369"/>
        <v>190000000</v>
      </c>
      <c r="F248" s="365">
        <f t="shared" si="369"/>
        <v>0</v>
      </c>
      <c r="G248" s="365">
        <f t="shared" si="369"/>
        <v>325000000</v>
      </c>
      <c r="H248" s="365">
        <f t="shared" si="369"/>
        <v>515000000</v>
      </c>
      <c r="I248" s="365">
        <f t="shared" si="369"/>
        <v>27083333.333333332</v>
      </c>
      <c r="J248" s="365">
        <f t="shared" si="369"/>
        <v>27083333.333333332</v>
      </c>
      <c r="K248" s="365">
        <f t="shared" si="369"/>
        <v>27083333.333333332</v>
      </c>
      <c r="L248" s="365">
        <f t="shared" si="369"/>
        <v>27083333.333333332</v>
      </c>
      <c r="M248" s="365">
        <f t="shared" si="369"/>
        <v>27083333.333333332</v>
      </c>
      <c r="N248" s="365">
        <f t="shared" si="369"/>
        <v>27083333.333333332</v>
      </c>
      <c r="O248" s="365">
        <f t="shared" si="369"/>
        <v>27083333.333333332</v>
      </c>
      <c r="P248" s="365">
        <f t="shared" si="369"/>
        <v>27083333.333333332</v>
      </c>
      <c r="Q248" s="365">
        <f t="shared" si="369"/>
        <v>27083333.333333332</v>
      </c>
      <c r="R248" s="365">
        <f t="shared" si="369"/>
        <v>27083333.333333332</v>
      </c>
      <c r="S248" s="365">
        <f t="shared" si="369"/>
        <v>27083333.333333332</v>
      </c>
      <c r="T248" s="365">
        <f t="shared" si="369"/>
        <v>27083333.333333332</v>
      </c>
      <c r="U248" s="416">
        <f t="shared" si="309"/>
        <v>270833333.33333337</v>
      </c>
      <c r="V248" s="365">
        <f t="shared" si="369"/>
        <v>325000000</v>
      </c>
      <c r="W248" s="365">
        <f t="shared" si="369"/>
        <v>325000000</v>
      </c>
      <c r="X248" s="365">
        <f t="shared" si="369"/>
        <v>0</v>
      </c>
      <c r="Y248" s="365">
        <f t="shared" si="369"/>
        <v>0</v>
      </c>
      <c r="Z248" s="365">
        <f t="shared" si="369"/>
        <v>0</v>
      </c>
      <c r="AA248" s="365">
        <f t="shared" si="369"/>
        <v>40704000</v>
      </c>
      <c r="AB248" s="365">
        <f t="shared" si="369"/>
        <v>3901347</v>
      </c>
      <c r="AC248" s="365">
        <f t="shared" si="369"/>
        <v>0</v>
      </c>
      <c r="AD248" s="365">
        <f t="shared" si="369"/>
        <v>0</v>
      </c>
      <c r="AE248" s="365">
        <f t="shared" si="369"/>
        <v>0</v>
      </c>
      <c r="AF248" s="365">
        <f t="shared" si="369"/>
        <v>0</v>
      </c>
      <c r="AG248" s="365">
        <f t="shared" si="369"/>
        <v>12581740</v>
      </c>
      <c r="AH248" s="365">
        <f t="shared" si="369"/>
        <v>4945819</v>
      </c>
      <c r="AI248" s="365">
        <f t="shared" si="369"/>
        <v>0</v>
      </c>
      <c r="AJ248" s="365">
        <f t="shared" si="369"/>
        <v>900000</v>
      </c>
      <c r="AK248" s="365">
        <f t="shared" si="369"/>
        <v>63032906</v>
      </c>
      <c r="AL248" s="402"/>
      <c r="AM248" s="400">
        <f t="shared" si="287"/>
        <v>0.50291692307692315</v>
      </c>
      <c r="AN248" s="400">
        <f t="shared" si="288"/>
        <v>-0.85595026461538459</v>
      </c>
      <c r="AO248" s="400">
        <f t="shared" si="289"/>
        <v>-1</v>
      </c>
      <c r="AP248" s="400">
        <f t="shared" si="290"/>
        <v>-1</v>
      </c>
      <c r="AQ248" s="400">
        <f t="shared" si="291"/>
        <v>-1</v>
      </c>
      <c r="AR248" s="400">
        <f t="shared" si="292"/>
        <v>-1</v>
      </c>
      <c r="AS248" s="400">
        <f t="shared" si="293"/>
        <v>-0.53544344615384609</v>
      </c>
      <c r="AT248" s="400">
        <f t="shared" si="294"/>
        <v>-0.81738514461538458</v>
      </c>
      <c r="AU248" s="400">
        <f t="shared" si="295"/>
        <v>-1</v>
      </c>
      <c r="AV248" s="400">
        <f t="shared" si="296"/>
        <v>-0.96676923076923071</v>
      </c>
      <c r="AW248" s="400">
        <f t="shared" si="297"/>
        <v>1.3273688369230772</v>
      </c>
    </row>
    <row r="249" spans="1:49" x14ac:dyDescent="0.25">
      <c r="A249" s="341">
        <v>23112</v>
      </c>
      <c r="B249" s="342" t="s">
        <v>618</v>
      </c>
      <c r="C249" s="368">
        <v>190000000</v>
      </c>
      <c r="D249" s="368">
        <v>0</v>
      </c>
      <c r="E249" s="368">
        <v>190000000</v>
      </c>
      <c r="F249" s="368">
        <v>0</v>
      </c>
      <c r="G249" s="368">
        <f t="shared" ref="G249:G250" si="370">+C249+D249-E249+F249</f>
        <v>0</v>
      </c>
      <c r="H249" s="59">
        <v>190000000</v>
      </c>
      <c r="I249" s="210"/>
      <c r="J249" s="210"/>
      <c r="K249" s="210"/>
      <c r="L249" s="210"/>
      <c r="M249" s="210"/>
      <c r="N249" s="210"/>
      <c r="O249" s="210"/>
      <c r="P249" s="210"/>
      <c r="Q249" s="210"/>
      <c r="R249" s="210"/>
      <c r="S249" s="210"/>
      <c r="T249" s="210"/>
      <c r="U249" s="412">
        <f t="shared" si="309"/>
        <v>0</v>
      </c>
      <c r="V249" s="58">
        <f>SUM(I249:T249)</f>
        <v>0</v>
      </c>
      <c r="W249" s="396">
        <f t="shared" si="298"/>
        <v>0</v>
      </c>
      <c r="X249" s="396">
        <f t="shared" si="299"/>
        <v>0</v>
      </c>
      <c r="Y249" s="396"/>
      <c r="Z249" s="55"/>
      <c r="AA249" s="210">
        <v>0</v>
      </c>
      <c r="AB249" s="210">
        <v>0</v>
      </c>
      <c r="AC249" s="210">
        <v>0</v>
      </c>
      <c r="AD249" s="210">
        <v>0</v>
      </c>
      <c r="AE249" s="210">
        <v>0</v>
      </c>
      <c r="AF249" s="210">
        <v>0</v>
      </c>
      <c r="AG249" s="210">
        <v>0</v>
      </c>
      <c r="AH249" s="368">
        <v>0</v>
      </c>
      <c r="AI249" s="368">
        <v>0</v>
      </c>
      <c r="AJ249" s="368">
        <v>0</v>
      </c>
      <c r="AK249" s="210">
        <f t="shared" si="307"/>
        <v>0</v>
      </c>
      <c r="AL249" s="387"/>
      <c r="AM249" s="404" t="e">
        <f t="shared" si="287"/>
        <v>#DIV/0!</v>
      </c>
      <c r="AN249" s="404" t="e">
        <f t="shared" si="288"/>
        <v>#DIV/0!</v>
      </c>
      <c r="AO249" s="404" t="e">
        <f t="shared" si="289"/>
        <v>#DIV/0!</v>
      </c>
      <c r="AP249" s="404" t="e">
        <f t="shared" si="290"/>
        <v>#DIV/0!</v>
      </c>
      <c r="AQ249" s="404" t="e">
        <f t="shared" si="291"/>
        <v>#DIV/0!</v>
      </c>
      <c r="AR249" s="404" t="e">
        <f t="shared" si="292"/>
        <v>#DIV/0!</v>
      </c>
      <c r="AS249" s="404" t="e">
        <f t="shared" si="293"/>
        <v>#DIV/0!</v>
      </c>
      <c r="AT249" s="404" t="e">
        <f t="shared" si="294"/>
        <v>#DIV/0!</v>
      </c>
      <c r="AU249" s="404" t="e">
        <f t="shared" si="295"/>
        <v>#DIV/0!</v>
      </c>
      <c r="AV249" s="404" t="e">
        <f t="shared" si="296"/>
        <v>#DIV/0!</v>
      </c>
      <c r="AW249" s="404" t="e">
        <f t="shared" si="297"/>
        <v>#DIV/0!</v>
      </c>
    </row>
    <row r="250" spans="1:49" x14ac:dyDescent="0.25">
      <c r="A250" s="341">
        <v>23113</v>
      </c>
      <c r="B250" s="342" t="s">
        <v>644</v>
      </c>
      <c r="C250" s="368">
        <v>325000000</v>
      </c>
      <c r="D250" s="368">
        <v>0</v>
      </c>
      <c r="E250" s="368">
        <v>0</v>
      </c>
      <c r="F250" s="368">
        <v>0</v>
      </c>
      <c r="G250" s="368">
        <f t="shared" si="370"/>
        <v>325000000</v>
      </c>
      <c r="H250" s="59">
        <v>325000000</v>
      </c>
      <c r="I250" s="210">
        <v>27083333.333333332</v>
      </c>
      <c r="J250" s="210">
        <v>27083333.333333332</v>
      </c>
      <c r="K250" s="210">
        <v>27083333.333333332</v>
      </c>
      <c r="L250" s="210">
        <v>27083333.333333332</v>
      </c>
      <c r="M250" s="210">
        <v>27083333.333333332</v>
      </c>
      <c r="N250" s="210">
        <v>27083333.333333332</v>
      </c>
      <c r="O250" s="210">
        <v>27083333.333333332</v>
      </c>
      <c r="P250" s="210">
        <v>27083333.333333332</v>
      </c>
      <c r="Q250" s="210">
        <v>27083333.333333332</v>
      </c>
      <c r="R250" s="210">
        <v>27083333.333333332</v>
      </c>
      <c r="S250" s="210">
        <v>27083333.333333332</v>
      </c>
      <c r="T250" s="210">
        <v>27083333.333333332</v>
      </c>
      <c r="U250" s="412">
        <f t="shared" si="309"/>
        <v>270833333.33333337</v>
      </c>
      <c r="V250" s="58">
        <f>SUM(I250:T250)</f>
        <v>325000000</v>
      </c>
      <c r="W250" s="396">
        <f t="shared" si="298"/>
        <v>325000000</v>
      </c>
      <c r="X250" s="396">
        <f t="shared" si="299"/>
        <v>0</v>
      </c>
      <c r="Y250" s="396"/>
      <c r="Z250" s="55"/>
      <c r="AA250" s="210">
        <v>40704000</v>
      </c>
      <c r="AB250" s="210">
        <v>3901347</v>
      </c>
      <c r="AC250" s="210">
        <v>0</v>
      </c>
      <c r="AD250" s="210">
        <v>0</v>
      </c>
      <c r="AE250" s="210">
        <v>0</v>
      </c>
      <c r="AF250" s="210">
        <v>0</v>
      </c>
      <c r="AG250" s="210">
        <v>12581740</v>
      </c>
      <c r="AH250" s="368">
        <v>4945819</v>
      </c>
      <c r="AI250" s="368">
        <v>0</v>
      </c>
      <c r="AJ250" s="368">
        <v>900000</v>
      </c>
      <c r="AK250" s="210">
        <f t="shared" si="307"/>
        <v>63032906</v>
      </c>
      <c r="AL250" s="386"/>
      <c r="AM250" s="404">
        <f t="shared" si="287"/>
        <v>0.50291692307692315</v>
      </c>
      <c r="AN250" s="404">
        <f t="shared" si="288"/>
        <v>-0.85595026461538459</v>
      </c>
      <c r="AO250" s="404">
        <f t="shared" si="289"/>
        <v>-1</v>
      </c>
      <c r="AP250" s="404">
        <f t="shared" si="290"/>
        <v>-1</v>
      </c>
      <c r="AQ250" s="404">
        <f t="shared" si="291"/>
        <v>-1</v>
      </c>
      <c r="AR250" s="404">
        <f t="shared" si="292"/>
        <v>-1</v>
      </c>
      <c r="AS250" s="404">
        <f t="shared" si="293"/>
        <v>-0.53544344615384609</v>
      </c>
      <c r="AT250" s="404">
        <f t="shared" si="294"/>
        <v>-0.81738514461538458</v>
      </c>
      <c r="AU250" s="404">
        <f t="shared" si="295"/>
        <v>-1</v>
      </c>
      <c r="AV250" s="404">
        <f t="shared" si="296"/>
        <v>-0.96676923076923071</v>
      </c>
      <c r="AW250" s="404">
        <f t="shared" si="297"/>
        <v>1.3273688369230772</v>
      </c>
    </row>
    <row r="251" spans="1:49" s="70" customFormat="1" x14ac:dyDescent="0.25">
      <c r="A251" s="335">
        <v>2312</v>
      </c>
      <c r="B251" s="336" t="s">
        <v>107</v>
      </c>
      <c r="C251" s="365">
        <f>+C252+C254</f>
        <v>1850000000</v>
      </c>
      <c r="D251" s="365">
        <f t="shared" ref="D251:G251" si="371">+D252+D254</f>
        <v>0</v>
      </c>
      <c r="E251" s="365">
        <f t="shared" si="371"/>
        <v>934000000</v>
      </c>
      <c r="F251" s="365">
        <f t="shared" si="371"/>
        <v>400000000</v>
      </c>
      <c r="G251" s="365">
        <f t="shared" si="371"/>
        <v>1316000000</v>
      </c>
      <c r="H251" s="61">
        <f>+H252+H254</f>
        <v>2250000000</v>
      </c>
      <c r="I251" s="204">
        <f t="shared" ref="I251:V251" si="372">+I252+I254</f>
        <v>140000000</v>
      </c>
      <c r="J251" s="204">
        <f t="shared" si="372"/>
        <v>15000000</v>
      </c>
      <c r="K251" s="204">
        <f t="shared" si="372"/>
        <v>323500000</v>
      </c>
      <c r="L251" s="204">
        <f t="shared" si="372"/>
        <v>183500000</v>
      </c>
      <c r="M251" s="204">
        <f t="shared" si="372"/>
        <v>349500000</v>
      </c>
      <c r="N251" s="204">
        <f t="shared" si="372"/>
        <v>43500000</v>
      </c>
      <c r="O251" s="204">
        <f t="shared" si="372"/>
        <v>43500000</v>
      </c>
      <c r="P251" s="204">
        <f t="shared" si="372"/>
        <v>43500000</v>
      </c>
      <c r="Q251" s="204">
        <f t="shared" si="372"/>
        <v>43500000</v>
      </c>
      <c r="R251" s="204">
        <f t="shared" si="372"/>
        <v>43500000</v>
      </c>
      <c r="S251" s="204">
        <f t="shared" si="372"/>
        <v>43500000</v>
      </c>
      <c r="T251" s="204">
        <f t="shared" si="372"/>
        <v>43500000</v>
      </c>
      <c r="U251" s="415">
        <f t="shared" si="309"/>
        <v>1229000000</v>
      </c>
      <c r="V251" s="61">
        <f t="shared" si="372"/>
        <v>1316000000</v>
      </c>
      <c r="W251" s="396">
        <f t="shared" si="298"/>
        <v>1316000000</v>
      </c>
      <c r="X251" s="396">
        <f t="shared" si="299"/>
        <v>0</v>
      </c>
      <c r="Y251" s="396"/>
      <c r="Z251" s="55"/>
      <c r="AA251" s="204">
        <v>10446953</v>
      </c>
      <c r="AB251" s="205">
        <v>12051280</v>
      </c>
      <c r="AC251" s="205">
        <v>1888989</v>
      </c>
      <c r="AD251" s="205">
        <v>0</v>
      </c>
      <c r="AE251" s="205">
        <v>0</v>
      </c>
      <c r="AF251" s="205">
        <f>+AF252+AF254</f>
        <v>6896184</v>
      </c>
      <c r="AG251" s="205">
        <v>0</v>
      </c>
      <c r="AH251" s="365">
        <v>0</v>
      </c>
      <c r="AI251" s="365">
        <v>0</v>
      </c>
      <c r="AJ251" s="365">
        <v>2500000</v>
      </c>
      <c r="AK251" s="205">
        <f t="shared" si="307"/>
        <v>33783406</v>
      </c>
      <c r="AL251" s="386"/>
      <c r="AM251" s="407">
        <f t="shared" si="287"/>
        <v>-0.92537890714285709</v>
      </c>
      <c r="AN251" s="407">
        <f t="shared" si="288"/>
        <v>-0.19658133333333333</v>
      </c>
      <c r="AO251" s="407">
        <f t="shared" si="289"/>
        <v>-0.99416077588871721</v>
      </c>
      <c r="AP251" s="407">
        <f t="shared" si="290"/>
        <v>-1</v>
      </c>
      <c r="AQ251" s="407">
        <f t="shared" si="291"/>
        <v>-1</v>
      </c>
      <c r="AR251" s="407">
        <f t="shared" si="292"/>
        <v>-0.84146703448275861</v>
      </c>
      <c r="AS251" s="407">
        <f t="shared" si="293"/>
        <v>-1</v>
      </c>
      <c r="AT251" s="407">
        <f t="shared" si="294"/>
        <v>-1</v>
      </c>
      <c r="AU251" s="407">
        <f t="shared" si="295"/>
        <v>-1</v>
      </c>
      <c r="AV251" s="407">
        <f t="shared" si="296"/>
        <v>-0.94252873563218387</v>
      </c>
      <c r="AW251" s="407">
        <f t="shared" si="297"/>
        <v>-0.22336997701149425</v>
      </c>
    </row>
    <row r="252" spans="1:49" x14ac:dyDescent="0.25">
      <c r="A252" s="339">
        <v>23122</v>
      </c>
      <c r="B252" s="340" t="s">
        <v>108</v>
      </c>
      <c r="C252" s="367">
        <f>+C253</f>
        <v>1400000000</v>
      </c>
      <c r="D252" s="367">
        <f t="shared" ref="D252:G252" si="373">+D253</f>
        <v>0</v>
      </c>
      <c r="E252" s="367">
        <f t="shared" si="373"/>
        <v>934000000</v>
      </c>
      <c r="F252" s="367">
        <f t="shared" si="373"/>
        <v>400000000</v>
      </c>
      <c r="G252" s="367">
        <f t="shared" si="373"/>
        <v>866000000</v>
      </c>
      <c r="H252" s="57">
        <f>+H253</f>
        <v>1800000000</v>
      </c>
      <c r="I252" s="208">
        <f t="shared" ref="I252:V252" si="374">+I253</f>
        <v>140000000</v>
      </c>
      <c r="J252" s="208">
        <f t="shared" si="374"/>
        <v>0</v>
      </c>
      <c r="K252" s="208">
        <f t="shared" si="374"/>
        <v>280000000</v>
      </c>
      <c r="L252" s="208">
        <f t="shared" si="374"/>
        <v>140000000</v>
      </c>
      <c r="M252" s="208">
        <f t="shared" si="374"/>
        <v>306000000</v>
      </c>
      <c r="N252" s="208">
        <f t="shared" si="374"/>
        <v>0</v>
      </c>
      <c r="O252" s="208">
        <f t="shared" si="374"/>
        <v>0</v>
      </c>
      <c r="P252" s="208">
        <f t="shared" si="374"/>
        <v>0</v>
      </c>
      <c r="Q252" s="208">
        <f t="shared" si="374"/>
        <v>0</v>
      </c>
      <c r="R252" s="208">
        <f t="shared" si="374"/>
        <v>0</v>
      </c>
      <c r="S252" s="208">
        <f t="shared" si="374"/>
        <v>0</v>
      </c>
      <c r="T252" s="208">
        <f t="shared" si="374"/>
        <v>0</v>
      </c>
      <c r="U252" s="413">
        <f t="shared" si="309"/>
        <v>866000000</v>
      </c>
      <c r="V252" s="57">
        <f t="shared" si="374"/>
        <v>866000000</v>
      </c>
      <c r="W252" s="396">
        <f t="shared" si="298"/>
        <v>866000000</v>
      </c>
      <c r="X252" s="396">
        <f t="shared" si="299"/>
        <v>0</v>
      </c>
      <c r="Y252" s="396"/>
      <c r="AA252" s="208">
        <v>10446953</v>
      </c>
      <c r="AB252" s="209">
        <v>11039780</v>
      </c>
      <c r="AC252" s="209">
        <v>1888989</v>
      </c>
      <c r="AD252" s="209">
        <v>0</v>
      </c>
      <c r="AE252" s="209">
        <v>0</v>
      </c>
      <c r="AF252" s="209">
        <f>+AF253</f>
        <v>6896184</v>
      </c>
      <c r="AG252" s="209">
        <v>0</v>
      </c>
      <c r="AH252" s="367">
        <v>0</v>
      </c>
      <c r="AI252" s="367">
        <v>0</v>
      </c>
      <c r="AJ252" s="367">
        <v>0</v>
      </c>
      <c r="AK252" s="209">
        <f t="shared" si="307"/>
        <v>30271906</v>
      </c>
      <c r="AL252" s="387"/>
      <c r="AM252" s="405">
        <f t="shared" si="287"/>
        <v>-0.92537890714285709</v>
      </c>
      <c r="AN252" s="405" t="e">
        <f t="shared" si="288"/>
        <v>#DIV/0!</v>
      </c>
      <c r="AO252" s="405">
        <f t="shared" si="289"/>
        <v>-0.99325361071428575</v>
      </c>
      <c r="AP252" s="405">
        <f t="shared" si="290"/>
        <v>-1</v>
      </c>
      <c r="AQ252" s="405">
        <f t="shared" si="291"/>
        <v>-1</v>
      </c>
      <c r="AR252" s="405" t="e">
        <f t="shared" si="292"/>
        <v>#DIV/0!</v>
      </c>
      <c r="AS252" s="405" t="e">
        <f t="shared" si="293"/>
        <v>#DIV/0!</v>
      </c>
      <c r="AT252" s="405" t="e">
        <f t="shared" si="294"/>
        <v>#DIV/0!</v>
      </c>
      <c r="AU252" s="405" t="e">
        <f t="shared" si="295"/>
        <v>#DIV/0!</v>
      </c>
      <c r="AV252" s="405" t="e">
        <f t="shared" si="296"/>
        <v>#DIV/0!</v>
      </c>
      <c r="AW252" s="405" t="e">
        <f t="shared" si="297"/>
        <v>#DIV/0!</v>
      </c>
    </row>
    <row r="253" spans="1:49" x14ac:dyDescent="0.25">
      <c r="A253" s="341">
        <v>231221</v>
      </c>
      <c r="B253" s="342" t="s">
        <v>109</v>
      </c>
      <c r="C253" s="368">
        <v>1400000000</v>
      </c>
      <c r="D253" s="368">
        <v>0</v>
      </c>
      <c r="E253" s="368">
        <f>400000000+534000000</f>
        <v>934000000</v>
      </c>
      <c r="F253" s="368">
        <v>400000000</v>
      </c>
      <c r="G253" s="368">
        <f t="shared" ref="G253:G254" si="375">+C253+D253-E253+F253</f>
        <v>866000000</v>
      </c>
      <c r="H253" s="58">
        <v>1800000000</v>
      </c>
      <c r="I253" s="210">
        <v>140000000</v>
      </c>
      <c r="J253" s="210">
        <v>0</v>
      </c>
      <c r="K253" s="210">
        <v>280000000</v>
      </c>
      <c r="L253" s="210">
        <v>140000000</v>
      </c>
      <c r="M253" s="210">
        <f>390000000-84000000</f>
        <v>306000000</v>
      </c>
      <c r="N253" s="210"/>
      <c r="O253" s="210"/>
      <c r="P253" s="210"/>
      <c r="Q253" s="210"/>
      <c r="R253" s="210"/>
      <c r="S253" s="210">
        <v>0</v>
      </c>
      <c r="T253" s="210">
        <v>0</v>
      </c>
      <c r="U253" s="412">
        <f t="shared" si="309"/>
        <v>866000000</v>
      </c>
      <c r="V253" s="58">
        <f t="shared" ref="V253:V254" si="376">SUM(I253:T253)</f>
        <v>866000000</v>
      </c>
      <c r="W253" s="396">
        <f t="shared" si="298"/>
        <v>866000000</v>
      </c>
      <c r="X253" s="396">
        <f t="shared" si="299"/>
        <v>0</v>
      </c>
      <c r="Y253" s="396"/>
      <c r="AA253" s="210">
        <v>10446953</v>
      </c>
      <c r="AB253" s="210">
        <v>11039780</v>
      </c>
      <c r="AC253" s="210">
        <v>1888989</v>
      </c>
      <c r="AD253" s="210">
        <v>0</v>
      </c>
      <c r="AE253" s="210">
        <v>0</v>
      </c>
      <c r="AF253" s="210">
        <v>6896184</v>
      </c>
      <c r="AG253" s="210">
        <v>0</v>
      </c>
      <c r="AH253" s="368">
        <v>0</v>
      </c>
      <c r="AI253" s="368">
        <v>0</v>
      </c>
      <c r="AJ253" s="368">
        <v>0</v>
      </c>
      <c r="AK253" s="210">
        <f t="shared" si="307"/>
        <v>30271906</v>
      </c>
      <c r="AL253" s="387"/>
      <c r="AM253" s="404">
        <f t="shared" si="287"/>
        <v>-0.92537890714285709</v>
      </c>
      <c r="AN253" s="404" t="e">
        <f t="shared" si="288"/>
        <v>#DIV/0!</v>
      </c>
      <c r="AO253" s="404">
        <f t="shared" si="289"/>
        <v>-0.99325361071428575</v>
      </c>
      <c r="AP253" s="404">
        <f t="shared" si="290"/>
        <v>-1</v>
      </c>
      <c r="AQ253" s="404">
        <f t="shared" si="291"/>
        <v>-1</v>
      </c>
      <c r="AR253" s="404" t="e">
        <f t="shared" si="292"/>
        <v>#DIV/0!</v>
      </c>
      <c r="AS253" s="404" t="e">
        <f t="shared" si="293"/>
        <v>#DIV/0!</v>
      </c>
      <c r="AT253" s="404" t="e">
        <f t="shared" si="294"/>
        <v>#DIV/0!</v>
      </c>
      <c r="AU253" s="404" t="e">
        <f t="shared" si="295"/>
        <v>#DIV/0!</v>
      </c>
      <c r="AV253" s="404" t="e">
        <f t="shared" si="296"/>
        <v>#DIV/0!</v>
      </c>
      <c r="AW253" s="404" t="e">
        <f t="shared" si="297"/>
        <v>#DIV/0!</v>
      </c>
    </row>
    <row r="254" spans="1:49" s="70" customFormat="1" ht="30" x14ac:dyDescent="0.25">
      <c r="A254" s="341">
        <v>23123</v>
      </c>
      <c r="B254" s="342" t="s">
        <v>619</v>
      </c>
      <c r="C254" s="368">
        <v>450000000</v>
      </c>
      <c r="D254" s="368">
        <v>0</v>
      </c>
      <c r="E254" s="368">
        <v>0</v>
      </c>
      <c r="F254" s="368">
        <v>0</v>
      </c>
      <c r="G254" s="368">
        <f t="shared" si="375"/>
        <v>450000000</v>
      </c>
      <c r="H254" s="58">
        <v>450000000</v>
      </c>
      <c r="I254" s="210"/>
      <c r="J254" s="210">
        <v>15000000</v>
      </c>
      <c r="K254" s="210">
        <v>43500000</v>
      </c>
      <c r="L254" s="210">
        <v>43500000</v>
      </c>
      <c r="M254" s="210">
        <v>43500000</v>
      </c>
      <c r="N254" s="210">
        <v>43500000</v>
      </c>
      <c r="O254" s="210">
        <v>43500000</v>
      </c>
      <c r="P254" s="210">
        <v>43500000</v>
      </c>
      <c r="Q254" s="210">
        <v>43500000</v>
      </c>
      <c r="R254" s="210">
        <v>43500000</v>
      </c>
      <c r="S254" s="210">
        <v>43500000</v>
      </c>
      <c r="T254" s="210">
        <v>43500000</v>
      </c>
      <c r="U254" s="412">
        <f t="shared" si="309"/>
        <v>363000000</v>
      </c>
      <c r="V254" s="58">
        <f t="shared" si="376"/>
        <v>450000000</v>
      </c>
      <c r="W254" s="396">
        <f t="shared" si="298"/>
        <v>450000000</v>
      </c>
      <c r="X254" s="396">
        <f t="shared" si="299"/>
        <v>0</v>
      </c>
      <c r="Y254" s="396"/>
      <c r="Z254" s="53"/>
      <c r="AA254" s="210">
        <v>0</v>
      </c>
      <c r="AB254" s="210">
        <v>1011500</v>
      </c>
      <c r="AC254" s="210">
        <v>0</v>
      </c>
      <c r="AD254" s="210">
        <v>0</v>
      </c>
      <c r="AE254" s="210">
        <v>0</v>
      </c>
      <c r="AF254" s="210">
        <v>0</v>
      </c>
      <c r="AG254" s="210">
        <v>0</v>
      </c>
      <c r="AH254" s="368">
        <v>0</v>
      </c>
      <c r="AI254" s="368">
        <v>0</v>
      </c>
      <c r="AJ254" s="368">
        <v>2500000</v>
      </c>
      <c r="AK254" s="210">
        <f t="shared" si="307"/>
        <v>3511500</v>
      </c>
      <c r="AL254" s="386"/>
      <c r="AM254" s="404" t="e">
        <f t="shared" si="287"/>
        <v>#DIV/0!</v>
      </c>
      <c r="AN254" s="404">
        <f t="shared" si="288"/>
        <v>-0.93256666666666665</v>
      </c>
      <c r="AO254" s="404">
        <f t="shared" si="289"/>
        <v>-1</v>
      </c>
      <c r="AP254" s="404">
        <f t="shared" si="290"/>
        <v>-1</v>
      </c>
      <c r="AQ254" s="404">
        <f t="shared" si="291"/>
        <v>-1</v>
      </c>
      <c r="AR254" s="404">
        <f t="shared" si="292"/>
        <v>-1</v>
      </c>
      <c r="AS254" s="404">
        <f t="shared" si="293"/>
        <v>-1</v>
      </c>
      <c r="AT254" s="404">
        <f t="shared" si="294"/>
        <v>-1</v>
      </c>
      <c r="AU254" s="404">
        <f t="shared" si="295"/>
        <v>-1</v>
      </c>
      <c r="AV254" s="404">
        <f t="shared" si="296"/>
        <v>-0.94252873563218387</v>
      </c>
      <c r="AW254" s="404">
        <f t="shared" si="297"/>
        <v>-0.9192758620689655</v>
      </c>
    </row>
    <row r="255" spans="1:49" x14ac:dyDescent="0.25">
      <c r="A255" s="335">
        <v>2315</v>
      </c>
      <c r="B255" s="336" t="s">
        <v>774</v>
      </c>
      <c r="C255" s="365">
        <f>SUM(C256:C270)</f>
        <v>650000000</v>
      </c>
      <c r="D255" s="365">
        <f t="shared" ref="D255:AK255" si="377">SUM(D256:D270)</f>
        <v>100000000</v>
      </c>
      <c r="E255" s="365">
        <f t="shared" si="377"/>
        <v>0</v>
      </c>
      <c r="F255" s="365">
        <f t="shared" si="377"/>
        <v>13021719570</v>
      </c>
      <c r="G255" s="365">
        <f t="shared" si="377"/>
        <v>13771719570</v>
      </c>
      <c r="H255" s="365">
        <f t="shared" si="377"/>
        <v>650000000</v>
      </c>
      <c r="I255" s="365">
        <f t="shared" si="377"/>
        <v>0</v>
      </c>
      <c r="J255" s="365">
        <f t="shared" si="377"/>
        <v>0</v>
      </c>
      <c r="K255" s="365">
        <f t="shared" si="377"/>
        <v>1302171957</v>
      </c>
      <c r="L255" s="365">
        <f t="shared" si="377"/>
        <v>1652171957</v>
      </c>
      <c r="M255" s="365">
        <f t="shared" si="377"/>
        <v>1302171957</v>
      </c>
      <c r="N255" s="365">
        <f t="shared" si="377"/>
        <v>1302171957</v>
      </c>
      <c r="O255" s="365">
        <f t="shared" si="377"/>
        <v>1302171957</v>
      </c>
      <c r="P255" s="365">
        <f t="shared" si="377"/>
        <v>1302171957</v>
      </c>
      <c r="Q255" s="365">
        <f t="shared" si="377"/>
        <v>1302171957</v>
      </c>
      <c r="R255" s="365">
        <f t="shared" si="377"/>
        <v>1302171957</v>
      </c>
      <c r="S255" s="365">
        <f t="shared" si="377"/>
        <v>1652171957</v>
      </c>
      <c r="T255" s="365">
        <f t="shared" si="377"/>
        <v>1352171957</v>
      </c>
      <c r="U255" s="416">
        <f t="shared" si="309"/>
        <v>10767375656</v>
      </c>
      <c r="V255" s="365">
        <f t="shared" si="377"/>
        <v>13771719570</v>
      </c>
      <c r="W255" s="365">
        <f t="shared" si="377"/>
        <v>13771719570</v>
      </c>
      <c r="X255" s="365">
        <f t="shared" si="377"/>
        <v>0</v>
      </c>
      <c r="Y255" s="365">
        <f t="shared" si="377"/>
        <v>0</v>
      </c>
      <c r="Z255" s="365">
        <f t="shared" si="377"/>
        <v>0</v>
      </c>
      <c r="AA255" s="365">
        <f t="shared" si="377"/>
        <v>2193296</v>
      </c>
      <c r="AB255" s="365">
        <f t="shared" si="377"/>
        <v>98233584</v>
      </c>
      <c r="AC255" s="365">
        <f t="shared" si="377"/>
        <v>216440386</v>
      </c>
      <c r="AD255" s="365">
        <f t="shared" si="377"/>
        <v>38475079.780000001</v>
      </c>
      <c r="AE255" s="365">
        <f t="shared" si="377"/>
        <v>198213632</v>
      </c>
      <c r="AF255" s="365">
        <f t="shared" si="377"/>
        <v>222554836</v>
      </c>
      <c r="AG255" s="365">
        <f t="shared" si="377"/>
        <v>455490574</v>
      </c>
      <c r="AH255" s="365">
        <f t="shared" si="377"/>
        <v>297595778</v>
      </c>
      <c r="AI255" s="365">
        <f t="shared" si="377"/>
        <v>627822938</v>
      </c>
      <c r="AJ255" s="365">
        <f t="shared" si="377"/>
        <v>482730382</v>
      </c>
      <c r="AK255" s="365">
        <f t="shared" si="377"/>
        <v>2639750485.7799997</v>
      </c>
      <c r="AL255" s="402"/>
      <c r="AM255" s="400" t="e">
        <f t="shared" si="287"/>
        <v>#DIV/0!</v>
      </c>
      <c r="AN255" s="400" t="e">
        <f t="shared" si="288"/>
        <v>#DIV/0!</v>
      </c>
      <c r="AO255" s="400">
        <f t="shared" si="289"/>
        <v>-0.83378509663297873</v>
      </c>
      <c r="AP255" s="400">
        <f t="shared" si="290"/>
        <v>-0.97671242414145398</v>
      </c>
      <c r="AQ255" s="400">
        <f t="shared" si="291"/>
        <v>-0.84778229101427349</v>
      </c>
      <c r="AR255" s="400">
        <f t="shared" si="292"/>
        <v>-0.82908951862799174</v>
      </c>
      <c r="AS255" s="400">
        <f t="shared" si="293"/>
        <v>-0.650207047117357</v>
      </c>
      <c r="AT255" s="400">
        <f t="shared" si="294"/>
        <v>-0.77146199747258115</v>
      </c>
      <c r="AU255" s="400">
        <f t="shared" si="295"/>
        <v>-0.51786479917260264</v>
      </c>
      <c r="AV255" s="400">
        <f t="shared" si="296"/>
        <v>-0.62928829836565126</v>
      </c>
      <c r="AW255" s="400">
        <f t="shared" si="297"/>
        <v>0.59774560668202881</v>
      </c>
    </row>
    <row r="256" spans="1:49" s="70" customFormat="1" ht="45" x14ac:dyDescent="0.25">
      <c r="A256" s="339">
        <v>23152</v>
      </c>
      <c r="B256" s="340" t="s">
        <v>110</v>
      </c>
      <c r="C256" s="367">
        <v>650000000</v>
      </c>
      <c r="D256" s="367">
        <v>100000000</v>
      </c>
      <c r="E256" s="367">
        <v>0</v>
      </c>
      <c r="F256" s="367">
        <f>SUM(F257:F270)</f>
        <v>6510859785</v>
      </c>
      <c r="G256" s="367">
        <f t="shared" ref="G256:G270" si="378">+C256+D256-E256+F256</f>
        <v>7260859785</v>
      </c>
      <c r="H256" s="58">
        <v>650000000</v>
      </c>
      <c r="I256" s="367">
        <f t="shared" ref="I256:R256" si="379">SUM(I257:I270)</f>
        <v>0</v>
      </c>
      <c r="J256" s="367">
        <f t="shared" si="379"/>
        <v>0</v>
      </c>
      <c r="K256" s="367">
        <f t="shared" si="379"/>
        <v>651085978.49999988</v>
      </c>
      <c r="L256" s="367">
        <f>SUM(L257:L270)+350000000</f>
        <v>1001085978.4999999</v>
      </c>
      <c r="M256" s="367">
        <f t="shared" si="379"/>
        <v>651085978.49999988</v>
      </c>
      <c r="N256" s="367">
        <f t="shared" si="379"/>
        <v>651085978.49999988</v>
      </c>
      <c r="O256" s="367">
        <f t="shared" si="379"/>
        <v>651085978.49999988</v>
      </c>
      <c r="P256" s="367">
        <f t="shared" si="379"/>
        <v>651085978.49999988</v>
      </c>
      <c r="Q256" s="367">
        <f t="shared" si="379"/>
        <v>651085978.49999988</v>
      </c>
      <c r="R256" s="367">
        <f t="shared" si="379"/>
        <v>651085978.49999988</v>
      </c>
      <c r="S256" s="367">
        <f>SUM(S257:S270)+350000000</f>
        <v>1001085978.4999999</v>
      </c>
      <c r="T256" s="367">
        <f>SUM(T257:T270)+50000000</f>
        <v>701085978.49999988</v>
      </c>
      <c r="U256" s="413">
        <f t="shared" si="309"/>
        <v>5558687827.999999</v>
      </c>
      <c r="V256" s="58">
        <f t="shared" ref="V256:V270" si="380">SUM(I256:T256)</f>
        <v>7260859784.999999</v>
      </c>
      <c r="W256" s="396">
        <f t="shared" si="298"/>
        <v>7260859785</v>
      </c>
      <c r="X256" s="396">
        <f t="shared" si="299"/>
        <v>0</v>
      </c>
      <c r="Y256" s="396"/>
      <c r="Z256" s="53"/>
      <c r="AA256" s="208">
        <f t="shared" ref="AA256:AH256" si="381">SUM(AA257:AA270)</f>
        <v>1096648</v>
      </c>
      <c r="AB256" s="208">
        <f t="shared" si="381"/>
        <v>49116792</v>
      </c>
      <c r="AC256" s="208">
        <f t="shared" si="381"/>
        <v>108220193</v>
      </c>
      <c r="AD256" s="208">
        <f t="shared" si="381"/>
        <v>19237539.890000001</v>
      </c>
      <c r="AE256" s="208">
        <f t="shared" si="381"/>
        <v>99106816</v>
      </c>
      <c r="AF256" s="208">
        <f t="shared" si="381"/>
        <v>111277418</v>
      </c>
      <c r="AG256" s="208">
        <f t="shared" si="381"/>
        <v>227745287</v>
      </c>
      <c r="AH256" s="208">
        <f t="shared" si="381"/>
        <v>148797889</v>
      </c>
      <c r="AI256" s="208">
        <f>SUM(AI257:AI270)+330000000</f>
        <v>478911469</v>
      </c>
      <c r="AJ256" s="208">
        <v>241365191</v>
      </c>
      <c r="AK256" s="208">
        <f t="shared" si="307"/>
        <v>1484875242.8899999</v>
      </c>
      <c r="AL256" s="387"/>
      <c r="AM256" s="409" t="e">
        <f t="shared" si="287"/>
        <v>#DIV/0!</v>
      </c>
      <c r="AN256" s="409" t="e">
        <f t="shared" si="288"/>
        <v>#DIV/0!</v>
      </c>
      <c r="AO256" s="409">
        <f t="shared" si="289"/>
        <v>-0.83378509663297873</v>
      </c>
      <c r="AP256" s="409">
        <f t="shared" si="290"/>
        <v>-0.98078332900154586</v>
      </c>
      <c r="AQ256" s="409">
        <f t="shared" si="291"/>
        <v>-0.84778229101427349</v>
      </c>
      <c r="AR256" s="409">
        <f t="shared" si="292"/>
        <v>-0.82908951862799174</v>
      </c>
      <c r="AS256" s="409">
        <f t="shared" si="293"/>
        <v>-0.650207047117357</v>
      </c>
      <c r="AT256" s="409">
        <f t="shared" si="294"/>
        <v>-0.77146199747258104</v>
      </c>
      <c r="AU256" s="409">
        <f t="shared" si="295"/>
        <v>-0.26444204787924169</v>
      </c>
      <c r="AV256" s="409">
        <f t="shared" si="296"/>
        <v>-0.62928829836565114</v>
      </c>
      <c r="AW256" s="409">
        <f t="shared" si="297"/>
        <v>0.48326444958793319</v>
      </c>
    </row>
    <row r="257" spans="1:49" s="70" customFormat="1" x14ac:dyDescent="0.25">
      <c r="A257" s="341">
        <v>2315201</v>
      </c>
      <c r="B257" s="342" t="s">
        <v>111</v>
      </c>
      <c r="C257" s="368">
        <v>0</v>
      </c>
      <c r="D257" s="368">
        <v>0</v>
      </c>
      <c r="E257" s="368">
        <v>0</v>
      </c>
      <c r="F257" s="368">
        <v>455453475</v>
      </c>
      <c r="G257" s="368">
        <f t="shared" si="378"/>
        <v>455453475</v>
      </c>
      <c r="H257" s="68"/>
      <c r="I257" s="210"/>
      <c r="J257" s="210"/>
      <c r="K257" s="210">
        <v>45545347.5</v>
      </c>
      <c r="L257" s="210">
        <v>45545347.5</v>
      </c>
      <c r="M257" s="210">
        <v>45545347.5</v>
      </c>
      <c r="N257" s="210">
        <v>45545347.5</v>
      </c>
      <c r="O257" s="210">
        <v>45545347.5</v>
      </c>
      <c r="P257" s="210">
        <v>45545347.5</v>
      </c>
      <c r="Q257" s="210">
        <v>45545347.5</v>
      </c>
      <c r="R257" s="210">
        <v>45545347.5</v>
      </c>
      <c r="S257" s="210">
        <v>45545347.5</v>
      </c>
      <c r="T257" s="210">
        <v>45545347.5</v>
      </c>
      <c r="U257" s="412">
        <f t="shared" si="309"/>
        <v>364362780</v>
      </c>
      <c r="V257" s="58">
        <f t="shared" si="380"/>
        <v>455453475</v>
      </c>
      <c r="W257" s="396">
        <f t="shared" si="298"/>
        <v>455453475</v>
      </c>
      <c r="X257" s="396">
        <f t="shared" si="299"/>
        <v>0</v>
      </c>
      <c r="Y257" s="396">
        <f>+X257/10</f>
        <v>0</v>
      </c>
      <c r="Z257" s="53"/>
      <c r="AA257" s="210">
        <v>0</v>
      </c>
      <c r="AB257" s="210">
        <v>0</v>
      </c>
      <c r="AC257" s="210">
        <v>11882000</v>
      </c>
      <c r="AD257" s="210">
        <v>0</v>
      </c>
      <c r="AE257" s="210">
        <v>0</v>
      </c>
      <c r="AF257" s="210">
        <v>0</v>
      </c>
      <c r="AG257" s="210">
        <v>0</v>
      </c>
      <c r="AH257" s="368">
        <v>0</v>
      </c>
      <c r="AI257" s="368">
        <v>0</v>
      </c>
      <c r="AJ257" s="368">
        <v>40584631</v>
      </c>
      <c r="AK257" s="210">
        <f t="shared" si="307"/>
        <v>52466631</v>
      </c>
      <c r="AL257" s="387"/>
      <c r="AM257" s="404" t="e">
        <f t="shared" si="287"/>
        <v>#DIV/0!</v>
      </c>
      <c r="AN257" s="404" t="e">
        <f t="shared" si="288"/>
        <v>#DIV/0!</v>
      </c>
      <c r="AO257" s="404">
        <f t="shared" si="289"/>
        <v>-0.73911715131825484</v>
      </c>
      <c r="AP257" s="404">
        <f t="shared" si="290"/>
        <v>-1</v>
      </c>
      <c r="AQ257" s="404">
        <f t="shared" si="291"/>
        <v>-1</v>
      </c>
      <c r="AR257" s="404">
        <f t="shared" si="292"/>
        <v>-1</v>
      </c>
      <c r="AS257" s="404">
        <f t="shared" si="293"/>
        <v>-1</v>
      </c>
      <c r="AT257" s="404">
        <f t="shared" si="294"/>
        <v>-1</v>
      </c>
      <c r="AU257" s="404">
        <f t="shared" si="295"/>
        <v>-1</v>
      </c>
      <c r="AV257" s="404">
        <f t="shared" si="296"/>
        <v>-0.10891818313604919</v>
      </c>
      <c r="AW257" s="404">
        <f t="shared" si="297"/>
        <v>0.15196466554569596</v>
      </c>
    </row>
    <row r="258" spans="1:49" x14ac:dyDescent="0.25">
      <c r="A258" s="341">
        <v>2315202</v>
      </c>
      <c r="B258" s="342" t="s">
        <v>620</v>
      </c>
      <c r="C258" s="368">
        <v>0</v>
      </c>
      <c r="D258" s="368">
        <v>0</v>
      </c>
      <c r="E258" s="368">
        <v>0</v>
      </c>
      <c r="F258" s="368">
        <v>493234219</v>
      </c>
      <c r="G258" s="368">
        <f t="shared" si="378"/>
        <v>493234219</v>
      </c>
      <c r="H258" s="68"/>
      <c r="I258" s="210"/>
      <c r="J258" s="210"/>
      <c r="K258" s="210">
        <v>49323421.899999999</v>
      </c>
      <c r="L258" s="210">
        <v>49323421.899999999</v>
      </c>
      <c r="M258" s="210">
        <v>49323421.899999999</v>
      </c>
      <c r="N258" s="210">
        <v>49323421.899999999</v>
      </c>
      <c r="O258" s="210">
        <v>49323421.899999999</v>
      </c>
      <c r="P258" s="210">
        <v>49323421.899999999</v>
      </c>
      <c r="Q258" s="210">
        <v>49323421.899999999</v>
      </c>
      <c r="R258" s="210">
        <v>49323421.899999999</v>
      </c>
      <c r="S258" s="210">
        <v>49323421.899999999</v>
      </c>
      <c r="T258" s="210">
        <v>49323421.899999999</v>
      </c>
      <c r="U258" s="412">
        <f t="shared" si="309"/>
        <v>394587375.19999993</v>
      </c>
      <c r="V258" s="58">
        <f t="shared" si="380"/>
        <v>493234218.99999988</v>
      </c>
      <c r="W258" s="396">
        <f t="shared" si="298"/>
        <v>493234219</v>
      </c>
      <c r="X258" s="396">
        <f t="shared" si="299"/>
        <v>0</v>
      </c>
      <c r="Y258" s="396">
        <f t="shared" ref="Y258:Y270" si="382">+X258/10</f>
        <v>0</v>
      </c>
      <c r="AA258" s="210">
        <v>0</v>
      </c>
      <c r="AB258" s="210">
        <v>0</v>
      </c>
      <c r="AC258" s="210">
        <v>0</v>
      </c>
      <c r="AD258" s="210">
        <v>3600000</v>
      </c>
      <c r="AE258" s="210">
        <v>8810708</v>
      </c>
      <c r="AF258" s="210">
        <v>941000</v>
      </c>
      <c r="AG258" s="210">
        <v>0</v>
      </c>
      <c r="AH258" s="368">
        <v>0</v>
      </c>
      <c r="AI258" s="368">
        <v>0</v>
      </c>
      <c r="AJ258" s="368">
        <v>0</v>
      </c>
      <c r="AK258" s="210">
        <f t="shared" si="307"/>
        <v>13351708</v>
      </c>
      <c r="AL258" s="387"/>
      <c r="AM258" s="404" t="e">
        <f t="shared" ref="AM258:AM321" si="383">(AA258-I258)/I258</f>
        <v>#DIV/0!</v>
      </c>
      <c r="AN258" s="404" t="e">
        <f t="shared" ref="AN258:AN321" si="384">(AB258-J258)/J258</f>
        <v>#DIV/0!</v>
      </c>
      <c r="AO258" s="404">
        <f t="shared" ref="AO258:AO321" si="385">(AC258-K258)/K258</f>
        <v>-1</v>
      </c>
      <c r="AP258" s="404">
        <f t="shared" ref="AP258:AP321" si="386">(AD258-L258)/L258</f>
        <v>-0.92701236326833192</v>
      </c>
      <c r="AQ258" s="404">
        <f t="shared" ref="AQ258:AQ321" si="387">(AE258-M258)/M258</f>
        <v>-0.82136867920755519</v>
      </c>
      <c r="AR258" s="404">
        <f t="shared" ref="AR258:AR321" si="388">(AF258-N258)/N258</f>
        <v>-0.98092184273208338</v>
      </c>
      <c r="AS258" s="404">
        <f t="shared" ref="AS258:AS321" si="389">(AG258-O258)/O258</f>
        <v>-1</v>
      </c>
      <c r="AT258" s="404">
        <f t="shared" ref="AT258:AT321" si="390">(AH258-P258)/P258</f>
        <v>-1</v>
      </c>
      <c r="AU258" s="404">
        <f t="shared" ref="AU258:AU321" si="391">(AI258-Q258)/Q258</f>
        <v>-1</v>
      </c>
      <c r="AV258" s="404">
        <f t="shared" ref="AV258:AV321" si="392">(AJ258-R258)/R258</f>
        <v>-1</v>
      </c>
      <c r="AW258" s="404">
        <f t="shared" ref="AW258:AW321" si="393">(AK258-S258)/S258</f>
        <v>-0.72930288520797049</v>
      </c>
    </row>
    <row r="259" spans="1:49" s="70" customFormat="1" x14ac:dyDescent="0.25">
      <c r="A259" s="341">
        <v>2315203</v>
      </c>
      <c r="B259" s="342" t="s">
        <v>112</v>
      </c>
      <c r="C259" s="368">
        <v>0</v>
      </c>
      <c r="D259" s="368">
        <v>0</v>
      </c>
      <c r="E259" s="368">
        <v>0</v>
      </c>
      <c r="F259" s="368">
        <f>550361096+326557529</f>
        <v>876918625</v>
      </c>
      <c r="G259" s="368">
        <f t="shared" si="378"/>
        <v>876918625</v>
      </c>
      <c r="H259" s="68"/>
      <c r="I259" s="210"/>
      <c r="J259" s="210"/>
      <c r="K259" s="210">
        <v>87691862.5</v>
      </c>
      <c r="L259" s="210">
        <v>87691862.5</v>
      </c>
      <c r="M259" s="210">
        <v>87691862.5</v>
      </c>
      <c r="N259" s="210">
        <v>87691862.5</v>
      </c>
      <c r="O259" s="210">
        <v>87691862.5</v>
      </c>
      <c r="P259" s="210">
        <v>87691862.5</v>
      </c>
      <c r="Q259" s="210">
        <v>87691862.5</v>
      </c>
      <c r="R259" s="210">
        <v>87691862.5</v>
      </c>
      <c r="S259" s="210">
        <v>87691862.5</v>
      </c>
      <c r="T259" s="210">
        <v>87691862.5</v>
      </c>
      <c r="U259" s="412">
        <f t="shared" si="309"/>
        <v>701534900</v>
      </c>
      <c r="V259" s="58">
        <f t="shared" si="380"/>
        <v>876918625</v>
      </c>
      <c r="W259" s="396">
        <f t="shared" ref="W259:W322" si="394">+G259</f>
        <v>876918625</v>
      </c>
      <c r="X259" s="396">
        <f t="shared" ref="X259:X322" si="395">+W259-V259</f>
        <v>0</v>
      </c>
      <c r="Y259" s="396">
        <f t="shared" si="382"/>
        <v>0</v>
      </c>
      <c r="Z259" s="53"/>
      <c r="AA259" s="210">
        <v>0</v>
      </c>
      <c r="AB259" s="210">
        <v>0</v>
      </c>
      <c r="AC259" s="210">
        <v>0</v>
      </c>
      <c r="AD259" s="210">
        <v>0</v>
      </c>
      <c r="AE259" s="210">
        <v>15624996</v>
      </c>
      <c r="AF259" s="210">
        <v>18229162</v>
      </c>
      <c r="AG259" s="210">
        <v>35854158</v>
      </c>
      <c r="AH259" s="368">
        <f>31437494</f>
        <v>31437494</v>
      </c>
      <c r="AI259" s="368">
        <v>36944200</v>
      </c>
      <c r="AJ259" s="368">
        <v>41437494</v>
      </c>
      <c r="AK259" s="210">
        <f t="shared" si="307"/>
        <v>179527504</v>
      </c>
      <c r="AL259" s="387"/>
      <c r="AM259" s="404" t="e">
        <f t="shared" si="383"/>
        <v>#DIV/0!</v>
      </c>
      <c r="AN259" s="404" t="e">
        <f t="shared" si="384"/>
        <v>#DIV/0!</v>
      </c>
      <c r="AO259" s="404">
        <f t="shared" si="385"/>
        <v>-1</v>
      </c>
      <c r="AP259" s="404">
        <f t="shared" si="386"/>
        <v>-1</v>
      </c>
      <c r="AQ259" s="404">
        <f t="shared" si="387"/>
        <v>-0.82181931647306494</v>
      </c>
      <c r="AR259" s="404">
        <f t="shared" si="388"/>
        <v>-0.79212253588524251</v>
      </c>
      <c r="AS259" s="404">
        <f t="shared" si="389"/>
        <v>-0.59113471902823367</v>
      </c>
      <c r="AT259" s="404">
        <f t="shared" si="390"/>
        <v>-0.64150044138930218</v>
      </c>
      <c r="AU259" s="404">
        <f t="shared" si="391"/>
        <v>-0.57870435241354345</v>
      </c>
      <c r="AV259" s="404">
        <f t="shared" si="392"/>
        <v>-0.52746477473893316</v>
      </c>
      <c r="AW259" s="404">
        <f t="shared" si="393"/>
        <v>1.0472538600716799</v>
      </c>
    </row>
    <row r="260" spans="1:49" x14ac:dyDescent="0.25">
      <c r="A260" s="341">
        <v>2315204</v>
      </c>
      <c r="B260" s="342" t="s">
        <v>621</v>
      </c>
      <c r="C260" s="368">
        <v>0</v>
      </c>
      <c r="D260" s="368">
        <v>0</v>
      </c>
      <c r="E260" s="368">
        <v>0</v>
      </c>
      <c r="F260" s="368">
        <f>1493910033+144000000</f>
        <v>1637910033</v>
      </c>
      <c r="G260" s="368">
        <f t="shared" si="378"/>
        <v>1637910033</v>
      </c>
      <c r="H260" s="68"/>
      <c r="I260" s="210"/>
      <c r="J260" s="210"/>
      <c r="K260" s="210">
        <v>163791003.30000001</v>
      </c>
      <c r="L260" s="210">
        <v>163791003.30000001</v>
      </c>
      <c r="M260" s="210">
        <v>163791003.30000001</v>
      </c>
      <c r="N260" s="210">
        <v>163791003.30000001</v>
      </c>
      <c r="O260" s="210">
        <v>163791003.30000001</v>
      </c>
      <c r="P260" s="210">
        <v>163791003.30000001</v>
      </c>
      <c r="Q260" s="210">
        <v>163791003.30000001</v>
      </c>
      <c r="R260" s="210">
        <v>163791003.30000001</v>
      </c>
      <c r="S260" s="210">
        <v>163791003.30000001</v>
      </c>
      <c r="T260" s="210">
        <v>163791003.30000001</v>
      </c>
      <c r="U260" s="412">
        <f t="shared" si="309"/>
        <v>1310328026.3999999</v>
      </c>
      <c r="V260" s="58">
        <f t="shared" si="380"/>
        <v>1637910032.9999998</v>
      </c>
      <c r="W260" s="396">
        <f t="shared" si="394"/>
        <v>1637910033</v>
      </c>
      <c r="X260" s="396">
        <f t="shared" si="395"/>
        <v>0</v>
      </c>
      <c r="Y260" s="396">
        <f t="shared" si="382"/>
        <v>0</v>
      </c>
      <c r="AA260" s="210">
        <v>0</v>
      </c>
      <c r="AB260" s="210">
        <v>5380316</v>
      </c>
      <c r="AC260" s="210">
        <v>65833390</v>
      </c>
      <c r="AD260" s="210">
        <v>8322716.8900000006</v>
      </c>
      <c r="AE260" s="210">
        <v>14241481</v>
      </c>
      <c r="AF260" s="210">
        <v>39245432</v>
      </c>
      <c r="AG260" s="210">
        <v>109380246</v>
      </c>
      <c r="AH260" s="368">
        <f>24707340-906+1812</f>
        <v>24708246</v>
      </c>
      <c r="AI260" s="368">
        <v>33145670</v>
      </c>
      <c r="AJ260" s="368">
        <v>77715780</v>
      </c>
      <c r="AK260" s="210">
        <f t="shared" si="307"/>
        <v>377973277.88999999</v>
      </c>
      <c r="AL260" s="387"/>
      <c r="AM260" s="404" t="e">
        <f t="shared" si="383"/>
        <v>#DIV/0!</v>
      </c>
      <c r="AN260" s="404" t="e">
        <f t="shared" si="384"/>
        <v>#DIV/0!</v>
      </c>
      <c r="AO260" s="404">
        <f t="shared" si="385"/>
        <v>-0.59806467587588197</v>
      </c>
      <c r="AP260" s="404">
        <f t="shared" si="386"/>
        <v>-0.94918697167538513</v>
      </c>
      <c r="AQ260" s="404">
        <f t="shared" si="387"/>
        <v>-0.91305089587909005</v>
      </c>
      <c r="AR260" s="404">
        <f t="shared" si="388"/>
        <v>-0.76039323766691891</v>
      </c>
      <c r="AS260" s="404">
        <f t="shared" si="389"/>
        <v>-0.33219625134318964</v>
      </c>
      <c r="AT260" s="404">
        <f t="shared" si="390"/>
        <v>-0.84914772177844033</v>
      </c>
      <c r="AU260" s="404">
        <f t="shared" si="391"/>
        <v>-0.7976343673816424</v>
      </c>
      <c r="AV260" s="404">
        <f t="shared" si="392"/>
        <v>-0.52551862779877123</v>
      </c>
      <c r="AW260" s="404">
        <f t="shared" si="393"/>
        <v>1.3076559168375272</v>
      </c>
    </row>
    <row r="261" spans="1:49" s="70" customFormat="1" x14ac:dyDescent="0.25">
      <c r="A261" s="341">
        <v>2315205</v>
      </c>
      <c r="B261" s="342" t="s">
        <v>622</v>
      </c>
      <c r="C261" s="368">
        <v>0</v>
      </c>
      <c r="D261" s="368">
        <v>0</v>
      </c>
      <c r="E261" s="368">
        <v>0</v>
      </c>
      <c r="F261" s="368">
        <v>283032384</v>
      </c>
      <c r="G261" s="368">
        <f t="shared" si="378"/>
        <v>283032384</v>
      </c>
      <c r="H261" s="68"/>
      <c r="I261" s="210"/>
      <c r="J261" s="210"/>
      <c r="K261" s="210">
        <v>28303238.399999999</v>
      </c>
      <c r="L261" s="210">
        <v>28303238.399999999</v>
      </c>
      <c r="M261" s="210">
        <v>28303238.399999999</v>
      </c>
      <c r="N261" s="210">
        <v>28303238.399999999</v>
      </c>
      <c r="O261" s="210">
        <v>28303238.399999999</v>
      </c>
      <c r="P261" s="210">
        <v>28303238.399999999</v>
      </c>
      <c r="Q261" s="210">
        <v>28303238.399999999</v>
      </c>
      <c r="R261" s="210">
        <v>28303238.399999999</v>
      </c>
      <c r="S261" s="210">
        <v>28303238.399999999</v>
      </c>
      <c r="T261" s="210">
        <v>28303238.399999999</v>
      </c>
      <c r="U261" s="412">
        <f t="shared" si="309"/>
        <v>226425907.20000002</v>
      </c>
      <c r="V261" s="58">
        <f t="shared" si="380"/>
        <v>283032384</v>
      </c>
      <c r="W261" s="396">
        <f t="shared" si="394"/>
        <v>283032384</v>
      </c>
      <c r="X261" s="396">
        <f t="shared" si="395"/>
        <v>0</v>
      </c>
      <c r="Y261" s="396">
        <f t="shared" si="382"/>
        <v>0</v>
      </c>
      <c r="Z261" s="53"/>
      <c r="AA261" s="210">
        <v>0</v>
      </c>
      <c r="AB261" s="210">
        <v>525000</v>
      </c>
      <c r="AC261" s="210">
        <v>3075583</v>
      </c>
      <c r="AD261" s="210">
        <v>18238</v>
      </c>
      <c r="AE261" s="210">
        <v>3127000</v>
      </c>
      <c r="AF261" s="210">
        <v>3965053</v>
      </c>
      <c r="AG261" s="210">
        <v>6705300</v>
      </c>
      <c r="AH261" s="368">
        <v>3038894</v>
      </c>
      <c r="AI261" s="368">
        <v>22121282</v>
      </c>
      <c r="AJ261" s="368">
        <v>12337050</v>
      </c>
      <c r="AK261" s="210">
        <f t="shared" si="307"/>
        <v>54913400</v>
      </c>
      <c r="AL261" s="387"/>
      <c r="AM261" s="404" t="e">
        <f t="shared" si="383"/>
        <v>#DIV/0!</v>
      </c>
      <c r="AN261" s="404" t="e">
        <f t="shared" si="384"/>
        <v>#DIV/0!</v>
      </c>
      <c r="AO261" s="404">
        <f t="shared" si="385"/>
        <v>-0.89133459017891037</v>
      </c>
      <c r="AP261" s="404">
        <f t="shared" si="386"/>
        <v>-0.99935562144012469</v>
      </c>
      <c r="AQ261" s="404">
        <f t="shared" si="387"/>
        <v>-0.88951794293616948</v>
      </c>
      <c r="AR261" s="404">
        <f t="shared" si="388"/>
        <v>-0.85990815100508078</v>
      </c>
      <c r="AS261" s="404">
        <f t="shared" si="389"/>
        <v>-0.76309071402938822</v>
      </c>
      <c r="AT261" s="404">
        <f t="shared" si="390"/>
        <v>-0.89263087293926058</v>
      </c>
      <c r="AU261" s="404">
        <f t="shared" si="391"/>
        <v>-0.2184186951553925</v>
      </c>
      <c r="AV261" s="404">
        <f t="shared" si="392"/>
        <v>-0.56411171662957127</v>
      </c>
      <c r="AW261" s="404">
        <f t="shared" si="393"/>
        <v>0.94018080983976737</v>
      </c>
    </row>
    <row r="262" spans="1:49" s="70" customFormat="1" x14ac:dyDescent="0.25">
      <c r="A262" s="341">
        <v>2315206</v>
      </c>
      <c r="B262" s="342" t="s">
        <v>623</v>
      </c>
      <c r="C262" s="368">
        <v>0</v>
      </c>
      <c r="D262" s="368">
        <v>0</v>
      </c>
      <c r="E262" s="368">
        <v>0</v>
      </c>
      <c r="F262" s="368">
        <v>90482087</v>
      </c>
      <c r="G262" s="368">
        <f t="shared" si="378"/>
        <v>90482087</v>
      </c>
      <c r="H262" s="68"/>
      <c r="I262" s="210"/>
      <c r="J262" s="210"/>
      <c r="K262" s="210">
        <v>9048208.6999999993</v>
      </c>
      <c r="L262" s="210">
        <v>9048208.6999999993</v>
      </c>
      <c r="M262" s="210">
        <v>9048208.6999999993</v>
      </c>
      <c r="N262" s="210">
        <v>9048208.6999999993</v>
      </c>
      <c r="O262" s="210">
        <v>9048208.6999999993</v>
      </c>
      <c r="P262" s="210">
        <v>9048208.6999999993</v>
      </c>
      <c r="Q262" s="210">
        <v>9048208.6999999993</v>
      </c>
      <c r="R262" s="210">
        <v>9048208.6999999993</v>
      </c>
      <c r="S262" s="210">
        <v>9048208.6999999993</v>
      </c>
      <c r="T262" s="210">
        <v>9048208.6999999993</v>
      </c>
      <c r="U262" s="412">
        <f t="shared" si="309"/>
        <v>72385669.600000009</v>
      </c>
      <c r="V262" s="58">
        <f t="shared" si="380"/>
        <v>90482087.000000015</v>
      </c>
      <c r="W262" s="396">
        <f t="shared" si="394"/>
        <v>90482087</v>
      </c>
      <c r="X262" s="396">
        <f t="shared" si="395"/>
        <v>0</v>
      </c>
      <c r="Y262" s="396">
        <f t="shared" si="382"/>
        <v>0</v>
      </c>
      <c r="Z262" s="53"/>
      <c r="AA262" s="210">
        <v>0</v>
      </c>
      <c r="AB262" s="210">
        <v>0</v>
      </c>
      <c r="AC262" s="210">
        <v>0</v>
      </c>
      <c r="AD262" s="210">
        <v>0</v>
      </c>
      <c r="AE262" s="210">
        <v>0</v>
      </c>
      <c r="AF262" s="210">
        <v>0</v>
      </c>
      <c r="AG262" s="210">
        <v>0</v>
      </c>
      <c r="AH262" s="368">
        <v>0</v>
      </c>
      <c r="AI262" s="368">
        <v>0</v>
      </c>
      <c r="AJ262" s="368">
        <v>0</v>
      </c>
      <c r="AK262" s="210">
        <f t="shared" si="307"/>
        <v>0</v>
      </c>
      <c r="AL262" s="387"/>
      <c r="AM262" s="404" t="e">
        <f t="shared" si="383"/>
        <v>#DIV/0!</v>
      </c>
      <c r="AN262" s="404" t="e">
        <f t="shared" si="384"/>
        <v>#DIV/0!</v>
      </c>
      <c r="AO262" s="404">
        <f t="shared" si="385"/>
        <v>-1</v>
      </c>
      <c r="AP262" s="404">
        <f t="shared" si="386"/>
        <v>-1</v>
      </c>
      <c r="AQ262" s="404">
        <f t="shared" si="387"/>
        <v>-1</v>
      </c>
      <c r="AR262" s="404">
        <f t="shared" si="388"/>
        <v>-1</v>
      </c>
      <c r="AS262" s="404">
        <f t="shared" si="389"/>
        <v>-1</v>
      </c>
      <c r="AT262" s="404">
        <f t="shared" si="390"/>
        <v>-1</v>
      </c>
      <c r="AU262" s="404">
        <f t="shared" si="391"/>
        <v>-1</v>
      </c>
      <c r="AV262" s="404">
        <f t="shared" si="392"/>
        <v>-1</v>
      </c>
      <c r="AW262" s="404">
        <f t="shared" si="393"/>
        <v>-1</v>
      </c>
    </row>
    <row r="263" spans="1:49" ht="30" x14ac:dyDescent="0.25">
      <c r="A263" s="341">
        <v>2315207</v>
      </c>
      <c r="B263" s="342" t="s">
        <v>624</v>
      </c>
      <c r="C263" s="368">
        <v>0</v>
      </c>
      <c r="D263" s="368">
        <v>0</v>
      </c>
      <c r="E263" s="368">
        <v>0</v>
      </c>
      <c r="F263" s="368">
        <v>995546166</v>
      </c>
      <c r="G263" s="368">
        <f t="shared" si="378"/>
        <v>995546166</v>
      </c>
      <c r="H263" s="68"/>
      <c r="I263" s="210"/>
      <c r="J263" s="210"/>
      <c r="K263" s="210">
        <v>99554616.599999994</v>
      </c>
      <c r="L263" s="210">
        <v>99554616.599999994</v>
      </c>
      <c r="M263" s="210">
        <v>99554616.599999994</v>
      </c>
      <c r="N263" s="210">
        <v>99554616.599999994</v>
      </c>
      <c r="O263" s="210">
        <v>99554616.599999994</v>
      </c>
      <c r="P263" s="210">
        <v>99554616.599999994</v>
      </c>
      <c r="Q263" s="210">
        <v>99554616.599999994</v>
      </c>
      <c r="R263" s="210">
        <v>99554616.599999994</v>
      </c>
      <c r="S263" s="210">
        <v>99554616.599999994</v>
      </c>
      <c r="T263" s="210">
        <v>99554616.599999994</v>
      </c>
      <c r="U263" s="412">
        <f t="shared" si="309"/>
        <v>796436932.80000007</v>
      </c>
      <c r="V263" s="58">
        <f t="shared" si="380"/>
        <v>995546166.00000012</v>
      </c>
      <c r="W263" s="396">
        <f t="shared" si="394"/>
        <v>995546166</v>
      </c>
      <c r="X263" s="396">
        <f t="shared" si="395"/>
        <v>0</v>
      </c>
      <c r="Y263" s="396">
        <f t="shared" si="382"/>
        <v>0</v>
      </c>
      <c r="AA263" s="210">
        <v>558044</v>
      </c>
      <c r="AB263" s="210">
        <v>5092555</v>
      </c>
      <c r="AC263" s="210">
        <v>17838632</v>
      </c>
      <c r="AD263" s="210">
        <v>7152389</v>
      </c>
      <c r="AE263" s="210">
        <v>13366837</v>
      </c>
      <c r="AF263" s="210">
        <v>17397431</v>
      </c>
      <c r="AG263" s="210">
        <v>28931557</v>
      </c>
      <c r="AH263" s="368">
        <f>17796285+2102834</f>
        <v>19899119</v>
      </c>
      <c r="AI263" s="368">
        <v>28517245</v>
      </c>
      <c r="AJ263" s="368">
        <v>27569822</v>
      </c>
      <c r="AK263" s="210">
        <f t="shared" si="307"/>
        <v>166323631</v>
      </c>
      <c r="AL263" s="387"/>
      <c r="AM263" s="404" t="e">
        <f t="shared" si="383"/>
        <v>#DIV/0!</v>
      </c>
      <c r="AN263" s="404" t="e">
        <f t="shared" si="384"/>
        <v>#DIV/0!</v>
      </c>
      <c r="AO263" s="404">
        <f t="shared" si="385"/>
        <v>-0.82081562252734341</v>
      </c>
      <c r="AP263" s="404">
        <f t="shared" si="386"/>
        <v>-0.92815612932610103</v>
      </c>
      <c r="AQ263" s="404">
        <f t="shared" si="387"/>
        <v>-0.8657336298756837</v>
      </c>
      <c r="AR263" s="404">
        <f t="shared" si="388"/>
        <v>-0.82524737079847288</v>
      </c>
      <c r="AS263" s="404">
        <f t="shared" si="389"/>
        <v>-0.70939010175445749</v>
      </c>
      <c r="AT263" s="404">
        <f t="shared" si="390"/>
        <v>-0.80011857129687347</v>
      </c>
      <c r="AU263" s="404">
        <f t="shared" si="391"/>
        <v>-0.71355175707642671</v>
      </c>
      <c r="AV263" s="404">
        <f t="shared" si="392"/>
        <v>-0.72306837250177303</v>
      </c>
      <c r="AW263" s="404">
        <f t="shared" si="393"/>
        <v>0.67067722904574989</v>
      </c>
    </row>
    <row r="264" spans="1:49" x14ac:dyDescent="0.25">
      <c r="A264" s="341">
        <v>2315208</v>
      </c>
      <c r="B264" s="342" t="s">
        <v>645</v>
      </c>
      <c r="C264" s="368">
        <v>0</v>
      </c>
      <c r="D264" s="368">
        <v>0</v>
      </c>
      <c r="E264" s="368">
        <v>0</v>
      </c>
      <c r="F264" s="368">
        <v>811381400</v>
      </c>
      <c r="G264" s="368">
        <f t="shared" si="378"/>
        <v>811381400</v>
      </c>
      <c r="H264" s="68"/>
      <c r="I264" s="210"/>
      <c r="J264" s="210"/>
      <c r="K264" s="210">
        <v>81138140</v>
      </c>
      <c r="L264" s="210">
        <v>81138140</v>
      </c>
      <c r="M264" s="210">
        <v>81138140</v>
      </c>
      <c r="N264" s="210">
        <v>81138140</v>
      </c>
      <c r="O264" s="210">
        <v>81138140</v>
      </c>
      <c r="P264" s="210">
        <v>81138140</v>
      </c>
      <c r="Q264" s="210">
        <v>81138140</v>
      </c>
      <c r="R264" s="210">
        <v>81138140</v>
      </c>
      <c r="S264" s="210">
        <v>81138140</v>
      </c>
      <c r="T264" s="210">
        <v>81138140</v>
      </c>
      <c r="U264" s="412">
        <f t="shared" si="309"/>
        <v>649105120</v>
      </c>
      <c r="V264" s="58">
        <f t="shared" si="380"/>
        <v>811381400</v>
      </c>
      <c r="W264" s="396">
        <f t="shared" si="394"/>
        <v>811381400</v>
      </c>
      <c r="X264" s="396">
        <f t="shared" si="395"/>
        <v>0</v>
      </c>
      <c r="Y264" s="396">
        <f t="shared" si="382"/>
        <v>0</v>
      </c>
      <c r="AA264" s="210">
        <v>538604</v>
      </c>
      <c r="AB264" s="210">
        <v>4173292</v>
      </c>
      <c r="AC264" s="210">
        <v>2198150</v>
      </c>
      <c r="AD264" s="210">
        <v>111950</v>
      </c>
      <c r="AE264" s="210">
        <v>747324</v>
      </c>
      <c r="AF264" s="210">
        <v>4090959</v>
      </c>
      <c r="AG264" s="210">
        <v>864001</v>
      </c>
      <c r="AH264" s="368">
        <v>0</v>
      </c>
      <c r="AI264" s="368">
        <v>4483668</v>
      </c>
      <c r="AJ264" s="368">
        <v>9709615</v>
      </c>
      <c r="AK264" s="210">
        <f t="shared" si="307"/>
        <v>26917563</v>
      </c>
      <c r="AL264" s="387"/>
      <c r="AM264" s="404" t="e">
        <f t="shared" si="383"/>
        <v>#DIV/0!</v>
      </c>
      <c r="AN264" s="404" t="e">
        <f t="shared" si="384"/>
        <v>#DIV/0!</v>
      </c>
      <c r="AO264" s="404">
        <f t="shared" si="385"/>
        <v>-0.97290854831032603</v>
      </c>
      <c r="AP264" s="404">
        <f t="shared" si="386"/>
        <v>-0.9986202542971776</v>
      </c>
      <c r="AQ264" s="404">
        <f t="shared" si="387"/>
        <v>-0.99078948568453751</v>
      </c>
      <c r="AR264" s="404">
        <f t="shared" si="388"/>
        <v>-0.94958032067286724</v>
      </c>
      <c r="AS264" s="404">
        <f t="shared" si="389"/>
        <v>-0.98935148131322703</v>
      </c>
      <c r="AT264" s="404">
        <f t="shared" si="390"/>
        <v>-1</v>
      </c>
      <c r="AU264" s="404">
        <f t="shared" si="391"/>
        <v>-0.94474031571342409</v>
      </c>
      <c r="AV264" s="404">
        <f t="shared" si="392"/>
        <v>-0.88033229502179866</v>
      </c>
      <c r="AW264" s="404">
        <f t="shared" si="393"/>
        <v>-0.66825018419204585</v>
      </c>
    </row>
    <row r="265" spans="1:49" x14ac:dyDescent="0.25">
      <c r="A265" s="341">
        <v>2315209</v>
      </c>
      <c r="B265" s="342" t="s">
        <v>646</v>
      </c>
      <c r="C265" s="368">
        <v>0</v>
      </c>
      <c r="D265" s="368">
        <v>0</v>
      </c>
      <c r="E265" s="368">
        <v>0</v>
      </c>
      <c r="F265" s="368">
        <v>56198830</v>
      </c>
      <c r="G265" s="368">
        <f t="shared" si="378"/>
        <v>56198830</v>
      </c>
      <c r="H265" s="68"/>
      <c r="I265" s="210"/>
      <c r="J265" s="210"/>
      <c r="K265" s="210">
        <v>5619883</v>
      </c>
      <c r="L265" s="210">
        <v>5619883</v>
      </c>
      <c r="M265" s="210">
        <v>5619883</v>
      </c>
      <c r="N265" s="210">
        <v>5619883</v>
      </c>
      <c r="O265" s="210">
        <v>5619883</v>
      </c>
      <c r="P265" s="210">
        <v>5619883</v>
      </c>
      <c r="Q265" s="210">
        <v>5619883</v>
      </c>
      <c r="R265" s="210">
        <v>5619883</v>
      </c>
      <c r="S265" s="210">
        <v>5619883</v>
      </c>
      <c r="T265" s="210">
        <v>5619883</v>
      </c>
      <c r="U265" s="412">
        <f t="shared" si="309"/>
        <v>44959064</v>
      </c>
      <c r="V265" s="58">
        <f t="shared" si="380"/>
        <v>56198830</v>
      </c>
      <c r="W265" s="396">
        <f t="shared" si="394"/>
        <v>56198830</v>
      </c>
      <c r="X265" s="396">
        <f t="shared" si="395"/>
        <v>0</v>
      </c>
      <c r="Y265" s="396">
        <f t="shared" si="382"/>
        <v>0</v>
      </c>
      <c r="AA265" s="210">
        <v>0</v>
      </c>
      <c r="AB265" s="210">
        <v>3260</v>
      </c>
      <c r="AC265" s="210">
        <v>0</v>
      </c>
      <c r="AD265" s="210">
        <v>0</v>
      </c>
      <c r="AE265" s="210">
        <v>4588145</v>
      </c>
      <c r="AF265" s="210">
        <v>0</v>
      </c>
      <c r="AG265" s="210">
        <v>786176</v>
      </c>
      <c r="AH265" s="368">
        <v>0</v>
      </c>
      <c r="AI265" s="368">
        <v>1359260</v>
      </c>
      <c r="AJ265" s="368">
        <v>0</v>
      </c>
      <c r="AK265" s="210">
        <f t="shared" ref="AK265:AK328" si="396">SUM(AA265:AJ265)</f>
        <v>6736841</v>
      </c>
      <c r="AL265" s="387"/>
      <c r="AM265" s="404" t="e">
        <f t="shared" si="383"/>
        <v>#DIV/0!</v>
      </c>
      <c r="AN265" s="404" t="e">
        <f t="shared" si="384"/>
        <v>#DIV/0!</v>
      </c>
      <c r="AO265" s="404">
        <f t="shared" si="385"/>
        <v>-1</v>
      </c>
      <c r="AP265" s="404">
        <f t="shared" si="386"/>
        <v>-1</v>
      </c>
      <c r="AQ265" s="404">
        <f t="shared" si="387"/>
        <v>-0.18358709603029102</v>
      </c>
      <c r="AR265" s="404">
        <f t="shared" si="388"/>
        <v>-1</v>
      </c>
      <c r="AS265" s="404">
        <f t="shared" si="389"/>
        <v>-0.86010811968861278</v>
      </c>
      <c r="AT265" s="404">
        <f t="shared" si="390"/>
        <v>-1</v>
      </c>
      <c r="AU265" s="404">
        <f t="shared" si="391"/>
        <v>-0.75813375474186917</v>
      </c>
      <c r="AV265" s="404">
        <f t="shared" si="392"/>
        <v>-1</v>
      </c>
      <c r="AW265" s="404">
        <f t="shared" si="393"/>
        <v>0.19875111279007054</v>
      </c>
    </row>
    <row r="266" spans="1:49" x14ac:dyDescent="0.25">
      <c r="A266" s="341">
        <v>2315210</v>
      </c>
      <c r="B266" s="342" t="s">
        <v>647</v>
      </c>
      <c r="C266" s="368">
        <v>0</v>
      </c>
      <c r="D266" s="368">
        <v>0</v>
      </c>
      <c r="E266" s="368">
        <v>0</v>
      </c>
      <c r="F266" s="368">
        <v>268721099</v>
      </c>
      <c r="G266" s="368">
        <f t="shared" si="378"/>
        <v>268721099</v>
      </c>
      <c r="H266" s="68"/>
      <c r="I266" s="210"/>
      <c r="J266" s="210"/>
      <c r="K266" s="210">
        <v>26872109.899999999</v>
      </c>
      <c r="L266" s="210">
        <v>26872109.899999999</v>
      </c>
      <c r="M266" s="210">
        <v>26872109.899999999</v>
      </c>
      <c r="N266" s="210">
        <v>26872109.899999999</v>
      </c>
      <c r="O266" s="210">
        <v>26872109.899999999</v>
      </c>
      <c r="P266" s="210">
        <v>26872109.899999999</v>
      </c>
      <c r="Q266" s="210">
        <v>26872109.899999999</v>
      </c>
      <c r="R266" s="210">
        <v>26872109.899999999</v>
      </c>
      <c r="S266" s="210">
        <v>26872109.899999999</v>
      </c>
      <c r="T266" s="210">
        <v>26872109.899999999</v>
      </c>
      <c r="U266" s="412">
        <f t="shared" ref="U266:U329" si="397">SUM(I266:R266)</f>
        <v>214976879.20000002</v>
      </c>
      <c r="V266" s="58">
        <f t="shared" si="380"/>
        <v>268721099</v>
      </c>
      <c r="W266" s="396">
        <f t="shared" si="394"/>
        <v>268721099</v>
      </c>
      <c r="X266" s="396">
        <f t="shared" si="395"/>
        <v>0</v>
      </c>
      <c r="Y266" s="396">
        <f t="shared" si="382"/>
        <v>0</v>
      </c>
      <c r="AA266" s="210">
        <v>0</v>
      </c>
      <c r="AB266" s="210">
        <v>17230369</v>
      </c>
      <c r="AC266" s="210">
        <v>7322424</v>
      </c>
      <c r="AD266" s="210">
        <v>0</v>
      </c>
      <c r="AE266" s="210">
        <v>21880603</v>
      </c>
      <c r="AF266" s="210">
        <v>11910981</v>
      </c>
      <c r="AG266" s="210">
        <v>32912060</v>
      </c>
      <c r="AH266" s="368">
        <v>11151989</v>
      </c>
      <c r="AI266" s="368">
        <v>10554922</v>
      </c>
      <c r="AJ266" s="368">
        <v>19232831</v>
      </c>
      <c r="AK266" s="210">
        <f t="shared" si="396"/>
        <v>132196179</v>
      </c>
      <c r="AL266" s="387"/>
      <c r="AM266" s="404" t="e">
        <f t="shared" si="383"/>
        <v>#DIV/0!</v>
      </c>
      <c r="AN266" s="404" t="e">
        <f t="shared" si="384"/>
        <v>#DIV/0!</v>
      </c>
      <c r="AO266" s="404">
        <f t="shared" si="385"/>
        <v>-0.7275084082623523</v>
      </c>
      <c r="AP266" s="404">
        <f t="shared" si="386"/>
        <v>-1</v>
      </c>
      <c r="AQ266" s="404">
        <f t="shared" si="387"/>
        <v>-0.1857504646481071</v>
      </c>
      <c r="AR266" s="404">
        <f t="shared" si="388"/>
        <v>-0.55675304081723775</v>
      </c>
      <c r="AS266" s="404">
        <f t="shared" si="389"/>
        <v>0.22476650037814863</v>
      </c>
      <c r="AT266" s="404">
        <f t="shared" si="390"/>
        <v>-0.58499764099282725</v>
      </c>
      <c r="AU266" s="404">
        <f t="shared" si="391"/>
        <v>-0.60721647688706426</v>
      </c>
      <c r="AV266" s="404">
        <f t="shared" si="392"/>
        <v>-0.28428280951619656</v>
      </c>
      <c r="AW266" s="404">
        <f t="shared" si="393"/>
        <v>3.9194566221984677</v>
      </c>
    </row>
    <row r="267" spans="1:49" s="70" customFormat="1" ht="30" x14ac:dyDescent="0.25">
      <c r="A267" s="341">
        <v>2315211</v>
      </c>
      <c r="B267" s="342" t="s">
        <v>648</v>
      </c>
      <c r="C267" s="368">
        <v>0</v>
      </c>
      <c r="D267" s="368">
        <v>0</v>
      </c>
      <c r="E267" s="368">
        <v>0</v>
      </c>
      <c r="F267" s="368">
        <v>142901583</v>
      </c>
      <c r="G267" s="368">
        <f t="shared" si="378"/>
        <v>142901583</v>
      </c>
      <c r="H267" s="68"/>
      <c r="I267" s="210"/>
      <c r="J267" s="210"/>
      <c r="K267" s="210">
        <v>14290158.300000001</v>
      </c>
      <c r="L267" s="210">
        <v>14290158.300000001</v>
      </c>
      <c r="M267" s="210">
        <v>14290158.300000001</v>
      </c>
      <c r="N267" s="210">
        <v>14290158.300000001</v>
      </c>
      <c r="O267" s="210">
        <v>14290158.300000001</v>
      </c>
      <c r="P267" s="210">
        <v>14290158.300000001</v>
      </c>
      <c r="Q267" s="210">
        <v>14290158.300000001</v>
      </c>
      <c r="R267" s="210">
        <v>14290158.300000001</v>
      </c>
      <c r="S267" s="210">
        <v>14290158.300000001</v>
      </c>
      <c r="T267" s="210">
        <v>14290158.300000001</v>
      </c>
      <c r="U267" s="412">
        <f t="shared" si="397"/>
        <v>114321266.39999999</v>
      </c>
      <c r="V267" s="58">
        <f t="shared" si="380"/>
        <v>142901583</v>
      </c>
      <c r="W267" s="396">
        <f t="shared" si="394"/>
        <v>142901583</v>
      </c>
      <c r="X267" s="396">
        <f t="shared" si="395"/>
        <v>0</v>
      </c>
      <c r="Y267" s="396">
        <f t="shared" si="382"/>
        <v>0</v>
      </c>
      <c r="Z267" s="53"/>
      <c r="AA267" s="210">
        <v>0</v>
      </c>
      <c r="AB267" s="210">
        <v>0</v>
      </c>
      <c r="AC267" s="210">
        <v>70014</v>
      </c>
      <c r="AD267" s="210">
        <v>0</v>
      </c>
      <c r="AE267" s="210">
        <v>0</v>
      </c>
      <c r="AF267" s="210">
        <v>0</v>
      </c>
      <c r="AG267" s="210">
        <v>0</v>
      </c>
      <c r="AH267" s="368">
        <v>38352011</v>
      </c>
      <c r="AI267" s="368">
        <v>2801222</v>
      </c>
      <c r="AJ267" s="368">
        <v>9009573</v>
      </c>
      <c r="AK267" s="210">
        <f t="shared" si="396"/>
        <v>50232820</v>
      </c>
      <c r="AL267" s="387"/>
      <c r="AM267" s="404" t="e">
        <f t="shared" si="383"/>
        <v>#DIV/0!</v>
      </c>
      <c r="AN267" s="404" t="e">
        <f t="shared" si="384"/>
        <v>#DIV/0!</v>
      </c>
      <c r="AO267" s="404">
        <f t="shared" si="385"/>
        <v>-0.99510054412763227</v>
      </c>
      <c r="AP267" s="404">
        <f t="shared" si="386"/>
        <v>-1</v>
      </c>
      <c r="AQ267" s="404">
        <f t="shared" si="387"/>
        <v>-1</v>
      </c>
      <c r="AR267" s="404">
        <f t="shared" si="388"/>
        <v>-1</v>
      </c>
      <c r="AS267" s="404">
        <f t="shared" si="389"/>
        <v>-1</v>
      </c>
      <c r="AT267" s="404">
        <f t="shared" si="390"/>
        <v>1.6838058889802501</v>
      </c>
      <c r="AU267" s="404">
        <f t="shared" si="391"/>
        <v>-0.80397543951629979</v>
      </c>
      <c r="AV267" s="404">
        <f t="shared" si="392"/>
        <v>-0.36952601847664629</v>
      </c>
      <c r="AW267" s="404">
        <f t="shared" si="393"/>
        <v>2.515203886859672</v>
      </c>
    </row>
    <row r="268" spans="1:49" x14ac:dyDescent="0.25">
      <c r="A268" s="341">
        <v>2315212</v>
      </c>
      <c r="B268" s="342" t="s">
        <v>113</v>
      </c>
      <c r="C268" s="368">
        <v>0</v>
      </c>
      <c r="D268" s="368">
        <v>0</v>
      </c>
      <c r="E268" s="368">
        <v>0</v>
      </c>
      <c r="F268" s="368">
        <v>269516545</v>
      </c>
      <c r="G268" s="368">
        <f t="shared" si="378"/>
        <v>269516545</v>
      </c>
      <c r="H268" s="68"/>
      <c r="I268" s="210"/>
      <c r="J268" s="210"/>
      <c r="K268" s="210">
        <v>26951654.5</v>
      </c>
      <c r="L268" s="210">
        <v>26951654.5</v>
      </c>
      <c r="M268" s="210">
        <v>26951654.5</v>
      </c>
      <c r="N268" s="210">
        <v>26951654.5</v>
      </c>
      <c r="O268" s="210">
        <v>26951654.5</v>
      </c>
      <c r="P268" s="210">
        <v>26951654.5</v>
      </c>
      <c r="Q268" s="210">
        <v>26951654.5</v>
      </c>
      <c r="R268" s="210">
        <v>26951654.5</v>
      </c>
      <c r="S268" s="210">
        <v>26951654.5</v>
      </c>
      <c r="T268" s="210">
        <v>26951654.5</v>
      </c>
      <c r="U268" s="412">
        <f t="shared" si="397"/>
        <v>215613236</v>
      </c>
      <c r="V268" s="58">
        <f t="shared" si="380"/>
        <v>269516545</v>
      </c>
      <c r="W268" s="396">
        <f t="shared" si="394"/>
        <v>269516545</v>
      </c>
      <c r="X268" s="396">
        <f t="shared" si="395"/>
        <v>0</v>
      </c>
      <c r="Y268" s="396">
        <f t="shared" si="382"/>
        <v>0</v>
      </c>
      <c r="AA268" s="210">
        <v>0</v>
      </c>
      <c r="AB268" s="210">
        <v>16712000</v>
      </c>
      <c r="AC268" s="210">
        <v>0</v>
      </c>
      <c r="AD268" s="210">
        <v>0</v>
      </c>
      <c r="AE268" s="210">
        <v>16719722</v>
      </c>
      <c r="AF268" s="210">
        <v>14968197</v>
      </c>
      <c r="AG268" s="210">
        <v>4811789</v>
      </c>
      <c r="AH268" s="368">
        <v>15222203</v>
      </c>
      <c r="AI268" s="368">
        <v>8984000</v>
      </c>
      <c r="AJ268" s="368">
        <v>2000000</v>
      </c>
      <c r="AK268" s="210">
        <f t="shared" si="396"/>
        <v>79417911</v>
      </c>
      <c r="AL268" s="387"/>
      <c r="AM268" s="404" t="e">
        <f t="shared" si="383"/>
        <v>#DIV/0!</v>
      </c>
      <c r="AN268" s="404" t="e">
        <f t="shared" si="384"/>
        <v>#DIV/0!</v>
      </c>
      <c r="AO268" s="404">
        <f t="shared" si="385"/>
        <v>-1</v>
      </c>
      <c r="AP268" s="404">
        <f t="shared" si="386"/>
        <v>-1</v>
      </c>
      <c r="AQ268" s="404">
        <f t="shared" si="387"/>
        <v>-0.37964023692868282</v>
      </c>
      <c r="AR268" s="404">
        <f t="shared" si="388"/>
        <v>-0.44462789844682821</v>
      </c>
      <c r="AS268" s="404">
        <f t="shared" si="389"/>
        <v>-0.8214659140870183</v>
      </c>
      <c r="AT268" s="404">
        <f t="shared" si="390"/>
        <v>-0.43520339354305687</v>
      </c>
      <c r="AU268" s="404">
        <f t="shared" si="391"/>
        <v>-0.6666623935832956</v>
      </c>
      <c r="AV268" s="404">
        <f t="shared" si="392"/>
        <v>-0.9257930528903151</v>
      </c>
      <c r="AW268" s="404">
        <f t="shared" si="393"/>
        <v>1.9466803605693297</v>
      </c>
    </row>
    <row r="269" spans="1:49" x14ac:dyDescent="0.25">
      <c r="A269" s="341">
        <v>2315213</v>
      </c>
      <c r="B269" s="342" t="s">
        <v>649</v>
      </c>
      <c r="C269" s="368">
        <v>0</v>
      </c>
      <c r="D269" s="368">
        <v>0</v>
      </c>
      <c r="E269" s="368">
        <v>0</v>
      </c>
      <c r="F269" s="368">
        <v>108357039</v>
      </c>
      <c r="G269" s="368">
        <f t="shared" si="378"/>
        <v>108357039</v>
      </c>
      <c r="H269" s="68"/>
      <c r="I269" s="210"/>
      <c r="J269" s="210"/>
      <c r="K269" s="210">
        <v>10835703.9</v>
      </c>
      <c r="L269" s="210">
        <v>10835703.9</v>
      </c>
      <c r="M269" s="210">
        <v>10835703.9</v>
      </c>
      <c r="N269" s="210">
        <v>10835703.9</v>
      </c>
      <c r="O269" s="210">
        <v>10835703.9</v>
      </c>
      <c r="P269" s="210">
        <v>10835703.9</v>
      </c>
      <c r="Q269" s="210">
        <v>10835703.9</v>
      </c>
      <c r="R269" s="210">
        <v>10835703.9</v>
      </c>
      <c r="S269" s="210">
        <v>10835703.9</v>
      </c>
      <c r="T269" s="210">
        <v>10835703.9</v>
      </c>
      <c r="U269" s="412">
        <f t="shared" si="397"/>
        <v>86685631.200000003</v>
      </c>
      <c r="V269" s="58">
        <f t="shared" si="380"/>
        <v>108357039.00000001</v>
      </c>
      <c r="W269" s="396">
        <f t="shared" si="394"/>
        <v>108357039</v>
      </c>
      <c r="X269" s="396">
        <f t="shared" si="395"/>
        <v>0</v>
      </c>
      <c r="Y269" s="396">
        <f t="shared" si="382"/>
        <v>0</v>
      </c>
      <c r="AA269" s="210">
        <v>0</v>
      </c>
      <c r="AB269" s="210">
        <v>0</v>
      </c>
      <c r="AC269" s="210">
        <v>0</v>
      </c>
      <c r="AD269" s="210">
        <v>32246</v>
      </c>
      <c r="AE269" s="210">
        <v>0</v>
      </c>
      <c r="AF269" s="210">
        <v>529203</v>
      </c>
      <c r="AG269" s="210">
        <v>7500000</v>
      </c>
      <c r="AH269" s="368">
        <v>4987933</v>
      </c>
      <c r="AI269" s="368">
        <v>0</v>
      </c>
      <c r="AJ269" s="368">
        <v>1768395</v>
      </c>
      <c r="AK269" s="210">
        <f t="shared" si="396"/>
        <v>14817777</v>
      </c>
      <c r="AL269" s="387"/>
      <c r="AM269" s="404" t="e">
        <f t="shared" si="383"/>
        <v>#DIV/0!</v>
      </c>
      <c r="AN269" s="404" t="e">
        <f t="shared" si="384"/>
        <v>#DIV/0!</v>
      </c>
      <c r="AO269" s="404">
        <f t="shared" si="385"/>
        <v>-1</v>
      </c>
      <c r="AP269" s="404">
        <f t="shared" si="386"/>
        <v>-0.99702409734544328</v>
      </c>
      <c r="AQ269" s="404">
        <f t="shared" si="387"/>
        <v>-1</v>
      </c>
      <c r="AR269" s="404">
        <f t="shared" si="388"/>
        <v>-0.95116117929357591</v>
      </c>
      <c r="AS269" s="404">
        <f t="shared" si="389"/>
        <v>-0.30784376638420324</v>
      </c>
      <c r="AT269" s="404">
        <f t="shared" si="390"/>
        <v>-0.53967614415894105</v>
      </c>
      <c r="AU269" s="404">
        <f t="shared" si="391"/>
        <v>-1</v>
      </c>
      <c r="AV269" s="404">
        <f t="shared" si="392"/>
        <v>-0.83679925030066571</v>
      </c>
      <c r="AW269" s="404">
        <f t="shared" si="393"/>
        <v>0.36749556251717064</v>
      </c>
    </row>
    <row r="270" spans="1:49" x14ac:dyDescent="0.25">
      <c r="A270" s="341">
        <v>2315214</v>
      </c>
      <c r="B270" s="342" t="s">
        <v>114</v>
      </c>
      <c r="C270" s="368">
        <v>0</v>
      </c>
      <c r="D270" s="368">
        <v>0</v>
      </c>
      <c r="E270" s="368">
        <v>0</v>
      </c>
      <c r="F270" s="368">
        <v>21206300</v>
      </c>
      <c r="G270" s="368">
        <f t="shared" si="378"/>
        <v>21206300</v>
      </c>
      <c r="H270" s="68"/>
      <c r="I270" s="210"/>
      <c r="J270" s="210"/>
      <c r="K270" s="210">
        <v>2120630</v>
      </c>
      <c r="L270" s="210">
        <v>2120630</v>
      </c>
      <c r="M270" s="210">
        <v>2120630</v>
      </c>
      <c r="N270" s="210">
        <v>2120630</v>
      </c>
      <c r="O270" s="210">
        <v>2120630</v>
      </c>
      <c r="P270" s="210">
        <v>2120630</v>
      </c>
      <c r="Q270" s="210">
        <v>2120630</v>
      </c>
      <c r="R270" s="210">
        <v>2120630</v>
      </c>
      <c r="S270" s="210">
        <v>2120630</v>
      </c>
      <c r="T270" s="210">
        <v>2120630</v>
      </c>
      <c r="U270" s="412">
        <f t="shared" si="397"/>
        <v>16965040</v>
      </c>
      <c r="V270" s="58">
        <f t="shared" si="380"/>
        <v>21206300</v>
      </c>
      <c r="W270" s="396">
        <f t="shared" si="394"/>
        <v>21206300</v>
      </c>
      <c r="X270" s="396">
        <f t="shared" si="395"/>
        <v>0</v>
      </c>
      <c r="Y270" s="396">
        <f t="shared" si="382"/>
        <v>0</v>
      </c>
      <c r="AA270" s="210">
        <v>0</v>
      </c>
      <c r="AB270" s="210">
        <v>0</v>
      </c>
      <c r="AC270" s="210">
        <v>0</v>
      </c>
      <c r="AD270" s="210">
        <v>0</v>
      </c>
      <c r="AE270" s="210">
        <v>0</v>
      </c>
      <c r="AF270" s="210">
        <v>0</v>
      </c>
      <c r="AG270" s="210">
        <v>0</v>
      </c>
      <c r="AH270" s="368">
        <v>0</v>
      </c>
      <c r="AI270" s="368">
        <v>0</v>
      </c>
      <c r="AJ270" s="368">
        <v>0</v>
      </c>
      <c r="AK270" s="210">
        <f t="shared" si="396"/>
        <v>0</v>
      </c>
      <c r="AL270" s="386"/>
      <c r="AM270" s="404" t="e">
        <f t="shared" si="383"/>
        <v>#DIV/0!</v>
      </c>
      <c r="AN270" s="404" t="e">
        <f t="shared" si="384"/>
        <v>#DIV/0!</v>
      </c>
      <c r="AO270" s="404">
        <f t="shared" si="385"/>
        <v>-1</v>
      </c>
      <c r="AP270" s="404">
        <f t="shared" si="386"/>
        <v>-1</v>
      </c>
      <c r="AQ270" s="404">
        <f t="shared" si="387"/>
        <v>-1</v>
      </c>
      <c r="AR270" s="404">
        <f t="shared" si="388"/>
        <v>-1</v>
      </c>
      <c r="AS270" s="404">
        <f t="shared" si="389"/>
        <v>-1</v>
      </c>
      <c r="AT270" s="404">
        <f t="shared" si="390"/>
        <v>-1</v>
      </c>
      <c r="AU270" s="404">
        <f t="shared" si="391"/>
        <v>-1</v>
      </c>
      <c r="AV270" s="404">
        <f t="shared" si="392"/>
        <v>-1</v>
      </c>
      <c r="AW270" s="404">
        <f t="shared" si="393"/>
        <v>-1</v>
      </c>
    </row>
    <row r="271" spans="1:49" ht="45" x14ac:dyDescent="0.25">
      <c r="A271" s="335">
        <v>2316</v>
      </c>
      <c r="B271" s="336" t="s">
        <v>115</v>
      </c>
      <c r="C271" s="365">
        <f>+C272</f>
        <v>670000000</v>
      </c>
      <c r="D271" s="365">
        <f t="shared" ref="D271:G272" si="398">+D272</f>
        <v>603452900</v>
      </c>
      <c r="E271" s="365">
        <f t="shared" si="398"/>
        <v>0</v>
      </c>
      <c r="F271" s="365">
        <f t="shared" si="398"/>
        <v>308347603</v>
      </c>
      <c r="G271" s="365">
        <f t="shared" si="398"/>
        <v>1581800503</v>
      </c>
      <c r="H271" s="61">
        <f>+H272</f>
        <v>670000000</v>
      </c>
      <c r="I271" s="204">
        <f t="shared" ref="I271:AA272" si="399">+I272</f>
        <v>450000000</v>
      </c>
      <c r="J271" s="204">
        <f t="shared" si="399"/>
        <v>0</v>
      </c>
      <c r="K271" s="204">
        <f t="shared" si="399"/>
        <v>0</v>
      </c>
      <c r="L271" s="204">
        <f t="shared" si="399"/>
        <v>50000000</v>
      </c>
      <c r="M271" s="204">
        <f t="shared" si="399"/>
        <v>0</v>
      </c>
      <c r="N271" s="204">
        <f t="shared" si="399"/>
        <v>50000000</v>
      </c>
      <c r="O271" s="204">
        <f t="shared" si="399"/>
        <v>0</v>
      </c>
      <c r="P271" s="204">
        <f t="shared" si="399"/>
        <v>50000000</v>
      </c>
      <c r="Q271" s="204">
        <f t="shared" si="399"/>
        <v>0</v>
      </c>
      <c r="R271" s="204">
        <f t="shared" si="399"/>
        <v>550000000</v>
      </c>
      <c r="S271" s="204">
        <f t="shared" si="399"/>
        <v>431800503</v>
      </c>
      <c r="T271" s="204">
        <f t="shared" si="399"/>
        <v>0</v>
      </c>
      <c r="U271" s="415">
        <f t="shared" si="397"/>
        <v>1150000000</v>
      </c>
      <c r="V271" s="61">
        <f t="shared" si="399"/>
        <v>1581800503</v>
      </c>
      <c r="W271" s="396">
        <f t="shared" si="394"/>
        <v>1581800503</v>
      </c>
      <c r="X271" s="396">
        <f t="shared" si="395"/>
        <v>0</v>
      </c>
      <c r="Y271" s="396"/>
      <c r="AA271" s="204">
        <f t="shared" si="399"/>
        <v>0</v>
      </c>
      <c r="AB271" s="204">
        <f t="shared" ref="AA271:AI272" si="400">+AB272</f>
        <v>0</v>
      </c>
      <c r="AC271" s="204">
        <f t="shared" si="400"/>
        <v>0</v>
      </c>
      <c r="AD271" s="204">
        <f t="shared" si="400"/>
        <v>376361211</v>
      </c>
      <c r="AE271" s="204">
        <f t="shared" si="400"/>
        <v>39746725</v>
      </c>
      <c r="AF271" s="204">
        <f t="shared" si="400"/>
        <v>0</v>
      </c>
      <c r="AG271" s="204">
        <f t="shared" si="400"/>
        <v>139426045</v>
      </c>
      <c r="AH271" s="204">
        <f t="shared" si="400"/>
        <v>174751145</v>
      </c>
      <c r="AI271" s="204">
        <f t="shared" si="400"/>
        <v>325509439</v>
      </c>
      <c r="AJ271" s="204">
        <v>433865593</v>
      </c>
      <c r="AK271" s="204">
        <f t="shared" si="396"/>
        <v>1489660158</v>
      </c>
      <c r="AL271" s="386"/>
      <c r="AM271" s="411">
        <f t="shared" si="383"/>
        <v>-1</v>
      </c>
      <c r="AN271" s="411" t="e">
        <f t="shared" si="384"/>
        <v>#DIV/0!</v>
      </c>
      <c r="AO271" s="411" t="e">
        <f t="shared" si="385"/>
        <v>#DIV/0!</v>
      </c>
      <c r="AP271" s="411">
        <f t="shared" si="386"/>
        <v>6.5272242199999999</v>
      </c>
      <c r="AQ271" s="411" t="e">
        <f t="shared" si="387"/>
        <v>#DIV/0!</v>
      </c>
      <c r="AR271" s="411">
        <f t="shared" si="388"/>
        <v>-1</v>
      </c>
      <c r="AS271" s="411" t="e">
        <f t="shared" si="389"/>
        <v>#DIV/0!</v>
      </c>
      <c r="AT271" s="411">
        <f t="shared" si="390"/>
        <v>2.4950228999999999</v>
      </c>
      <c r="AU271" s="411" t="e">
        <f t="shared" si="391"/>
        <v>#DIV/0!</v>
      </c>
      <c r="AV271" s="411">
        <f t="shared" si="392"/>
        <v>-0.21115346727272727</v>
      </c>
      <c r="AW271" s="411">
        <f t="shared" si="393"/>
        <v>2.4498805528255718</v>
      </c>
    </row>
    <row r="272" spans="1:49" x14ac:dyDescent="0.25">
      <c r="A272" s="339">
        <v>23161</v>
      </c>
      <c r="B272" s="340" t="s">
        <v>116</v>
      </c>
      <c r="C272" s="367">
        <f>+C273</f>
        <v>670000000</v>
      </c>
      <c r="D272" s="367">
        <f t="shared" si="398"/>
        <v>603452900</v>
      </c>
      <c r="E272" s="367">
        <f t="shared" si="398"/>
        <v>0</v>
      </c>
      <c r="F272" s="367">
        <f t="shared" si="398"/>
        <v>308347603</v>
      </c>
      <c r="G272" s="367">
        <f t="shared" si="398"/>
        <v>1581800503</v>
      </c>
      <c r="H272" s="57">
        <f>+H273</f>
        <v>670000000</v>
      </c>
      <c r="I272" s="208">
        <f t="shared" si="399"/>
        <v>450000000</v>
      </c>
      <c r="J272" s="208">
        <f t="shared" si="399"/>
        <v>0</v>
      </c>
      <c r="K272" s="208">
        <f t="shared" si="399"/>
        <v>0</v>
      </c>
      <c r="L272" s="208">
        <f t="shared" si="399"/>
        <v>50000000</v>
      </c>
      <c r="M272" s="208">
        <f t="shared" si="399"/>
        <v>0</v>
      </c>
      <c r="N272" s="208">
        <f t="shared" si="399"/>
        <v>50000000</v>
      </c>
      <c r="O272" s="208">
        <f t="shared" si="399"/>
        <v>0</v>
      </c>
      <c r="P272" s="208">
        <f t="shared" si="399"/>
        <v>50000000</v>
      </c>
      <c r="Q272" s="208">
        <f t="shared" si="399"/>
        <v>0</v>
      </c>
      <c r="R272" s="208">
        <f t="shared" si="399"/>
        <v>550000000</v>
      </c>
      <c r="S272" s="208">
        <f t="shared" si="399"/>
        <v>431800503</v>
      </c>
      <c r="T272" s="208">
        <f t="shared" si="399"/>
        <v>0</v>
      </c>
      <c r="U272" s="413">
        <f t="shared" si="397"/>
        <v>1150000000</v>
      </c>
      <c r="V272" s="57">
        <f t="shared" si="399"/>
        <v>1581800503</v>
      </c>
      <c r="W272" s="396">
        <f t="shared" si="394"/>
        <v>1581800503</v>
      </c>
      <c r="X272" s="396">
        <f t="shared" si="395"/>
        <v>0</v>
      </c>
      <c r="Y272" s="396"/>
      <c r="AA272" s="208">
        <f t="shared" si="400"/>
        <v>0</v>
      </c>
      <c r="AB272" s="208">
        <f t="shared" si="400"/>
        <v>0</v>
      </c>
      <c r="AC272" s="208">
        <f t="shared" si="400"/>
        <v>0</v>
      </c>
      <c r="AD272" s="208">
        <f t="shared" si="400"/>
        <v>376361211</v>
      </c>
      <c r="AE272" s="208">
        <f t="shared" si="400"/>
        <v>39746725</v>
      </c>
      <c r="AF272" s="208">
        <f t="shared" si="400"/>
        <v>0</v>
      </c>
      <c r="AG272" s="208">
        <f t="shared" si="400"/>
        <v>139426045</v>
      </c>
      <c r="AH272" s="208">
        <f t="shared" si="400"/>
        <v>174751145</v>
      </c>
      <c r="AI272" s="208">
        <f t="shared" si="400"/>
        <v>325509439</v>
      </c>
      <c r="AJ272" s="208">
        <v>433865593</v>
      </c>
      <c r="AK272" s="208">
        <f t="shared" si="396"/>
        <v>1489660158</v>
      </c>
      <c r="AL272" s="387"/>
      <c r="AM272" s="409">
        <f t="shared" si="383"/>
        <v>-1</v>
      </c>
      <c r="AN272" s="409" t="e">
        <f t="shared" si="384"/>
        <v>#DIV/0!</v>
      </c>
      <c r="AO272" s="409" t="e">
        <f t="shared" si="385"/>
        <v>#DIV/0!</v>
      </c>
      <c r="AP272" s="409">
        <f t="shared" si="386"/>
        <v>6.5272242199999999</v>
      </c>
      <c r="AQ272" s="409" t="e">
        <f t="shared" si="387"/>
        <v>#DIV/0!</v>
      </c>
      <c r="AR272" s="409">
        <f t="shared" si="388"/>
        <v>-1</v>
      </c>
      <c r="AS272" s="409" t="e">
        <f t="shared" si="389"/>
        <v>#DIV/0!</v>
      </c>
      <c r="AT272" s="409">
        <f t="shared" si="390"/>
        <v>2.4950228999999999</v>
      </c>
      <c r="AU272" s="409" t="e">
        <f t="shared" si="391"/>
        <v>#DIV/0!</v>
      </c>
      <c r="AV272" s="409">
        <f t="shared" si="392"/>
        <v>-0.21115346727272727</v>
      </c>
      <c r="AW272" s="409">
        <f t="shared" si="393"/>
        <v>2.4498805528255718</v>
      </c>
    </row>
    <row r="273" spans="1:49" ht="30" x14ac:dyDescent="0.25">
      <c r="A273" s="364">
        <v>231614</v>
      </c>
      <c r="B273" s="342" t="s">
        <v>117</v>
      </c>
      <c r="C273" s="368">
        <v>670000000</v>
      </c>
      <c r="D273" s="368">
        <f>123452900+480000000</f>
        <v>603452900</v>
      </c>
      <c r="E273" s="368">
        <v>0</v>
      </c>
      <c r="F273" s="368">
        <v>308347603</v>
      </c>
      <c r="G273" s="368">
        <f t="shared" ref="G273" si="401">+C273+D273-E273+F273</f>
        <v>1581800503</v>
      </c>
      <c r="H273" s="58">
        <v>670000000</v>
      </c>
      <c r="I273" s="210">
        <v>450000000</v>
      </c>
      <c r="J273" s="210">
        <v>0</v>
      </c>
      <c r="K273" s="210">
        <v>0</v>
      </c>
      <c r="L273" s="210">
        <v>50000000</v>
      </c>
      <c r="M273" s="210">
        <v>0</v>
      </c>
      <c r="N273" s="210">
        <v>50000000</v>
      </c>
      <c r="O273" s="210">
        <v>0</v>
      </c>
      <c r="P273" s="210">
        <v>50000000</v>
      </c>
      <c r="Q273" s="210">
        <v>0</v>
      </c>
      <c r="R273" s="210">
        <f>70000000+480000000</f>
        <v>550000000</v>
      </c>
      <c r="S273" s="210">
        <v>431800503</v>
      </c>
      <c r="T273" s="210">
        <v>0</v>
      </c>
      <c r="U273" s="412">
        <f t="shared" si="397"/>
        <v>1150000000</v>
      </c>
      <c r="V273" s="58">
        <f>SUM(I273:T273)</f>
        <v>1581800503</v>
      </c>
      <c r="W273" s="396">
        <f t="shared" si="394"/>
        <v>1581800503</v>
      </c>
      <c r="X273" s="396">
        <f t="shared" si="395"/>
        <v>0</v>
      </c>
      <c r="Y273" s="396"/>
      <c r="AA273" s="210">
        <v>0</v>
      </c>
      <c r="AB273" s="210">
        <v>0</v>
      </c>
      <c r="AC273" s="210">
        <v>0</v>
      </c>
      <c r="AD273" s="210">
        <v>376361211</v>
      </c>
      <c r="AE273" s="210">
        <v>39746725</v>
      </c>
      <c r="AF273" s="210">
        <v>0</v>
      </c>
      <c r="AG273" s="210">
        <v>139426045</v>
      </c>
      <c r="AH273" s="368">
        <f>102588600+72162545</f>
        <v>174751145</v>
      </c>
      <c r="AI273" s="368">
        <v>325509439</v>
      </c>
      <c r="AJ273" s="368">
        <v>433865593</v>
      </c>
      <c r="AK273" s="210">
        <f t="shared" si="396"/>
        <v>1489660158</v>
      </c>
      <c r="AL273" s="386"/>
      <c r="AM273" s="404">
        <f t="shared" si="383"/>
        <v>-1</v>
      </c>
      <c r="AN273" s="404" t="e">
        <f t="shared" si="384"/>
        <v>#DIV/0!</v>
      </c>
      <c r="AO273" s="404" t="e">
        <f t="shared" si="385"/>
        <v>#DIV/0!</v>
      </c>
      <c r="AP273" s="404">
        <f t="shared" si="386"/>
        <v>6.5272242199999999</v>
      </c>
      <c r="AQ273" s="404" t="e">
        <f t="shared" si="387"/>
        <v>#DIV/0!</v>
      </c>
      <c r="AR273" s="404">
        <f t="shared" si="388"/>
        <v>-1</v>
      </c>
      <c r="AS273" s="404" t="e">
        <f t="shared" si="389"/>
        <v>#DIV/0!</v>
      </c>
      <c r="AT273" s="404">
        <f t="shared" si="390"/>
        <v>2.4950228999999999</v>
      </c>
      <c r="AU273" s="404" t="e">
        <f t="shared" si="391"/>
        <v>#DIV/0!</v>
      </c>
      <c r="AV273" s="404">
        <f t="shared" si="392"/>
        <v>-0.21115346727272727</v>
      </c>
      <c r="AW273" s="404">
        <f t="shared" si="393"/>
        <v>2.4498805528255718</v>
      </c>
    </row>
    <row r="274" spans="1:49" x14ac:dyDescent="0.25">
      <c r="A274" s="335">
        <v>2319</v>
      </c>
      <c r="B274" s="336" t="s">
        <v>118</v>
      </c>
      <c r="C274" s="365">
        <f>+C275</f>
        <v>400000000</v>
      </c>
      <c r="D274" s="365">
        <f t="shared" ref="D274:G274" si="402">+D275</f>
        <v>0</v>
      </c>
      <c r="E274" s="365">
        <f t="shared" si="402"/>
        <v>130000000</v>
      </c>
      <c r="F274" s="365">
        <f t="shared" si="402"/>
        <v>0</v>
      </c>
      <c r="G274" s="365">
        <f t="shared" si="402"/>
        <v>270000000</v>
      </c>
      <c r="H274" s="57">
        <f>+H275</f>
        <v>400000000</v>
      </c>
      <c r="I274" s="204">
        <f t="shared" ref="I274:V274" si="403">+I275</f>
        <v>22500000</v>
      </c>
      <c r="J274" s="204">
        <f t="shared" si="403"/>
        <v>22500000</v>
      </c>
      <c r="K274" s="204">
        <f t="shared" si="403"/>
        <v>22500000</v>
      </c>
      <c r="L274" s="204">
        <f t="shared" si="403"/>
        <v>22500000</v>
      </c>
      <c r="M274" s="204">
        <f t="shared" si="403"/>
        <v>22500000</v>
      </c>
      <c r="N274" s="204">
        <f t="shared" si="403"/>
        <v>22500000</v>
      </c>
      <c r="O274" s="204">
        <f t="shared" si="403"/>
        <v>22500000</v>
      </c>
      <c r="P274" s="204">
        <f t="shared" si="403"/>
        <v>22500000</v>
      </c>
      <c r="Q274" s="204">
        <f t="shared" si="403"/>
        <v>22500000</v>
      </c>
      <c r="R274" s="204">
        <f t="shared" si="403"/>
        <v>22500000</v>
      </c>
      <c r="S274" s="204">
        <f t="shared" si="403"/>
        <v>22500000</v>
      </c>
      <c r="T274" s="204">
        <f t="shared" si="403"/>
        <v>22500000</v>
      </c>
      <c r="U274" s="415">
        <f t="shared" si="397"/>
        <v>225000000</v>
      </c>
      <c r="V274" s="57">
        <f t="shared" si="403"/>
        <v>270000000</v>
      </c>
      <c r="W274" s="396">
        <f t="shared" si="394"/>
        <v>270000000</v>
      </c>
      <c r="X274" s="396">
        <f t="shared" si="395"/>
        <v>0</v>
      </c>
      <c r="Y274" s="396"/>
      <c r="AA274" s="205">
        <f t="shared" ref="AA274:AI274" si="404">+AA275</f>
        <v>12000000</v>
      </c>
      <c r="AB274" s="205">
        <f t="shared" si="404"/>
        <v>26320040</v>
      </c>
      <c r="AC274" s="205">
        <f t="shared" si="404"/>
        <v>5137000</v>
      </c>
      <c r="AD274" s="205">
        <f t="shared" si="404"/>
        <v>2000000</v>
      </c>
      <c r="AE274" s="205">
        <f t="shared" si="404"/>
        <v>4000000</v>
      </c>
      <c r="AF274" s="205">
        <f t="shared" si="404"/>
        <v>1525700</v>
      </c>
      <c r="AG274" s="205">
        <f t="shared" ref="AG274" si="405">+AG275</f>
        <v>4250000</v>
      </c>
      <c r="AH274" s="205">
        <f t="shared" si="404"/>
        <v>1000000</v>
      </c>
      <c r="AI274" s="205">
        <f t="shared" si="404"/>
        <v>0</v>
      </c>
      <c r="AJ274" s="205">
        <v>750000</v>
      </c>
      <c r="AK274" s="205">
        <f t="shared" si="396"/>
        <v>56982740</v>
      </c>
      <c r="AL274" s="387"/>
      <c r="AM274" s="407">
        <f t="shared" si="383"/>
        <v>-0.46666666666666667</v>
      </c>
      <c r="AN274" s="407">
        <f t="shared" si="384"/>
        <v>0.16977955555555554</v>
      </c>
      <c r="AO274" s="407">
        <f t="shared" si="385"/>
        <v>-0.77168888888888887</v>
      </c>
      <c r="AP274" s="407">
        <f t="shared" si="386"/>
        <v>-0.91111111111111109</v>
      </c>
      <c r="AQ274" s="407">
        <f t="shared" si="387"/>
        <v>-0.82222222222222219</v>
      </c>
      <c r="AR274" s="407">
        <f t="shared" si="388"/>
        <v>-0.93219111111111108</v>
      </c>
      <c r="AS274" s="407">
        <f t="shared" si="389"/>
        <v>-0.81111111111111112</v>
      </c>
      <c r="AT274" s="407">
        <f t="shared" si="390"/>
        <v>-0.9555555555555556</v>
      </c>
      <c r="AU274" s="407">
        <f t="shared" si="391"/>
        <v>-1</v>
      </c>
      <c r="AV274" s="407">
        <f t="shared" si="392"/>
        <v>-0.96666666666666667</v>
      </c>
      <c r="AW274" s="407">
        <f t="shared" si="393"/>
        <v>1.5325662222222223</v>
      </c>
    </row>
    <row r="275" spans="1:49" x14ac:dyDescent="0.25">
      <c r="A275" s="341">
        <v>23191</v>
      </c>
      <c r="B275" s="342" t="s">
        <v>625</v>
      </c>
      <c r="C275" s="368">
        <v>400000000</v>
      </c>
      <c r="D275" s="368">
        <v>0</v>
      </c>
      <c r="E275" s="368">
        <v>130000000</v>
      </c>
      <c r="F275" s="368">
        <v>0</v>
      </c>
      <c r="G275" s="368">
        <f t="shared" ref="G275" si="406">+C275+D275-E275+F275</f>
        <v>270000000</v>
      </c>
      <c r="H275" s="58">
        <v>400000000</v>
      </c>
      <c r="I275" s="210">
        <v>22500000</v>
      </c>
      <c r="J275" s="210">
        <v>22500000</v>
      </c>
      <c r="K275" s="210">
        <v>22500000</v>
      </c>
      <c r="L275" s="210">
        <v>22500000</v>
      </c>
      <c r="M275" s="210">
        <v>22500000</v>
      </c>
      <c r="N275" s="210">
        <v>22500000</v>
      </c>
      <c r="O275" s="210">
        <v>22500000</v>
      </c>
      <c r="P275" s="210">
        <v>22500000</v>
      </c>
      <c r="Q275" s="210">
        <v>22500000</v>
      </c>
      <c r="R275" s="210">
        <v>22500000</v>
      </c>
      <c r="S275" s="210">
        <v>22500000</v>
      </c>
      <c r="T275" s="210">
        <v>22500000</v>
      </c>
      <c r="U275" s="412">
        <f t="shared" si="397"/>
        <v>225000000</v>
      </c>
      <c r="V275" s="58">
        <f>SUM(I275:T275)</f>
        <v>270000000</v>
      </c>
      <c r="W275" s="396">
        <f t="shared" si="394"/>
        <v>270000000</v>
      </c>
      <c r="X275" s="396">
        <f t="shared" si="395"/>
        <v>0</v>
      </c>
      <c r="Y275" s="396">
        <f>+W275/12</f>
        <v>22500000</v>
      </c>
      <c r="AA275" s="210">
        <v>12000000</v>
      </c>
      <c r="AB275" s="210">
        <v>26320040</v>
      </c>
      <c r="AC275" s="210">
        <v>5137000</v>
      </c>
      <c r="AD275" s="210">
        <v>2000000</v>
      </c>
      <c r="AE275" s="210">
        <v>4000000</v>
      </c>
      <c r="AF275" s="210">
        <f>3525700-2000000</f>
        <v>1525700</v>
      </c>
      <c r="AG275" s="210">
        <v>4250000</v>
      </c>
      <c r="AH275" s="368">
        <v>1000000</v>
      </c>
      <c r="AI275" s="368">
        <v>0</v>
      </c>
      <c r="AJ275" s="368">
        <v>750000</v>
      </c>
      <c r="AK275" s="210">
        <f t="shared" si="396"/>
        <v>56982740</v>
      </c>
      <c r="AL275" s="386"/>
      <c r="AM275" s="404">
        <f t="shared" si="383"/>
        <v>-0.46666666666666667</v>
      </c>
      <c r="AN275" s="404">
        <f t="shared" si="384"/>
        <v>0.16977955555555554</v>
      </c>
      <c r="AO275" s="404">
        <f t="shared" si="385"/>
        <v>-0.77168888888888887</v>
      </c>
      <c r="AP275" s="404">
        <f t="shared" si="386"/>
        <v>-0.91111111111111109</v>
      </c>
      <c r="AQ275" s="404">
        <f t="shared" si="387"/>
        <v>-0.82222222222222219</v>
      </c>
      <c r="AR275" s="404">
        <f t="shared" si="388"/>
        <v>-0.93219111111111108</v>
      </c>
      <c r="AS275" s="404">
        <f t="shared" si="389"/>
        <v>-0.81111111111111112</v>
      </c>
      <c r="AT275" s="404">
        <f t="shared" si="390"/>
        <v>-0.9555555555555556</v>
      </c>
      <c r="AU275" s="404">
        <f t="shared" si="391"/>
        <v>-1</v>
      </c>
      <c r="AV275" s="404">
        <f t="shared" si="392"/>
        <v>-0.96666666666666667</v>
      </c>
      <c r="AW275" s="404">
        <f t="shared" si="393"/>
        <v>1.5325662222222223</v>
      </c>
    </row>
    <row r="276" spans="1:49" x14ac:dyDescent="0.25">
      <c r="A276" s="335">
        <v>232</v>
      </c>
      <c r="B276" s="336" t="s">
        <v>119</v>
      </c>
      <c r="C276" s="365">
        <f>+C277+C309+C312</f>
        <v>4651804202</v>
      </c>
      <c r="D276" s="365">
        <f t="shared" ref="D276:G276" si="407">+D277+D309+D312</f>
        <v>1884574006</v>
      </c>
      <c r="E276" s="365">
        <f t="shared" si="407"/>
        <v>1543452900</v>
      </c>
      <c r="F276" s="365">
        <f t="shared" si="407"/>
        <v>754000000</v>
      </c>
      <c r="G276" s="365">
        <f t="shared" si="407"/>
        <v>5746925308</v>
      </c>
      <c r="H276" s="365">
        <f t="shared" ref="H276:V276" si="408">+H277+H309+H312</f>
        <v>5390804202</v>
      </c>
      <c r="I276" s="365">
        <f t="shared" si="408"/>
        <v>260449279.83333334</v>
      </c>
      <c r="J276" s="365">
        <f t="shared" si="408"/>
        <v>753127805.10606062</v>
      </c>
      <c r="K276" s="365">
        <f t="shared" si="408"/>
        <v>765616209.10606062</v>
      </c>
      <c r="L276" s="365">
        <f t="shared" si="408"/>
        <v>616185785.55050516</v>
      </c>
      <c r="M276" s="365">
        <f t="shared" si="408"/>
        <v>361185785.55050504</v>
      </c>
      <c r="N276" s="365">
        <f t="shared" si="408"/>
        <v>494685785.55050504</v>
      </c>
      <c r="O276" s="365">
        <f t="shared" si="408"/>
        <v>462185785.55050504</v>
      </c>
      <c r="P276" s="365">
        <f t="shared" si="408"/>
        <v>581057325.55050504</v>
      </c>
      <c r="Q276" s="365">
        <f t="shared" si="408"/>
        <v>312185785.55050504</v>
      </c>
      <c r="R276" s="365">
        <f t="shared" si="408"/>
        <v>312185785.55050504</v>
      </c>
      <c r="S276" s="365">
        <f t="shared" si="408"/>
        <v>462185785.55050504</v>
      </c>
      <c r="T276" s="365">
        <f t="shared" si="408"/>
        <v>365874189.55050504</v>
      </c>
      <c r="U276" s="416">
        <f t="shared" si="397"/>
        <v>4918865332.8989897</v>
      </c>
      <c r="V276" s="365">
        <f t="shared" si="408"/>
        <v>5746925308</v>
      </c>
      <c r="W276" s="396">
        <f t="shared" si="394"/>
        <v>5746925308</v>
      </c>
      <c r="X276" s="396">
        <f t="shared" si="395"/>
        <v>0</v>
      </c>
      <c r="Y276" s="396"/>
      <c r="AA276" s="204">
        <f>+AA277+AA309+AA312</f>
        <v>12017000</v>
      </c>
      <c r="AB276" s="204">
        <f t="shared" ref="AB276:AG276" si="409">+AB277+AB309+AB312</f>
        <v>10081693</v>
      </c>
      <c r="AC276" s="204">
        <f t="shared" si="409"/>
        <v>182622043</v>
      </c>
      <c r="AD276" s="204">
        <f t="shared" si="409"/>
        <v>40090635</v>
      </c>
      <c r="AE276" s="204">
        <f t="shared" si="409"/>
        <v>66483178</v>
      </c>
      <c r="AF276" s="204">
        <f t="shared" si="409"/>
        <v>549673921</v>
      </c>
      <c r="AG276" s="204">
        <f t="shared" si="409"/>
        <v>225841095.81</v>
      </c>
      <c r="AH276" s="365">
        <v>416924010.05000001</v>
      </c>
      <c r="AI276" s="365">
        <v>139417121</v>
      </c>
      <c r="AJ276" s="365">
        <v>395355490.70999998</v>
      </c>
      <c r="AK276" s="204">
        <f t="shared" si="396"/>
        <v>2038506187.5699999</v>
      </c>
      <c r="AL276" s="386"/>
      <c r="AM276" s="411">
        <f t="shared" si="383"/>
        <v>-0.95386049826019903</v>
      </c>
      <c r="AN276" s="411">
        <f t="shared" si="384"/>
        <v>-0.98661356952744528</v>
      </c>
      <c r="AO276" s="411">
        <f t="shared" si="385"/>
        <v>-0.76147051116742825</v>
      </c>
      <c r="AP276" s="411">
        <f t="shared" si="386"/>
        <v>-0.93493742319261275</v>
      </c>
      <c r="AQ276" s="411">
        <f t="shared" si="387"/>
        <v>-0.815930801654697</v>
      </c>
      <c r="AR276" s="411">
        <f t="shared" si="388"/>
        <v>0.11115770263805354</v>
      </c>
      <c r="AS276" s="411">
        <f t="shared" si="389"/>
        <v>-0.5113629564764679</v>
      </c>
      <c r="AT276" s="411">
        <f t="shared" si="390"/>
        <v>-0.28247353278783971</v>
      </c>
      <c r="AU276" s="411">
        <f t="shared" si="391"/>
        <v>-0.55341617891361272</v>
      </c>
      <c r="AV276" s="411">
        <f t="shared" si="392"/>
        <v>0.26641092903328184</v>
      </c>
      <c r="AW276" s="411">
        <f t="shared" si="393"/>
        <v>3.4105774156207658</v>
      </c>
    </row>
    <row r="277" spans="1:49" x14ac:dyDescent="0.25">
      <c r="A277" s="335">
        <v>2321</v>
      </c>
      <c r="B277" s="336" t="s">
        <v>120</v>
      </c>
      <c r="C277" s="365">
        <f>+C278+C291+C295+C300+C305</f>
        <v>4431804202</v>
      </c>
      <c r="D277" s="365">
        <f t="shared" ref="D277:G277" si="410">+D278+D291+D295+D300+D305</f>
        <v>1884574006</v>
      </c>
      <c r="E277" s="365">
        <f t="shared" si="410"/>
        <v>1543452900</v>
      </c>
      <c r="F277" s="365">
        <f t="shared" si="410"/>
        <v>754000000</v>
      </c>
      <c r="G277" s="365">
        <f t="shared" si="410"/>
        <v>5526925308</v>
      </c>
      <c r="H277" s="365">
        <f t="shared" ref="H277:V277" si="411">+H278+H291+H295+H300+H305</f>
        <v>5170804202</v>
      </c>
      <c r="I277" s="365">
        <f t="shared" si="411"/>
        <v>260449279.83333334</v>
      </c>
      <c r="J277" s="365">
        <f t="shared" si="411"/>
        <v>753127805.10606062</v>
      </c>
      <c r="K277" s="365">
        <f t="shared" si="411"/>
        <v>705616209.10606062</v>
      </c>
      <c r="L277" s="365">
        <f t="shared" si="411"/>
        <v>616185785.55050516</v>
      </c>
      <c r="M277" s="365">
        <f t="shared" si="411"/>
        <v>361185785.55050504</v>
      </c>
      <c r="N277" s="365">
        <f t="shared" si="411"/>
        <v>444685785.55050504</v>
      </c>
      <c r="O277" s="365">
        <f t="shared" si="411"/>
        <v>462185785.55050504</v>
      </c>
      <c r="P277" s="365">
        <f t="shared" si="411"/>
        <v>521057325.55050504</v>
      </c>
      <c r="Q277" s="365">
        <f t="shared" si="411"/>
        <v>312185785.55050504</v>
      </c>
      <c r="R277" s="365">
        <f t="shared" si="411"/>
        <v>312185785.55050504</v>
      </c>
      <c r="S277" s="365">
        <f t="shared" si="411"/>
        <v>412185785.55050504</v>
      </c>
      <c r="T277" s="365">
        <f t="shared" si="411"/>
        <v>365874189.55050504</v>
      </c>
      <c r="U277" s="416">
        <f t="shared" si="397"/>
        <v>4748865332.8989897</v>
      </c>
      <c r="V277" s="365">
        <f t="shared" si="411"/>
        <v>5526925308</v>
      </c>
      <c r="W277" s="396">
        <f t="shared" si="394"/>
        <v>5526925308</v>
      </c>
      <c r="X277" s="396">
        <f t="shared" si="395"/>
        <v>0</v>
      </c>
      <c r="Y277" s="396"/>
      <c r="AA277" s="204">
        <f>+AA278+AA291+AA295+AA300+AA305</f>
        <v>12017000</v>
      </c>
      <c r="AB277" s="204">
        <f t="shared" ref="AB277:AG277" si="412">+AB278+AB291+AB295+AB300+AB305</f>
        <v>9876271</v>
      </c>
      <c r="AC277" s="204">
        <f t="shared" si="412"/>
        <v>182494332</v>
      </c>
      <c r="AD277" s="204">
        <f t="shared" si="412"/>
        <v>40090635</v>
      </c>
      <c r="AE277" s="204">
        <f t="shared" si="412"/>
        <v>66483178</v>
      </c>
      <c r="AF277" s="204">
        <f t="shared" si="412"/>
        <v>549673921</v>
      </c>
      <c r="AG277" s="204">
        <f t="shared" si="412"/>
        <v>225841095.81</v>
      </c>
      <c r="AH277" s="365">
        <v>416030626.05000001</v>
      </c>
      <c r="AI277" s="365">
        <v>137755898</v>
      </c>
      <c r="AJ277" s="365">
        <v>388653457</v>
      </c>
      <c r="AK277" s="204">
        <f t="shared" si="396"/>
        <v>2028916413.8599999</v>
      </c>
      <c r="AL277" s="386"/>
      <c r="AM277" s="411">
        <f t="shared" si="383"/>
        <v>-0.95386049826019903</v>
      </c>
      <c r="AN277" s="411">
        <f t="shared" si="384"/>
        <v>-0.98688632801359766</v>
      </c>
      <c r="AO277" s="411">
        <f t="shared" si="385"/>
        <v>-0.74136884946109649</v>
      </c>
      <c r="AP277" s="411">
        <f t="shared" si="386"/>
        <v>-0.93493742319261275</v>
      </c>
      <c r="AQ277" s="411">
        <f t="shared" si="387"/>
        <v>-0.815930801654697</v>
      </c>
      <c r="AR277" s="411">
        <f t="shared" si="388"/>
        <v>0.23609510099254333</v>
      </c>
      <c r="AS277" s="411">
        <f t="shared" si="389"/>
        <v>-0.5113629564764679</v>
      </c>
      <c r="AT277" s="411">
        <f t="shared" si="390"/>
        <v>-0.20156457715961043</v>
      </c>
      <c r="AU277" s="411">
        <f t="shared" si="391"/>
        <v>-0.55873744297139361</v>
      </c>
      <c r="AV277" s="411">
        <f t="shared" si="392"/>
        <v>0.24494283528845714</v>
      </c>
      <c r="AW277" s="411">
        <f t="shared" si="393"/>
        <v>3.922334745605625</v>
      </c>
    </row>
    <row r="278" spans="1:49" x14ac:dyDescent="0.25">
      <c r="A278" s="339">
        <v>23211</v>
      </c>
      <c r="B278" s="340" t="s">
        <v>121</v>
      </c>
      <c r="C278" s="367">
        <f>SUM(C279:C290)</f>
        <v>3603810000</v>
      </c>
      <c r="D278" s="367">
        <f t="shared" ref="D278:G278" si="413">SUM(D279:D290)</f>
        <v>504000000</v>
      </c>
      <c r="E278" s="367">
        <f t="shared" si="413"/>
        <v>1399824440</v>
      </c>
      <c r="F278" s="367">
        <f t="shared" si="413"/>
        <v>581000000</v>
      </c>
      <c r="G278" s="367">
        <f t="shared" si="413"/>
        <v>3288985560</v>
      </c>
      <c r="H278" s="367">
        <f t="shared" ref="H278:V278" si="414">SUM(H279:H290)</f>
        <v>4169810000</v>
      </c>
      <c r="I278" s="367">
        <f t="shared" si="414"/>
        <v>152115946.5</v>
      </c>
      <c r="J278" s="367">
        <f t="shared" si="414"/>
        <v>618521744.5</v>
      </c>
      <c r="K278" s="367">
        <f t="shared" si="414"/>
        <v>401515946.50000006</v>
      </c>
      <c r="L278" s="367">
        <f t="shared" si="414"/>
        <v>411515946.50000006</v>
      </c>
      <c r="M278" s="367">
        <f t="shared" si="414"/>
        <v>166515946.49999997</v>
      </c>
      <c r="N278" s="367">
        <f t="shared" si="414"/>
        <v>275015946.5</v>
      </c>
      <c r="O278" s="367">
        <f t="shared" si="414"/>
        <v>296515946.5</v>
      </c>
      <c r="P278" s="367">
        <f t="shared" si="414"/>
        <v>227515946.49999997</v>
      </c>
      <c r="Q278" s="367">
        <f t="shared" si="414"/>
        <v>146515946.5</v>
      </c>
      <c r="R278" s="367">
        <f t="shared" si="414"/>
        <v>146515946.5</v>
      </c>
      <c r="S278" s="367">
        <f t="shared" si="414"/>
        <v>246515946.49999997</v>
      </c>
      <c r="T278" s="367">
        <f t="shared" si="414"/>
        <v>200204350.49999997</v>
      </c>
      <c r="U278" s="418">
        <f t="shared" si="397"/>
        <v>2842265263</v>
      </c>
      <c r="V278" s="367">
        <f t="shared" si="414"/>
        <v>3288985560</v>
      </c>
      <c r="W278" s="396">
        <f t="shared" si="394"/>
        <v>3288985560</v>
      </c>
      <c r="X278" s="396">
        <f t="shared" si="395"/>
        <v>0</v>
      </c>
      <c r="Y278" s="396"/>
      <c r="AA278" s="209">
        <f t="shared" ref="AA278:AG278" si="415">SUM(AA279:AA290)</f>
        <v>12017000</v>
      </c>
      <c r="AB278" s="209">
        <f t="shared" si="415"/>
        <v>9876271</v>
      </c>
      <c r="AC278" s="209">
        <f t="shared" si="415"/>
        <v>92326473</v>
      </c>
      <c r="AD278" s="209">
        <f t="shared" si="415"/>
        <v>24164465</v>
      </c>
      <c r="AE278" s="209">
        <f t="shared" si="415"/>
        <v>66483178</v>
      </c>
      <c r="AF278" s="209">
        <f t="shared" si="415"/>
        <v>124891595</v>
      </c>
      <c r="AG278" s="209">
        <f t="shared" si="415"/>
        <v>205743675.81</v>
      </c>
      <c r="AH278" s="367">
        <v>147728901</v>
      </c>
      <c r="AI278" s="367">
        <v>124810119</v>
      </c>
      <c r="AJ278" s="367">
        <v>320917172</v>
      </c>
      <c r="AK278" s="209">
        <f t="shared" si="396"/>
        <v>1128958849.8099999</v>
      </c>
      <c r="AL278" s="387"/>
      <c r="AM278" s="405">
        <f t="shared" si="383"/>
        <v>-0.9210010503402416</v>
      </c>
      <c r="AN278" s="405">
        <f t="shared" si="384"/>
        <v>-0.98403245950878615</v>
      </c>
      <c r="AO278" s="405">
        <f t="shared" si="385"/>
        <v>-0.77005527724413814</v>
      </c>
      <c r="AP278" s="405">
        <f t="shared" si="386"/>
        <v>-0.94127939583988884</v>
      </c>
      <c r="AQ278" s="405">
        <f t="shared" si="387"/>
        <v>-0.60073987268240392</v>
      </c>
      <c r="AR278" s="405">
        <f t="shared" si="388"/>
        <v>-0.54587507892019638</v>
      </c>
      <c r="AS278" s="405">
        <f t="shared" si="389"/>
        <v>-0.30612947384939376</v>
      </c>
      <c r="AT278" s="405">
        <f t="shared" si="390"/>
        <v>-0.35068770663070853</v>
      </c>
      <c r="AU278" s="405">
        <f t="shared" si="391"/>
        <v>-0.14814651932784667</v>
      </c>
      <c r="AV278" s="405">
        <f t="shared" si="392"/>
        <v>1.1903224847951961</v>
      </c>
      <c r="AW278" s="405">
        <f t="shared" si="393"/>
        <v>3.579658500144939</v>
      </c>
    </row>
    <row r="279" spans="1:49" x14ac:dyDescent="0.25">
      <c r="A279" s="364">
        <v>2321101</v>
      </c>
      <c r="B279" s="342" t="s">
        <v>122</v>
      </c>
      <c r="C279" s="368">
        <v>90000000</v>
      </c>
      <c r="D279" s="368">
        <v>0</v>
      </c>
      <c r="E279" s="368">
        <v>0</v>
      </c>
      <c r="F279" s="368">
        <v>0</v>
      </c>
      <c r="G279" s="368">
        <f t="shared" ref="G279:G290" si="416">+C279+D279-E279+F279</f>
        <v>90000000</v>
      </c>
      <c r="H279" s="58">
        <v>90000000</v>
      </c>
      <c r="I279" s="210">
        <v>30000000</v>
      </c>
      <c r="J279" s="210">
        <v>30000000</v>
      </c>
      <c r="K279" s="210">
        <v>30000000</v>
      </c>
      <c r="L279" s="210">
        <v>0</v>
      </c>
      <c r="M279" s="210">
        <v>0</v>
      </c>
      <c r="N279" s="210">
        <v>0</v>
      </c>
      <c r="O279" s="210">
        <v>0</v>
      </c>
      <c r="P279" s="210">
        <v>0</v>
      </c>
      <c r="Q279" s="210">
        <v>0</v>
      </c>
      <c r="R279" s="210">
        <v>0</v>
      </c>
      <c r="S279" s="210">
        <v>0</v>
      </c>
      <c r="T279" s="210">
        <v>0</v>
      </c>
      <c r="U279" s="412">
        <f t="shared" si="397"/>
        <v>90000000</v>
      </c>
      <c r="V279" s="58">
        <f>SUM(I279:T279)</f>
        <v>90000000</v>
      </c>
      <c r="W279" s="396">
        <f t="shared" si="394"/>
        <v>90000000</v>
      </c>
      <c r="X279" s="396">
        <f t="shared" si="395"/>
        <v>0</v>
      </c>
      <c r="Y279" s="396"/>
      <c r="Z279" s="55"/>
      <c r="AA279" s="210">
        <v>0</v>
      </c>
      <c r="AB279" s="210">
        <v>0</v>
      </c>
      <c r="AC279" s="210">
        <v>56450000</v>
      </c>
      <c r="AD279" s="210">
        <v>0</v>
      </c>
      <c r="AE279" s="210">
        <v>201178</v>
      </c>
      <c r="AF279" s="210">
        <v>5207592</v>
      </c>
      <c r="AG279" s="210">
        <v>0</v>
      </c>
      <c r="AH279" s="368">
        <v>0</v>
      </c>
      <c r="AI279" s="368">
        <v>0</v>
      </c>
      <c r="AJ279" s="368">
        <v>0</v>
      </c>
      <c r="AK279" s="210">
        <f t="shared" si="396"/>
        <v>61858770</v>
      </c>
      <c r="AL279" s="387"/>
      <c r="AM279" s="404">
        <f t="shared" si="383"/>
        <v>-1</v>
      </c>
      <c r="AN279" s="404">
        <f t="shared" si="384"/>
        <v>-1</v>
      </c>
      <c r="AO279" s="404">
        <f t="shared" si="385"/>
        <v>0.88166666666666671</v>
      </c>
      <c r="AP279" s="404" t="e">
        <f t="shared" si="386"/>
        <v>#DIV/0!</v>
      </c>
      <c r="AQ279" s="404" t="e">
        <f t="shared" si="387"/>
        <v>#DIV/0!</v>
      </c>
      <c r="AR279" s="404" t="e">
        <f t="shared" si="388"/>
        <v>#DIV/0!</v>
      </c>
      <c r="AS279" s="404" t="e">
        <f t="shared" si="389"/>
        <v>#DIV/0!</v>
      </c>
      <c r="AT279" s="404" t="e">
        <f t="shared" si="390"/>
        <v>#DIV/0!</v>
      </c>
      <c r="AU279" s="404" t="e">
        <f t="shared" si="391"/>
        <v>#DIV/0!</v>
      </c>
      <c r="AV279" s="404" t="e">
        <f t="shared" si="392"/>
        <v>#DIV/0!</v>
      </c>
      <c r="AW279" s="404" t="e">
        <f t="shared" si="393"/>
        <v>#DIV/0!</v>
      </c>
    </row>
    <row r="280" spans="1:49" x14ac:dyDescent="0.25">
      <c r="A280" s="364">
        <v>2321102</v>
      </c>
      <c r="B280" s="342" t="s">
        <v>123</v>
      </c>
      <c r="C280" s="368">
        <v>190000000</v>
      </c>
      <c r="D280" s="368">
        <f>204000000+100000000</f>
        <v>304000000</v>
      </c>
      <c r="E280" s="368">
        <v>0</v>
      </c>
      <c r="F280" s="368">
        <v>50000000</v>
      </c>
      <c r="G280" s="368">
        <f t="shared" si="416"/>
        <v>544000000</v>
      </c>
      <c r="H280" s="58">
        <v>240000000</v>
      </c>
      <c r="I280" s="210"/>
      <c r="J280" s="210">
        <v>54400000</v>
      </c>
      <c r="K280" s="210">
        <v>54400000</v>
      </c>
      <c r="L280" s="210">
        <v>54400000</v>
      </c>
      <c r="M280" s="210">
        <v>54400000</v>
      </c>
      <c r="N280" s="210">
        <v>54400000</v>
      </c>
      <c r="O280" s="210">
        <v>54400000</v>
      </c>
      <c r="P280" s="210">
        <v>54400000</v>
      </c>
      <c r="Q280" s="210">
        <v>54400000</v>
      </c>
      <c r="R280" s="210">
        <v>54400000</v>
      </c>
      <c r="S280" s="210">
        <v>54400000</v>
      </c>
      <c r="T280" s="210">
        <v>0</v>
      </c>
      <c r="U280" s="412">
        <f t="shared" si="397"/>
        <v>489600000</v>
      </c>
      <c r="V280" s="58">
        <f t="shared" ref="V280:V294" si="417">SUM(I280:T280)</f>
        <v>544000000</v>
      </c>
      <c r="W280" s="396">
        <f t="shared" si="394"/>
        <v>544000000</v>
      </c>
      <c r="X280" s="396">
        <f t="shared" si="395"/>
        <v>0</v>
      </c>
      <c r="Y280" s="396">
        <f>+W280/10</f>
        <v>54400000</v>
      </c>
      <c r="AA280" s="210">
        <v>3572000</v>
      </c>
      <c r="AB280" s="210">
        <v>0</v>
      </c>
      <c r="AC280" s="210">
        <v>0</v>
      </c>
      <c r="AD280" s="210">
        <v>6536000</v>
      </c>
      <c r="AE280" s="210">
        <v>53922000</v>
      </c>
      <c r="AF280" s="210">
        <v>3572000</v>
      </c>
      <c r="AG280" s="210">
        <v>69274000</v>
      </c>
      <c r="AH280" s="368">
        <v>41572000</v>
      </c>
      <c r="AI280" s="368">
        <v>6004000</v>
      </c>
      <c r="AJ280" s="368">
        <v>53789000</v>
      </c>
      <c r="AK280" s="210">
        <f t="shared" si="396"/>
        <v>238241000</v>
      </c>
      <c r="AL280" s="387"/>
      <c r="AM280" s="404" t="e">
        <f t="shared" si="383"/>
        <v>#DIV/0!</v>
      </c>
      <c r="AN280" s="404">
        <f t="shared" si="384"/>
        <v>-1</v>
      </c>
      <c r="AO280" s="404">
        <f t="shared" si="385"/>
        <v>-1</v>
      </c>
      <c r="AP280" s="404">
        <f t="shared" si="386"/>
        <v>-0.87985294117647062</v>
      </c>
      <c r="AQ280" s="404">
        <f t="shared" si="387"/>
        <v>-8.7867647058823533E-3</v>
      </c>
      <c r="AR280" s="404">
        <f t="shared" si="388"/>
        <v>-0.93433823529411764</v>
      </c>
      <c r="AS280" s="404">
        <f t="shared" si="389"/>
        <v>0.27341911764705884</v>
      </c>
      <c r="AT280" s="404">
        <f t="shared" si="390"/>
        <v>-0.23580882352941177</v>
      </c>
      <c r="AU280" s="404">
        <f t="shared" si="391"/>
        <v>-0.88963235294117649</v>
      </c>
      <c r="AV280" s="404">
        <f t="shared" si="392"/>
        <v>-1.1231617647058824E-2</v>
      </c>
      <c r="AW280" s="404">
        <f t="shared" si="393"/>
        <v>3.3794301470588235</v>
      </c>
    </row>
    <row r="281" spans="1:49" x14ac:dyDescent="0.25">
      <c r="A281" s="364">
        <v>2321103</v>
      </c>
      <c r="B281" s="342" t="s">
        <v>124</v>
      </c>
      <c r="C281" s="368">
        <v>1780000000</v>
      </c>
      <c r="D281" s="368">
        <v>0</v>
      </c>
      <c r="E281" s="368">
        <f>300000000+820000000</f>
        <v>1120000000</v>
      </c>
      <c r="F281" s="368">
        <v>120000000</v>
      </c>
      <c r="G281" s="368">
        <f t="shared" si="416"/>
        <v>780000000</v>
      </c>
      <c r="H281" s="58">
        <v>1900000000</v>
      </c>
      <c r="I281" s="210">
        <v>65000000</v>
      </c>
      <c r="J281" s="210">
        <v>65000000</v>
      </c>
      <c r="K281" s="210">
        <v>65000000</v>
      </c>
      <c r="L281" s="210">
        <v>65000000</v>
      </c>
      <c r="M281" s="210">
        <v>65000000</v>
      </c>
      <c r="N281" s="210">
        <v>65000000</v>
      </c>
      <c r="O281" s="210">
        <v>65000000</v>
      </c>
      <c r="P281" s="210">
        <v>65000000</v>
      </c>
      <c r="Q281" s="210">
        <v>65000000</v>
      </c>
      <c r="R281" s="210">
        <v>65000000</v>
      </c>
      <c r="S281" s="210">
        <v>65000000</v>
      </c>
      <c r="T281" s="210">
        <v>65000000</v>
      </c>
      <c r="U281" s="412">
        <f t="shared" si="397"/>
        <v>650000000</v>
      </c>
      <c r="V281" s="58">
        <f t="shared" si="417"/>
        <v>780000000</v>
      </c>
      <c r="W281" s="396">
        <f t="shared" si="394"/>
        <v>780000000</v>
      </c>
      <c r="X281" s="396">
        <f t="shared" si="395"/>
        <v>0</v>
      </c>
      <c r="Y281" s="396">
        <f>+W281/12</f>
        <v>65000000</v>
      </c>
      <c r="AA281" s="210">
        <v>6345000</v>
      </c>
      <c r="AB281" s="210">
        <v>0</v>
      </c>
      <c r="AC281" s="210">
        <v>4563300</v>
      </c>
      <c r="AD281" s="210">
        <v>9845000</v>
      </c>
      <c r="AE281" s="210">
        <v>3500000</v>
      </c>
      <c r="AF281" s="210">
        <v>114657903</v>
      </c>
      <c r="AG281" s="210">
        <v>62822050</v>
      </c>
      <c r="AH281" s="368">
        <v>48500000</v>
      </c>
      <c r="AI281" s="368">
        <v>38799148</v>
      </c>
      <c r="AJ281" s="368">
        <v>82357000</v>
      </c>
      <c r="AK281" s="210">
        <f t="shared" si="396"/>
        <v>371389401</v>
      </c>
      <c r="AL281" s="387"/>
      <c r="AM281" s="404">
        <f t="shared" si="383"/>
        <v>-0.90238461538461534</v>
      </c>
      <c r="AN281" s="404">
        <f t="shared" si="384"/>
        <v>-1</v>
      </c>
      <c r="AO281" s="404">
        <f t="shared" si="385"/>
        <v>-0.92979538461538458</v>
      </c>
      <c r="AP281" s="404">
        <f t="shared" si="386"/>
        <v>-0.84853846153846157</v>
      </c>
      <c r="AQ281" s="404">
        <f t="shared" si="387"/>
        <v>-0.94615384615384612</v>
      </c>
      <c r="AR281" s="404">
        <f t="shared" si="388"/>
        <v>0.76396773846153843</v>
      </c>
      <c r="AS281" s="404">
        <f t="shared" si="389"/>
        <v>-3.350692307692308E-2</v>
      </c>
      <c r="AT281" s="404">
        <f t="shared" si="390"/>
        <v>-0.25384615384615383</v>
      </c>
      <c r="AU281" s="404">
        <f t="shared" si="391"/>
        <v>-0.40309003076923078</v>
      </c>
      <c r="AV281" s="404">
        <f t="shared" si="392"/>
        <v>0.26703076923076924</v>
      </c>
      <c r="AW281" s="404">
        <f t="shared" si="393"/>
        <v>4.7136830923076927</v>
      </c>
    </row>
    <row r="282" spans="1:49" x14ac:dyDescent="0.25">
      <c r="A282" s="364">
        <v>2321104</v>
      </c>
      <c r="B282" s="342" t="s">
        <v>125</v>
      </c>
      <c r="C282" s="368">
        <v>30000000</v>
      </c>
      <c r="D282" s="368">
        <v>0</v>
      </c>
      <c r="E282" s="368">
        <v>0</v>
      </c>
      <c r="F282" s="368">
        <v>45000000</v>
      </c>
      <c r="G282" s="368">
        <f t="shared" si="416"/>
        <v>75000000</v>
      </c>
      <c r="H282" s="58">
        <v>75000000</v>
      </c>
      <c r="I282" s="210">
        <v>30000000</v>
      </c>
      <c r="J282" s="210">
        <v>15000000</v>
      </c>
      <c r="K282" s="210">
        <v>15000000</v>
      </c>
      <c r="L282" s="210">
        <v>15000000</v>
      </c>
      <c r="M282" s="210">
        <v>0</v>
      </c>
      <c r="N282" s="210">
        <v>0</v>
      </c>
      <c r="O282" s="210">
        <v>0</v>
      </c>
      <c r="P282" s="210">
        <v>0</v>
      </c>
      <c r="Q282" s="210">
        <v>0</v>
      </c>
      <c r="R282" s="210">
        <v>0</v>
      </c>
      <c r="S282" s="210">
        <v>0</v>
      </c>
      <c r="T282" s="210">
        <v>0</v>
      </c>
      <c r="U282" s="412">
        <f t="shared" si="397"/>
        <v>75000000</v>
      </c>
      <c r="V282" s="58">
        <f t="shared" si="417"/>
        <v>75000000</v>
      </c>
      <c r="W282" s="396">
        <f t="shared" si="394"/>
        <v>75000000</v>
      </c>
      <c r="X282" s="396">
        <f t="shared" si="395"/>
        <v>0</v>
      </c>
      <c r="Y282" s="396"/>
      <c r="AA282" s="210">
        <v>0</v>
      </c>
      <c r="AB282" s="210">
        <v>8450011</v>
      </c>
      <c r="AC282" s="210">
        <v>0</v>
      </c>
      <c r="AD282" s="210">
        <v>4224990</v>
      </c>
      <c r="AE282" s="210">
        <v>0</v>
      </c>
      <c r="AF282" s="210">
        <v>0</v>
      </c>
      <c r="AG282" s="210">
        <v>0</v>
      </c>
      <c r="AH282" s="368">
        <v>424409</v>
      </c>
      <c r="AI282" s="368">
        <v>0</v>
      </c>
      <c r="AJ282" s="368">
        <v>0</v>
      </c>
      <c r="AK282" s="210">
        <f t="shared" si="396"/>
        <v>13099410</v>
      </c>
      <c r="AL282" s="387"/>
      <c r="AM282" s="404">
        <f t="shared" si="383"/>
        <v>-1</v>
      </c>
      <c r="AN282" s="404">
        <f t="shared" si="384"/>
        <v>-0.43666593333333331</v>
      </c>
      <c r="AO282" s="404">
        <f t="shared" si="385"/>
        <v>-1</v>
      </c>
      <c r="AP282" s="404">
        <f t="shared" si="386"/>
        <v>-0.71833400000000003</v>
      </c>
      <c r="AQ282" s="404" t="e">
        <f t="shared" si="387"/>
        <v>#DIV/0!</v>
      </c>
      <c r="AR282" s="404" t="e">
        <f t="shared" si="388"/>
        <v>#DIV/0!</v>
      </c>
      <c r="AS282" s="404" t="e">
        <f t="shared" si="389"/>
        <v>#DIV/0!</v>
      </c>
      <c r="AT282" s="404" t="e">
        <f t="shared" si="390"/>
        <v>#DIV/0!</v>
      </c>
      <c r="AU282" s="404" t="e">
        <f t="shared" si="391"/>
        <v>#DIV/0!</v>
      </c>
      <c r="AV282" s="404" t="e">
        <f t="shared" si="392"/>
        <v>#DIV/0!</v>
      </c>
      <c r="AW282" s="404" t="e">
        <f t="shared" si="393"/>
        <v>#DIV/0!</v>
      </c>
    </row>
    <row r="283" spans="1:49" x14ac:dyDescent="0.25">
      <c r="A283" s="364">
        <v>2321105</v>
      </c>
      <c r="B283" s="342" t="s">
        <v>126</v>
      </c>
      <c r="C283" s="368">
        <v>128000000</v>
      </c>
      <c r="D283" s="368">
        <v>0</v>
      </c>
      <c r="E283" s="368">
        <v>0</v>
      </c>
      <c r="F283" s="368">
        <v>0</v>
      </c>
      <c r="G283" s="368">
        <f t="shared" si="416"/>
        <v>128000000</v>
      </c>
      <c r="H283" s="59">
        <v>128000000</v>
      </c>
      <c r="I283" s="210">
        <v>0</v>
      </c>
      <c r="J283" s="210">
        <v>8000000</v>
      </c>
      <c r="K283" s="210">
        <v>0</v>
      </c>
      <c r="L283" s="210">
        <v>0</v>
      </c>
      <c r="M283" s="210">
        <v>0</v>
      </c>
      <c r="N283" s="210">
        <v>120000000</v>
      </c>
      <c r="O283" s="210">
        <v>0</v>
      </c>
      <c r="P283" s="210">
        <v>0</v>
      </c>
      <c r="Q283" s="210">
        <v>0</v>
      </c>
      <c r="R283" s="210">
        <v>0</v>
      </c>
      <c r="S283" s="210">
        <v>0</v>
      </c>
      <c r="T283" s="210">
        <v>0</v>
      </c>
      <c r="U283" s="412">
        <f t="shared" si="397"/>
        <v>128000000</v>
      </c>
      <c r="V283" s="58">
        <f t="shared" si="417"/>
        <v>128000000</v>
      </c>
      <c r="W283" s="396">
        <f t="shared" si="394"/>
        <v>128000000</v>
      </c>
      <c r="X283" s="396">
        <f t="shared" si="395"/>
        <v>0</v>
      </c>
      <c r="Y283" s="396"/>
      <c r="Z283" s="55"/>
      <c r="AA283" s="210">
        <v>0</v>
      </c>
      <c r="AB283" s="210">
        <v>0</v>
      </c>
      <c r="AC283" s="210">
        <v>0</v>
      </c>
      <c r="AD283" s="210">
        <v>0</v>
      </c>
      <c r="AE283" s="210">
        <v>0</v>
      </c>
      <c r="AF283" s="210">
        <v>0</v>
      </c>
      <c r="AG283" s="210">
        <v>0</v>
      </c>
      <c r="AH283" s="368">
        <v>0</v>
      </c>
      <c r="AI283" s="368">
        <v>0</v>
      </c>
      <c r="AJ283" s="368">
        <v>126403632</v>
      </c>
      <c r="AK283" s="210">
        <f t="shared" si="396"/>
        <v>126403632</v>
      </c>
      <c r="AL283" s="387"/>
      <c r="AM283" s="404" t="e">
        <f t="shared" si="383"/>
        <v>#DIV/0!</v>
      </c>
      <c r="AN283" s="404">
        <f t="shared" si="384"/>
        <v>-1</v>
      </c>
      <c r="AO283" s="404" t="e">
        <f t="shared" si="385"/>
        <v>#DIV/0!</v>
      </c>
      <c r="AP283" s="404" t="e">
        <f t="shared" si="386"/>
        <v>#DIV/0!</v>
      </c>
      <c r="AQ283" s="404" t="e">
        <f t="shared" si="387"/>
        <v>#DIV/0!</v>
      </c>
      <c r="AR283" s="404">
        <f t="shared" si="388"/>
        <v>-1</v>
      </c>
      <c r="AS283" s="404" t="e">
        <f t="shared" si="389"/>
        <v>#DIV/0!</v>
      </c>
      <c r="AT283" s="404" t="e">
        <f t="shared" si="390"/>
        <v>#DIV/0!</v>
      </c>
      <c r="AU283" s="404" t="e">
        <f t="shared" si="391"/>
        <v>#DIV/0!</v>
      </c>
      <c r="AV283" s="404" t="e">
        <f t="shared" si="392"/>
        <v>#DIV/0!</v>
      </c>
      <c r="AW283" s="404" t="e">
        <f t="shared" si="393"/>
        <v>#DIV/0!</v>
      </c>
    </row>
    <row r="284" spans="1:49" ht="30" x14ac:dyDescent="0.25">
      <c r="A284" s="364">
        <v>2321106</v>
      </c>
      <c r="B284" s="342" t="s">
        <v>127</v>
      </c>
      <c r="C284" s="368">
        <v>90000000</v>
      </c>
      <c r="D284" s="368">
        <v>0</v>
      </c>
      <c r="E284" s="368">
        <v>54824440</v>
      </c>
      <c r="F284" s="368">
        <v>20000000</v>
      </c>
      <c r="G284" s="368">
        <f t="shared" si="416"/>
        <v>55175560</v>
      </c>
      <c r="H284" s="58">
        <v>110000000</v>
      </c>
      <c r="I284" s="210">
        <v>4597963.333333333</v>
      </c>
      <c r="J284" s="210">
        <v>4597963.333333333</v>
      </c>
      <c r="K284" s="210">
        <v>4597963.333333333</v>
      </c>
      <c r="L284" s="210">
        <v>4597963.333333333</v>
      </c>
      <c r="M284" s="210">
        <v>4597963.333333333</v>
      </c>
      <c r="N284" s="210">
        <v>4597963.333333333</v>
      </c>
      <c r="O284" s="210">
        <v>4597963.333333333</v>
      </c>
      <c r="P284" s="210">
        <v>4597963.333333333</v>
      </c>
      <c r="Q284" s="210">
        <v>4597963.333333333</v>
      </c>
      <c r="R284" s="210">
        <v>4597963.333333333</v>
      </c>
      <c r="S284" s="210">
        <v>4597963.333333333</v>
      </c>
      <c r="T284" s="210">
        <v>4597963.333333333</v>
      </c>
      <c r="U284" s="412">
        <f t="shared" si="397"/>
        <v>45979633.333333336</v>
      </c>
      <c r="V284" s="58">
        <f t="shared" si="417"/>
        <v>55175560.000000007</v>
      </c>
      <c r="W284" s="396">
        <f t="shared" si="394"/>
        <v>55175560</v>
      </c>
      <c r="X284" s="396">
        <f t="shared" si="395"/>
        <v>0</v>
      </c>
      <c r="Y284" s="396">
        <f>+W284/12</f>
        <v>4597963.333333333</v>
      </c>
      <c r="AA284" s="210">
        <v>0</v>
      </c>
      <c r="AB284" s="210">
        <v>175560</v>
      </c>
      <c r="AC284" s="210">
        <v>175560</v>
      </c>
      <c r="AD284" s="210">
        <v>0</v>
      </c>
      <c r="AE284" s="210">
        <v>0</v>
      </c>
      <c r="AF284" s="210">
        <v>0</v>
      </c>
      <c r="AG284" s="210">
        <v>0</v>
      </c>
      <c r="AH284" s="368">
        <v>190000</v>
      </c>
      <c r="AI284" s="368">
        <v>0</v>
      </c>
      <c r="AJ284" s="368">
        <v>0</v>
      </c>
      <c r="AK284" s="210">
        <f t="shared" si="396"/>
        <v>541120</v>
      </c>
      <c r="AL284" s="387"/>
      <c r="AM284" s="404">
        <f t="shared" si="383"/>
        <v>-1</v>
      </c>
      <c r="AN284" s="404">
        <f t="shared" si="384"/>
        <v>-0.96181787733554491</v>
      </c>
      <c r="AO284" s="404">
        <f t="shared" si="385"/>
        <v>-0.96181787733554491</v>
      </c>
      <c r="AP284" s="404">
        <f t="shared" si="386"/>
        <v>-1</v>
      </c>
      <c r="AQ284" s="404">
        <f t="shared" si="387"/>
        <v>-1</v>
      </c>
      <c r="AR284" s="404">
        <f t="shared" si="388"/>
        <v>-1</v>
      </c>
      <c r="AS284" s="404">
        <f t="shared" si="389"/>
        <v>-1</v>
      </c>
      <c r="AT284" s="404">
        <f t="shared" si="390"/>
        <v>-0.95867735642374996</v>
      </c>
      <c r="AU284" s="404">
        <f t="shared" si="391"/>
        <v>-1</v>
      </c>
      <c r="AV284" s="404">
        <f t="shared" si="392"/>
        <v>-1</v>
      </c>
      <c r="AW284" s="404">
        <f t="shared" si="393"/>
        <v>-0.88231311109483979</v>
      </c>
    </row>
    <row r="285" spans="1:49" x14ac:dyDescent="0.25">
      <c r="A285" s="364">
        <v>2321107</v>
      </c>
      <c r="B285" s="342" t="s">
        <v>128</v>
      </c>
      <c r="C285" s="368">
        <v>320000000</v>
      </c>
      <c r="D285" s="368">
        <v>0</v>
      </c>
      <c r="E285" s="368">
        <v>0</v>
      </c>
      <c r="F285" s="368">
        <v>150000000</v>
      </c>
      <c r="G285" s="368">
        <f t="shared" si="416"/>
        <v>470000000</v>
      </c>
      <c r="H285" s="58">
        <v>470000000</v>
      </c>
      <c r="I285" s="210">
        <v>0</v>
      </c>
      <c r="J285" s="210">
        <v>50000000</v>
      </c>
      <c r="K285" s="210">
        <v>200000000</v>
      </c>
      <c r="L285" s="210">
        <v>200000000</v>
      </c>
      <c r="M285" s="210">
        <v>20000000</v>
      </c>
      <c r="N285" s="210">
        <v>0</v>
      </c>
      <c r="O285" s="210">
        <v>0</v>
      </c>
      <c r="P285" s="210">
        <v>0</v>
      </c>
      <c r="Q285" s="210">
        <v>0</v>
      </c>
      <c r="R285" s="210">
        <v>0</v>
      </c>
      <c r="S285" s="210">
        <v>0</v>
      </c>
      <c r="T285" s="210">
        <v>0</v>
      </c>
      <c r="U285" s="412">
        <f t="shared" si="397"/>
        <v>470000000</v>
      </c>
      <c r="V285" s="58">
        <f t="shared" si="417"/>
        <v>470000000</v>
      </c>
      <c r="W285" s="396">
        <f t="shared" si="394"/>
        <v>470000000</v>
      </c>
      <c r="X285" s="396">
        <f t="shared" si="395"/>
        <v>0</v>
      </c>
      <c r="Y285" s="396"/>
      <c r="AA285" s="210">
        <v>0</v>
      </c>
      <c r="AB285" s="210">
        <v>0</v>
      </c>
      <c r="AC285" s="210">
        <v>0</v>
      </c>
      <c r="AD285" s="210">
        <v>0</v>
      </c>
      <c r="AE285" s="210">
        <v>0</v>
      </c>
      <c r="AF285" s="210">
        <v>0</v>
      </c>
      <c r="AG285" s="210">
        <v>0</v>
      </c>
      <c r="AH285" s="368">
        <v>0</v>
      </c>
      <c r="AI285" s="368">
        <v>0</v>
      </c>
      <c r="AJ285" s="368">
        <v>0</v>
      </c>
      <c r="AK285" s="210">
        <f t="shared" si="396"/>
        <v>0</v>
      </c>
      <c r="AL285" s="387"/>
      <c r="AM285" s="404" t="e">
        <f t="shared" si="383"/>
        <v>#DIV/0!</v>
      </c>
      <c r="AN285" s="404">
        <f t="shared" si="384"/>
        <v>-1</v>
      </c>
      <c r="AO285" s="404">
        <f t="shared" si="385"/>
        <v>-1</v>
      </c>
      <c r="AP285" s="404">
        <f t="shared" si="386"/>
        <v>-1</v>
      </c>
      <c r="AQ285" s="404">
        <f t="shared" si="387"/>
        <v>-1</v>
      </c>
      <c r="AR285" s="404" t="e">
        <f t="shared" si="388"/>
        <v>#DIV/0!</v>
      </c>
      <c r="AS285" s="404" t="e">
        <f t="shared" si="389"/>
        <v>#DIV/0!</v>
      </c>
      <c r="AT285" s="404" t="e">
        <f t="shared" si="390"/>
        <v>#DIV/0!</v>
      </c>
      <c r="AU285" s="404" t="e">
        <f t="shared" si="391"/>
        <v>#DIV/0!</v>
      </c>
      <c r="AV285" s="404" t="e">
        <f t="shared" si="392"/>
        <v>#DIV/0!</v>
      </c>
      <c r="AW285" s="404" t="e">
        <f t="shared" si="393"/>
        <v>#DIV/0!</v>
      </c>
    </row>
    <row r="286" spans="1:49" x14ac:dyDescent="0.25">
      <c r="A286" s="364">
        <v>2321108</v>
      </c>
      <c r="B286" s="342" t="s">
        <v>129</v>
      </c>
      <c r="C286" s="368">
        <v>16588404</v>
      </c>
      <c r="D286" s="368">
        <v>0</v>
      </c>
      <c r="E286" s="368">
        <v>0</v>
      </c>
      <c r="F286" s="368">
        <v>0</v>
      </c>
      <c r="G286" s="368">
        <f t="shared" si="416"/>
        <v>16588404</v>
      </c>
      <c r="H286" s="58">
        <v>16588404</v>
      </c>
      <c r="I286" s="210">
        <v>0</v>
      </c>
      <c r="J286" s="210">
        <v>0</v>
      </c>
      <c r="K286" s="210">
        <v>0</v>
      </c>
      <c r="L286" s="210">
        <v>0</v>
      </c>
      <c r="M286" s="210">
        <v>0</v>
      </c>
      <c r="N286" s="210">
        <v>8500000</v>
      </c>
      <c r="O286" s="210">
        <v>0</v>
      </c>
      <c r="P286" s="210">
        <v>0</v>
      </c>
      <c r="Q286" s="210">
        <v>0</v>
      </c>
      <c r="R286" s="210">
        <v>0</v>
      </c>
      <c r="S286" s="210">
        <v>0</v>
      </c>
      <c r="T286" s="210">
        <v>8088404</v>
      </c>
      <c r="U286" s="412">
        <f t="shared" si="397"/>
        <v>8500000</v>
      </c>
      <c r="V286" s="58">
        <f t="shared" si="417"/>
        <v>16588404</v>
      </c>
      <c r="W286" s="396">
        <f t="shared" si="394"/>
        <v>16588404</v>
      </c>
      <c r="X286" s="396">
        <f t="shared" si="395"/>
        <v>0</v>
      </c>
      <c r="Y286" s="396"/>
      <c r="AA286" s="210">
        <v>0</v>
      </c>
      <c r="AB286" s="210">
        <v>0</v>
      </c>
      <c r="AC286" s="210">
        <v>0</v>
      </c>
      <c r="AD286" s="210">
        <v>0</v>
      </c>
      <c r="AE286" s="210">
        <v>0</v>
      </c>
      <c r="AF286" s="210">
        <v>0</v>
      </c>
      <c r="AG286" s="210">
        <v>0</v>
      </c>
      <c r="AH286" s="368">
        <v>0</v>
      </c>
      <c r="AI286" s="368">
        <v>0</v>
      </c>
      <c r="AJ286" s="368">
        <v>0</v>
      </c>
      <c r="AK286" s="210">
        <f t="shared" si="396"/>
        <v>0</v>
      </c>
      <c r="AL286" s="387"/>
      <c r="AM286" s="404" t="e">
        <f t="shared" si="383"/>
        <v>#DIV/0!</v>
      </c>
      <c r="AN286" s="404" t="e">
        <f t="shared" si="384"/>
        <v>#DIV/0!</v>
      </c>
      <c r="AO286" s="404" t="e">
        <f t="shared" si="385"/>
        <v>#DIV/0!</v>
      </c>
      <c r="AP286" s="404" t="e">
        <f t="shared" si="386"/>
        <v>#DIV/0!</v>
      </c>
      <c r="AQ286" s="404" t="e">
        <f t="shared" si="387"/>
        <v>#DIV/0!</v>
      </c>
      <c r="AR286" s="404">
        <f t="shared" si="388"/>
        <v>-1</v>
      </c>
      <c r="AS286" s="404" t="e">
        <f t="shared" si="389"/>
        <v>#DIV/0!</v>
      </c>
      <c r="AT286" s="404" t="e">
        <f t="shared" si="390"/>
        <v>#DIV/0!</v>
      </c>
      <c r="AU286" s="404" t="e">
        <f t="shared" si="391"/>
        <v>#DIV/0!</v>
      </c>
      <c r="AV286" s="404" t="e">
        <f t="shared" si="392"/>
        <v>#DIV/0!</v>
      </c>
      <c r="AW286" s="404" t="e">
        <f t="shared" si="393"/>
        <v>#DIV/0!</v>
      </c>
    </row>
    <row r="287" spans="1:49" ht="30" x14ac:dyDescent="0.25">
      <c r="A287" s="364">
        <v>2321109</v>
      </c>
      <c r="B287" s="342" t="s">
        <v>130</v>
      </c>
      <c r="C287" s="368">
        <v>29005798</v>
      </c>
      <c r="D287" s="368">
        <v>0</v>
      </c>
      <c r="E287" s="368">
        <v>0</v>
      </c>
      <c r="F287" s="368">
        <v>0</v>
      </c>
      <c r="G287" s="368">
        <f t="shared" si="416"/>
        <v>29005798</v>
      </c>
      <c r="H287" s="58">
        <v>29005798</v>
      </c>
      <c r="I287" s="210">
        <v>0</v>
      </c>
      <c r="J287" s="210">
        <v>19005798</v>
      </c>
      <c r="K287" s="210">
        <v>10000000</v>
      </c>
      <c r="L287" s="210">
        <v>0</v>
      </c>
      <c r="M287" s="210">
        <v>0</v>
      </c>
      <c r="N287" s="210">
        <v>0</v>
      </c>
      <c r="O287" s="210">
        <v>0</v>
      </c>
      <c r="P287" s="210">
        <v>0</v>
      </c>
      <c r="Q287" s="210">
        <v>0</v>
      </c>
      <c r="R287" s="210">
        <v>0</v>
      </c>
      <c r="S287" s="210">
        <v>0</v>
      </c>
      <c r="T287" s="210">
        <v>0</v>
      </c>
      <c r="U287" s="412">
        <f t="shared" si="397"/>
        <v>29005798</v>
      </c>
      <c r="V287" s="58">
        <f t="shared" si="417"/>
        <v>29005798</v>
      </c>
      <c r="W287" s="396">
        <f t="shared" si="394"/>
        <v>29005798</v>
      </c>
      <c r="X287" s="396">
        <f t="shared" si="395"/>
        <v>0</v>
      </c>
      <c r="Y287" s="396"/>
      <c r="AA287" s="210">
        <v>0</v>
      </c>
      <c r="AB287" s="210">
        <v>0</v>
      </c>
      <c r="AC287" s="210">
        <v>0</v>
      </c>
      <c r="AD287" s="210">
        <v>0</v>
      </c>
      <c r="AE287" s="210">
        <v>0</v>
      </c>
      <c r="AF287" s="210">
        <v>0</v>
      </c>
      <c r="AG287" s="210">
        <v>0</v>
      </c>
      <c r="AH287" s="368">
        <v>0</v>
      </c>
      <c r="AI287" s="368">
        <v>0</v>
      </c>
      <c r="AJ287" s="368">
        <v>0</v>
      </c>
      <c r="AK287" s="210">
        <f t="shared" si="396"/>
        <v>0</v>
      </c>
      <c r="AL287" s="387"/>
      <c r="AM287" s="404" t="e">
        <f t="shared" si="383"/>
        <v>#DIV/0!</v>
      </c>
      <c r="AN287" s="404">
        <f t="shared" si="384"/>
        <v>-1</v>
      </c>
      <c r="AO287" s="404">
        <f t="shared" si="385"/>
        <v>-1</v>
      </c>
      <c r="AP287" s="404" t="e">
        <f t="shared" si="386"/>
        <v>#DIV/0!</v>
      </c>
      <c r="AQ287" s="404" t="e">
        <f t="shared" si="387"/>
        <v>#DIV/0!</v>
      </c>
      <c r="AR287" s="404" t="e">
        <f t="shared" si="388"/>
        <v>#DIV/0!</v>
      </c>
      <c r="AS287" s="404" t="e">
        <f t="shared" si="389"/>
        <v>#DIV/0!</v>
      </c>
      <c r="AT287" s="404" t="e">
        <f t="shared" si="390"/>
        <v>#DIV/0!</v>
      </c>
      <c r="AU287" s="404" t="e">
        <f t="shared" si="391"/>
        <v>#DIV/0!</v>
      </c>
      <c r="AV287" s="404" t="e">
        <f t="shared" si="392"/>
        <v>#DIV/0!</v>
      </c>
      <c r="AW287" s="404" t="e">
        <f t="shared" si="393"/>
        <v>#DIV/0!</v>
      </c>
    </row>
    <row r="288" spans="1:49" x14ac:dyDescent="0.25">
      <c r="A288" s="364">
        <v>2321110</v>
      </c>
      <c r="B288" s="342" t="s">
        <v>131</v>
      </c>
      <c r="C288" s="368">
        <v>25000000</v>
      </c>
      <c r="D288" s="368">
        <v>0</v>
      </c>
      <c r="E288" s="368">
        <v>25000000</v>
      </c>
      <c r="F288" s="368">
        <v>0</v>
      </c>
      <c r="G288" s="368">
        <f t="shared" si="416"/>
        <v>0</v>
      </c>
      <c r="H288" s="58">
        <v>25000000</v>
      </c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412">
        <f t="shared" si="397"/>
        <v>0</v>
      </c>
      <c r="V288" s="58">
        <f t="shared" si="417"/>
        <v>0</v>
      </c>
      <c r="W288" s="396">
        <f t="shared" si="394"/>
        <v>0</v>
      </c>
      <c r="X288" s="396">
        <f t="shared" si="395"/>
        <v>0</v>
      </c>
      <c r="Y288" s="396"/>
      <c r="Z288" s="55"/>
      <c r="AA288" s="210">
        <v>0</v>
      </c>
      <c r="AB288" s="210">
        <v>0</v>
      </c>
      <c r="AC288" s="210">
        <v>0</v>
      </c>
      <c r="AD288" s="210">
        <v>0</v>
      </c>
      <c r="AE288" s="210">
        <v>0</v>
      </c>
      <c r="AF288" s="210">
        <v>0</v>
      </c>
      <c r="AG288" s="210">
        <v>0</v>
      </c>
      <c r="AH288" s="368">
        <v>0</v>
      </c>
      <c r="AI288" s="368">
        <v>0</v>
      </c>
      <c r="AJ288" s="368">
        <v>0</v>
      </c>
      <c r="AK288" s="210">
        <f t="shared" si="396"/>
        <v>0</v>
      </c>
      <c r="AL288" s="387"/>
      <c r="AM288" s="404" t="e">
        <f t="shared" si="383"/>
        <v>#DIV/0!</v>
      </c>
      <c r="AN288" s="404" t="e">
        <f t="shared" si="384"/>
        <v>#DIV/0!</v>
      </c>
      <c r="AO288" s="404" t="e">
        <f t="shared" si="385"/>
        <v>#DIV/0!</v>
      </c>
      <c r="AP288" s="404" t="e">
        <f t="shared" si="386"/>
        <v>#DIV/0!</v>
      </c>
      <c r="AQ288" s="404" t="e">
        <f t="shared" si="387"/>
        <v>#DIV/0!</v>
      </c>
      <c r="AR288" s="404" t="e">
        <f t="shared" si="388"/>
        <v>#DIV/0!</v>
      </c>
      <c r="AS288" s="404" t="e">
        <f t="shared" si="389"/>
        <v>#DIV/0!</v>
      </c>
      <c r="AT288" s="404" t="e">
        <f t="shared" si="390"/>
        <v>#DIV/0!</v>
      </c>
      <c r="AU288" s="404" t="e">
        <f t="shared" si="391"/>
        <v>#DIV/0!</v>
      </c>
      <c r="AV288" s="404" t="e">
        <f t="shared" si="392"/>
        <v>#DIV/0!</v>
      </c>
      <c r="AW288" s="404" t="e">
        <f t="shared" si="393"/>
        <v>#DIV/0!</v>
      </c>
    </row>
    <row r="289" spans="1:49" x14ac:dyDescent="0.25">
      <c r="A289" s="364">
        <v>2321112</v>
      </c>
      <c r="B289" s="342" t="s">
        <v>132</v>
      </c>
      <c r="C289" s="384">
        <v>650000000</v>
      </c>
      <c r="D289" s="368">
        <v>200000000</v>
      </c>
      <c r="E289" s="368">
        <v>200000000</v>
      </c>
      <c r="F289" s="368">
        <v>181000000</v>
      </c>
      <c r="G289" s="368">
        <f t="shared" si="416"/>
        <v>831000000</v>
      </c>
      <c r="H289" s="58">
        <v>650000000</v>
      </c>
      <c r="I289" s="210">
        <v>0</v>
      </c>
      <c r="J289" s="210">
        <v>350000000</v>
      </c>
      <c r="K289" s="210">
        <v>0</v>
      </c>
      <c r="L289" s="210">
        <v>50000000</v>
      </c>
      <c r="M289" s="210">
        <v>0</v>
      </c>
      <c r="N289" s="210">
        <v>0</v>
      </c>
      <c r="O289" s="210">
        <v>150000000</v>
      </c>
      <c r="P289" s="210">
        <f>100000000-19000000</f>
        <v>81000000</v>
      </c>
      <c r="Q289" s="210">
        <v>0</v>
      </c>
      <c r="R289" s="210">
        <v>0</v>
      </c>
      <c r="S289" s="210">
        <v>100000000</v>
      </c>
      <c r="T289" s="210">
        <v>100000000</v>
      </c>
      <c r="U289" s="412">
        <f t="shared" si="397"/>
        <v>631000000</v>
      </c>
      <c r="V289" s="58">
        <f t="shared" si="417"/>
        <v>831000000</v>
      </c>
      <c r="W289" s="396">
        <f t="shared" si="394"/>
        <v>831000000</v>
      </c>
      <c r="X289" s="396">
        <f t="shared" si="395"/>
        <v>0</v>
      </c>
      <c r="Y289" s="396"/>
      <c r="AA289" s="210">
        <v>600000</v>
      </c>
      <c r="AB289" s="210">
        <v>0</v>
      </c>
      <c r="AC289" s="210">
        <v>8329000</v>
      </c>
      <c r="AD289" s="210">
        <v>169575</v>
      </c>
      <c r="AE289" s="210">
        <v>8000000</v>
      </c>
      <c r="AF289" s="210">
        <v>124950</v>
      </c>
      <c r="AG289" s="210">
        <f>28354555+6064999.94</f>
        <v>34419554.939999998</v>
      </c>
      <c r="AH289" s="368">
        <v>41623200</v>
      </c>
      <c r="AI289" s="368">
        <v>76578400</v>
      </c>
      <c r="AJ289" s="368">
        <v>54925440</v>
      </c>
      <c r="AK289" s="210">
        <f t="shared" si="396"/>
        <v>224770119.94</v>
      </c>
      <c r="AL289" s="387"/>
      <c r="AM289" s="404" t="e">
        <f t="shared" si="383"/>
        <v>#DIV/0!</v>
      </c>
      <c r="AN289" s="404">
        <f t="shared" si="384"/>
        <v>-1</v>
      </c>
      <c r="AO289" s="404" t="e">
        <f t="shared" si="385"/>
        <v>#DIV/0!</v>
      </c>
      <c r="AP289" s="404">
        <f t="shared" si="386"/>
        <v>-0.99660850000000001</v>
      </c>
      <c r="AQ289" s="404" t="e">
        <f t="shared" si="387"/>
        <v>#DIV/0!</v>
      </c>
      <c r="AR289" s="404" t="e">
        <f t="shared" si="388"/>
        <v>#DIV/0!</v>
      </c>
      <c r="AS289" s="404">
        <f t="shared" si="389"/>
        <v>-0.77053630039999998</v>
      </c>
      <c r="AT289" s="404">
        <f t="shared" si="390"/>
        <v>-0.48613333333333331</v>
      </c>
      <c r="AU289" s="404" t="e">
        <f t="shared" si="391"/>
        <v>#DIV/0!</v>
      </c>
      <c r="AV289" s="404" t="e">
        <f t="shared" si="392"/>
        <v>#DIV/0!</v>
      </c>
      <c r="AW289" s="404">
        <f t="shared" si="393"/>
        <v>1.2477011994</v>
      </c>
    </row>
    <row r="290" spans="1:49" x14ac:dyDescent="0.25">
      <c r="A290" s="364">
        <v>2321113</v>
      </c>
      <c r="B290" s="342" t="s">
        <v>133</v>
      </c>
      <c r="C290" s="368">
        <v>255215798</v>
      </c>
      <c r="D290" s="368">
        <v>0</v>
      </c>
      <c r="E290" s="368">
        <v>0</v>
      </c>
      <c r="F290" s="368">
        <v>15000000</v>
      </c>
      <c r="G290" s="368">
        <f t="shared" si="416"/>
        <v>270215798</v>
      </c>
      <c r="H290" s="58">
        <v>436215798</v>
      </c>
      <c r="I290" s="210">
        <v>22517983.166666668</v>
      </c>
      <c r="J290" s="210">
        <v>22517983.166666668</v>
      </c>
      <c r="K290" s="210">
        <v>22517983.166666668</v>
      </c>
      <c r="L290" s="210">
        <v>22517983.166666668</v>
      </c>
      <c r="M290" s="210">
        <v>22517983.166666668</v>
      </c>
      <c r="N290" s="210">
        <v>22517983.166666668</v>
      </c>
      <c r="O290" s="210">
        <v>22517983.166666668</v>
      </c>
      <c r="P290" s="210">
        <v>22517983.166666668</v>
      </c>
      <c r="Q290" s="210">
        <v>22517983.166666668</v>
      </c>
      <c r="R290" s="210">
        <v>22517983.166666668</v>
      </c>
      <c r="S290" s="210">
        <v>22517983.166666668</v>
      </c>
      <c r="T290" s="210">
        <v>22517983.166666668</v>
      </c>
      <c r="U290" s="412">
        <f t="shared" si="397"/>
        <v>225179831.66666663</v>
      </c>
      <c r="V290" s="58">
        <f t="shared" si="417"/>
        <v>270215797.99999994</v>
      </c>
      <c r="W290" s="396">
        <f t="shared" si="394"/>
        <v>270215798</v>
      </c>
      <c r="X290" s="396">
        <f t="shared" si="395"/>
        <v>0</v>
      </c>
      <c r="Y290" s="396">
        <f>+W290/12</f>
        <v>22517983.166666668</v>
      </c>
      <c r="AA290" s="210">
        <v>1500000</v>
      </c>
      <c r="AB290" s="210">
        <v>1250700</v>
      </c>
      <c r="AC290" s="210">
        <v>22808613</v>
      </c>
      <c r="AD290" s="210">
        <v>3388900</v>
      </c>
      <c r="AE290" s="210">
        <v>860000</v>
      </c>
      <c r="AF290" s="210">
        <f>1139150+190000</f>
        <v>1329150</v>
      </c>
      <c r="AG290" s="210">
        <f>38678571+549499.87</f>
        <v>39228070.869999997</v>
      </c>
      <c r="AH290" s="368">
        <v>15419292</v>
      </c>
      <c r="AI290" s="368">
        <v>3428571</v>
      </c>
      <c r="AJ290" s="368">
        <v>3442100</v>
      </c>
      <c r="AK290" s="210">
        <f t="shared" si="396"/>
        <v>92655396.870000005</v>
      </c>
      <c r="AL290" s="386"/>
      <c r="AM290" s="404">
        <f t="shared" si="383"/>
        <v>-0.93338657423723248</v>
      </c>
      <c r="AN290" s="404">
        <f t="shared" si="384"/>
        <v>-0.94445772559900443</v>
      </c>
      <c r="AO290" s="404">
        <f t="shared" si="385"/>
        <v>1.2906565884796955E-2</v>
      </c>
      <c r="AP290" s="404">
        <f t="shared" si="386"/>
        <v>-0.84950250762170465</v>
      </c>
      <c r="AQ290" s="404">
        <f t="shared" si="387"/>
        <v>-0.96180830256267991</v>
      </c>
      <c r="AR290" s="404">
        <f t="shared" si="388"/>
        <v>-0.94097384343161161</v>
      </c>
      <c r="AS290" s="404">
        <f t="shared" si="389"/>
        <v>0.74207745781022005</v>
      </c>
      <c r="AT290" s="404">
        <f t="shared" si="390"/>
        <v>-0.31524542469570938</v>
      </c>
      <c r="AU290" s="404">
        <f t="shared" si="391"/>
        <v>-0.84774076014608146</v>
      </c>
      <c r="AV290" s="404">
        <f t="shared" si="392"/>
        <v>-0.84713995145465182</v>
      </c>
      <c r="AW290" s="404">
        <f t="shared" si="393"/>
        <v>3.1147289339463415</v>
      </c>
    </row>
    <row r="291" spans="1:49" x14ac:dyDescent="0.25">
      <c r="A291" s="339">
        <v>23212</v>
      </c>
      <c r="B291" s="340" t="s">
        <v>134</v>
      </c>
      <c r="C291" s="367">
        <f>SUM(C292:C294)</f>
        <v>495000000</v>
      </c>
      <c r="D291" s="367">
        <f t="shared" ref="D291:G291" si="418">SUM(D292:D294)</f>
        <v>0</v>
      </c>
      <c r="E291" s="367">
        <f t="shared" si="418"/>
        <v>143628460</v>
      </c>
      <c r="F291" s="367">
        <f t="shared" si="418"/>
        <v>93000000</v>
      </c>
      <c r="G291" s="367">
        <f t="shared" si="418"/>
        <v>444371540</v>
      </c>
      <c r="H291" s="57">
        <f>SUM(H292:H294)</f>
        <v>588000000</v>
      </c>
      <c r="I291" s="208">
        <f t="shared" ref="I291:V291" si="419">SUM(I292:I294)</f>
        <v>80000000</v>
      </c>
      <c r="J291" s="208">
        <f t="shared" si="419"/>
        <v>81000000</v>
      </c>
      <c r="K291" s="208">
        <f t="shared" si="419"/>
        <v>188500000</v>
      </c>
      <c r="L291" s="208">
        <f t="shared" si="419"/>
        <v>31000000</v>
      </c>
      <c r="M291" s="208">
        <f t="shared" si="419"/>
        <v>0</v>
      </c>
      <c r="N291" s="208">
        <f t="shared" si="419"/>
        <v>0</v>
      </c>
      <c r="O291" s="208">
        <f t="shared" si="419"/>
        <v>0</v>
      </c>
      <c r="P291" s="208">
        <f t="shared" si="419"/>
        <v>63871540</v>
      </c>
      <c r="Q291" s="208">
        <f t="shared" si="419"/>
        <v>0</v>
      </c>
      <c r="R291" s="208">
        <f t="shared" si="419"/>
        <v>0</v>
      </c>
      <c r="S291" s="208">
        <f t="shared" si="419"/>
        <v>0</v>
      </c>
      <c r="T291" s="208">
        <f t="shared" si="419"/>
        <v>0</v>
      </c>
      <c r="U291" s="413">
        <f t="shared" si="397"/>
        <v>444371540</v>
      </c>
      <c r="V291" s="57">
        <f t="shared" si="419"/>
        <v>444371540</v>
      </c>
      <c r="W291" s="396">
        <f t="shared" si="394"/>
        <v>444371540</v>
      </c>
      <c r="X291" s="396">
        <f t="shared" si="395"/>
        <v>0</v>
      </c>
      <c r="Y291" s="396"/>
      <c r="AA291" s="208">
        <v>0</v>
      </c>
      <c r="AB291" s="209">
        <v>0</v>
      </c>
      <c r="AC291" s="209">
        <v>90167859</v>
      </c>
      <c r="AD291" s="209">
        <v>15926170</v>
      </c>
      <c r="AE291" s="209">
        <v>0</v>
      </c>
      <c r="AF291" s="209">
        <v>60287552</v>
      </c>
      <c r="AG291" s="209">
        <v>14747100</v>
      </c>
      <c r="AH291" s="367">
        <v>83692833</v>
      </c>
      <c r="AI291" s="367">
        <v>0</v>
      </c>
      <c r="AJ291" s="367">
        <v>2468179</v>
      </c>
      <c r="AK291" s="209">
        <f t="shared" si="396"/>
        <v>267289693</v>
      </c>
      <c r="AL291" s="387"/>
      <c r="AM291" s="405">
        <f t="shared" si="383"/>
        <v>-1</v>
      </c>
      <c r="AN291" s="405">
        <f t="shared" si="384"/>
        <v>-1</v>
      </c>
      <c r="AO291" s="405">
        <f t="shared" si="385"/>
        <v>-0.52165592042440323</v>
      </c>
      <c r="AP291" s="405">
        <f t="shared" si="386"/>
        <v>-0.4862525806451613</v>
      </c>
      <c r="AQ291" s="405" t="e">
        <f t="shared" si="387"/>
        <v>#DIV/0!</v>
      </c>
      <c r="AR291" s="405" t="e">
        <f t="shared" si="388"/>
        <v>#DIV/0!</v>
      </c>
      <c r="AS291" s="405" t="e">
        <f t="shared" si="389"/>
        <v>#DIV/0!</v>
      </c>
      <c r="AT291" s="405">
        <f t="shared" si="390"/>
        <v>0.31033059481578179</v>
      </c>
      <c r="AU291" s="405" t="e">
        <f t="shared" si="391"/>
        <v>#DIV/0!</v>
      </c>
      <c r="AV291" s="405" t="e">
        <f t="shared" si="392"/>
        <v>#DIV/0!</v>
      </c>
      <c r="AW291" s="405" t="e">
        <f t="shared" si="393"/>
        <v>#DIV/0!</v>
      </c>
    </row>
    <row r="292" spans="1:49" ht="30" x14ac:dyDescent="0.25">
      <c r="A292" s="364">
        <v>232121</v>
      </c>
      <c r="B292" s="342" t="s">
        <v>135</v>
      </c>
      <c r="C292" s="368">
        <v>380000000</v>
      </c>
      <c r="D292" s="368">
        <v>0</v>
      </c>
      <c r="E292" s="368">
        <v>100000000</v>
      </c>
      <c r="F292" s="368">
        <v>93000000</v>
      </c>
      <c r="G292" s="368">
        <f t="shared" ref="G292" si="420">+C292+D292-E292+F292</f>
        <v>373000000</v>
      </c>
      <c r="H292" s="58">
        <v>473000000</v>
      </c>
      <c r="I292" s="210">
        <v>80000000</v>
      </c>
      <c r="J292" s="210">
        <v>31000000</v>
      </c>
      <c r="K292" s="210">
        <v>181000000</v>
      </c>
      <c r="L292" s="210">
        <v>31000000</v>
      </c>
      <c r="M292" s="210">
        <v>0</v>
      </c>
      <c r="N292" s="210">
        <v>0</v>
      </c>
      <c r="O292" s="210">
        <v>0</v>
      </c>
      <c r="P292" s="210">
        <v>50000000</v>
      </c>
      <c r="Q292" s="210">
        <v>0</v>
      </c>
      <c r="R292" s="210">
        <v>0</v>
      </c>
      <c r="S292" s="210">
        <v>0</v>
      </c>
      <c r="T292" s="210">
        <v>0</v>
      </c>
      <c r="U292" s="412">
        <f t="shared" si="397"/>
        <v>373000000</v>
      </c>
      <c r="V292" s="58">
        <f t="shared" si="417"/>
        <v>373000000</v>
      </c>
      <c r="W292" s="396">
        <f t="shared" si="394"/>
        <v>373000000</v>
      </c>
      <c r="X292" s="396">
        <f t="shared" si="395"/>
        <v>0</v>
      </c>
      <c r="Y292" s="396">
        <f t="shared" ref="Y292:Y293" si="421">+W292/12</f>
        <v>31083333.333333332</v>
      </c>
      <c r="Z292" s="55"/>
      <c r="AA292" s="210">
        <v>0</v>
      </c>
      <c r="AB292" s="210">
        <v>0</v>
      </c>
      <c r="AC292" s="210">
        <v>90167859</v>
      </c>
      <c r="AD292" s="210">
        <v>2326170</v>
      </c>
      <c r="AE292" s="210">
        <v>0</v>
      </c>
      <c r="AF292" s="210">
        <v>60287552</v>
      </c>
      <c r="AG292" s="210">
        <v>14747100</v>
      </c>
      <c r="AH292" s="368">
        <v>83092833</v>
      </c>
      <c r="AI292" s="368">
        <v>0</v>
      </c>
      <c r="AJ292" s="368">
        <v>2168179</v>
      </c>
      <c r="AK292" s="210">
        <f t="shared" si="396"/>
        <v>252789693</v>
      </c>
      <c r="AL292" s="387"/>
      <c r="AM292" s="404">
        <f t="shared" si="383"/>
        <v>-1</v>
      </c>
      <c r="AN292" s="404">
        <f t="shared" si="384"/>
        <v>-1</v>
      </c>
      <c r="AO292" s="404">
        <f t="shared" si="385"/>
        <v>-0.50183503314917122</v>
      </c>
      <c r="AP292" s="404">
        <f t="shared" si="386"/>
        <v>-0.92496225806451615</v>
      </c>
      <c r="AQ292" s="404" t="e">
        <f t="shared" si="387"/>
        <v>#DIV/0!</v>
      </c>
      <c r="AR292" s="404" t="e">
        <f t="shared" si="388"/>
        <v>#DIV/0!</v>
      </c>
      <c r="AS292" s="404" t="e">
        <f t="shared" si="389"/>
        <v>#DIV/0!</v>
      </c>
      <c r="AT292" s="404">
        <f t="shared" si="390"/>
        <v>0.66185665999999999</v>
      </c>
      <c r="AU292" s="404" t="e">
        <f t="shared" si="391"/>
        <v>#DIV/0!</v>
      </c>
      <c r="AV292" s="404" t="e">
        <f t="shared" si="392"/>
        <v>#DIV/0!</v>
      </c>
      <c r="AW292" s="404" t="e">
        <f t="shared" si="393"/>
        <v>#DIV/0!</v>
      </c>
    </row>
    <row r="293" spans="1:49" x14ac:dyDescent="0.25">
      <c r="A293" s="364">
        <v>232122</v>
      </c>
      <c r="B293" s="342" t="s">
        <v>136</v>
      </c>
      <c r="C293" s="368">
        <v>100000000</v>
      </c>
      <c r="D293" s="368">
        <v>0</v>
      </c>
      <c r="E293" s="368">
        <v>43628460</v>
      </c>
      <c r="F293" s="368">
        <v>0</v>
      </c>
      <c r="G293" s="368">
        <f>+C293+D293-E293+F293</f>
        <v>56371540</v>
      </c>
      <c r="H293" s="58">
        <v>100000000</v>
      </c>
      <c r="I293" s="210">
        <v>0</v>
      </c>
      <c r="J293" s="210">
        <v>50000000</v>
      </c>
      <c r="K293" s="210">
        <v>0</v>
      </c>
      <c r="L293" s="210">
        <v>0</v>
      </c>
      <c r="M293" s="210">
        <v>0</v>
      </c>
      <c r="N293" s="210">
        <v>0</v>
      </c>
      <c r="O293" s="210">
        <v>0</v>
      </c>
      <c r="P293" s="210">
        <v>6371540</v>
      </c>
      <c r="Q293" s="210">
        <v>0</v>
      </c>
      <c r="R293" s="210">
        <v>0</v>
      </c>
      <c r="S293" s="210">
        <v>0</v>
      </c>
      <c r="T293" s="210">
        <v>0</v>
      </c>
      <c r="U293" s="412">
        <f t="shared" si="397"/>
        <v>56371540</v>
      </c>
      <c r="V293" s="58">
        <f t="shared" si="417"/>
        <v>56371540</v>
      </c>
      <c r="W293" s="396">
        <f t="shared" si="394"/>
        <v>56371540</v>
      </c>
      <c r="X293" s="396">
        <f t="shared" si="395"/>
        <v>0</v>
      </c>
      <c r="Y293" s="396">
        <f t="shared" si="421"/>
        <v>4697628.333333333</v>
      </c>
      <c r="AA293" s="210">
        <v>0</v>
      </c>
      <c r="AB293" s="210">
        <v>0</v>
      </c>
      <c r="AC293" s="210">
        <v>0</v>
      </c>
      <c r="AD293" s="210">
        <v>13600000</v>
      </c>
      <c r="AE293" s="210">
        <v>0</v>
      </c>
      <c r="AF293" s="210">
        <v>0</v>
      </c>
      <c r="AG293" s="210">
        <v>0</v>
      </c>
      <c r="AH293" s="368">
        <v>0</v>
      </c>
      <c r="AI293" s="368">
        <v>0</v>
      </c>
      <c r="AJ293" s="368">
        <v>0</v>
      </c>
      <c r="AK293" s="210">
        <f t="shared" si="396"/>
        <v>13600000</v>
      </c>
      <c r="AL293" s="387"/>
      <c r="AM293" s="404" t="e">
        <f t="shared" si="383"/>
        <v>#DIV/0!</v>
      </c>
      <c r="AN293" s="404">
        <f t="shared" si="384"/>
        <v>-1</v>
      </c>
      <c r="AO293" s="404" t="e">
        <f t="shared" si="385"/>
        <v>#DIV/0!</v>
      </c>
      <c r="AP293" s="404" t="e">
        <f t="shared" si="386"/>
        <v>#DIV/0!</v>
      </c>
      <c r="AQ293" s="404" t="e">
        <f t="shared" si="387"/>
        <v>#DIV/0!</v>
      </c>
      <c r="AR293" s="404" t="e">
        <f t="shared" si="388"/>
        <v>#DIV/0!</v>
      </c>
      <c r="AS293" s="404" t="e">
        <f t="shared" si="389"/>
        <v>#DIV/0!</v>
      </c>
      <c r="AT293" s="404">
        <f t="shared" si="390"/>
        <v>-1</v>
      </c>
      <c r="AU293" s="404" t="e">
        <f t="shared" si="391"/>
        <v>#DIV/0!</v>
      </c>
      <c r="AV293" s="404" t="e">
        <f t="shared" si="392"/>
        <v>#DIV/0!</v>
      </c>
      <c r="AW293" s="404" t="e">
        <f t="shared" si="393"/>
        <v>#DIV/0!</v>
      </c>
    </row>
    <row r="294" spans="1:49" x14ac:dyDescent="0.25">
      <c r="A294" s="364">
        <v>232123</v>
      </c>
      <c r="B294" s="342" t="s">
        <v>137</v>
      </c>
      <c r="C294" s="368">
        <v>15000000</v>
      </c>
      <c r="D294" s="368">
        <v>0</v>
      </c>
      <c r="E294" s="368">
        <v>0</v>
      </c>
      <c r="F294" s="368">
        <v>0</v>
      </c>
      <c r="G294" s="368">
        <f t="shared" ref="G294" si="422">+C294+D294-E294+F294</f>
        <v>15000000</v>
      </c>
      <c r="H294" s="58">
        <v>15000000</v>
      </c>
      <c r="I294" s="210">
        <v>0</v>
      </c>
      <c r="J294" s="210">
        <v>0</v>
      </c>
      <c r="K294" s="210">
        <v>7500000</v>
      </c>
      <c r="L294" s="210">
        <v>0</v>
      </c>
      <c r="M294" s="210">
        <v>0</v>
      </c>
      <c r="N294" s="210">
        <v>0</v>
      </c>
      <c r="O294" s="210">
        <v>0</v>
      </c>
      <c r="P294" s="210">
        <v>7500000</v>
      </c>
      <c r="Q294" s="210">
        <v>0</v>
      </c>
      <c r="R294" s="210">
        <v>0</v>
      </c>
      <c r="S294" s="210">
        <v>0</v>
      </c>
      <c r="T294" s="210">
        <v>0</v>
      </c>
      <c r="U294" s="412">
        <f t="shared" si="397"/>
        <v>15000000</v>
      </c>
      <c r="V294" s="58">
        <f t="shared" si="417"/>
        <v>15000000</v>
      </c>
      <c r="W294" s="396">
        <f t="shared" si="394"/>
        <v>15000000</v>
      </c>
      <c r="X294" s="396">
        <f t="shared" si="395"/>
        <v>0</v>
      </c>
      <c r="Y294" s="396"/>
      <c r="AA294" s="210">
        <v>0</v>
      </c>
      <c r="AB294" s="210">
        <v>0</v>
      </c>
      <c r="AC294" s="210">
        <v>0</v>
      </c>
      <c r="AD294" s="210">
        <v>0</v>
      </c>
      <c r="AE294" s="210">
        <v>0</v>
      </c>
      <c r="AF294" s="210">
        <v>0</v>
      </c>
      <c r="AG294" s="210">
        <v>0</v>
      </c>
      <c r="AH294" s="368">
        <v>600000</v>
      </c>
      <c r="AI294" s="368">
        <v>0</v>
      </c>
      <c r="AJ294" s="368">
        <v>300000</v>
      </c>
      <c r="AK294" s="210">
        <f t="shared" si="396"/>
        <v>900000</v>
      </c>
      <c r="AL294" s="386"/>
      <c r="AM294" s="404" t="e">
        <f t="shared" si="383"/>
        <v>#DIV/0!</v>
      </c>
      <c r="AN294" s="404" t="e">
        <f t="shared" si="384"/>
        <v>#DIV/0!</v>
      </c>
      <c r="AO294" s="404">
        <f t="shared" si="385"/>
        <v>-1</v>
      </c>
      <c r="AP294" s="404" t="e">
        <f t="shared" si="386"/>
        <v>#DIV/0!</v>
      </c>
      <c r="AQ294" s="404" t="e">
        <f t="shared" si="387"/>
        <v>#DIV/0!</v>
      </c>
      <c r="AR294" s="404" t="e">
        <f t="shared" si="388"/>
        <v>#DIV/0!</v>
      </c>
      <c r="AS294" s="404" t="e">
        <f t="shared" si="389"/>
        <v>#DIV/0!</v>
      </c>
      <c r="AT294" s="404">
        <f t="shared" si="390"/>
        <v>-0.92</v>
      </c>
      <c r="AU294" s="404" t="e">
        <f t="shared" si="391"/>
        <v>#DIV/0!</v>
      </c>
      <c r="AV294" s="404" t="e">
        <f t="shared" si="392"/>
        <v>#DIV/0!</v>
      </c>
      <c r="AW294" s="404" t="e">
        <f t="shared" si="393"/>
        <v>#DIV/0!</v>
      </c>
    </row>
    <row r="295" spans="1:49" x14ac:dyDescent="0.25">
      <c r="A295" s="339">
        <v>23213</v>
      </c>
      <c r="B295" s="340" t="s">
        <v>138</v>
      </c>
      <c r="C295" s="367">
        <f>SUM(C296:C299)</f>
        <v>60000000</v>
      </c>
      <c r="D295" s="367">
        <f t="shared" ref="D295:G295" si="423">SUM(D296:D299)</f>
        <v>0</v>
      </c>
      <c r="E295" s="367">
        <f t="shared" si="423"/>
        <v>0</v>
      </c>
      <c r="F295" s="367">
        <f t="shared" si="423"/>
        <v>0</v>
      </c>
      <c r="G295" s="367">
        <f t="shared" si="423"/>
        <v>60000000</v>
      </c>
      <c r="H295" s="57">
        <f>SUM(H296:H299)</f>
        <v>60000000</v>
      </c>
      <c r="I295" s="208">
        <f t="shared" ref="I295:V295" si="424">SUM(I296:I299)</f>
        <v>10000000</v>
      </c>
      <c r="J295" s="208">
        <f t="shared" si="424"/>
        <v>4000000</v>
      </c>
      <c r="K295" s="208">
        <f t="shared" si="424"/>
        <v>15000000</v>
      </c>
      <c r="L295" s="208">
        <f t="shared" si="424"/>
        <v>8000000</v>
      </c>
      <c r="M295" s="208">
        <f t="shared" si="424"/>
        <v>5000000</v>
      </c>
      <c r="N295" s="208">
        <f t="shared" si="424"/>
        <v>4000000</v>
      </c>
      <c r="O295" s="208">
        <f t="shared" si="424"/>
        <v>0</v>
      </c>
      <c r="P295" s="208">
        <f t="shared" si="424"/>
        <v>14000000</v>
      </c>
      <c r="Q295" s="208">
        <f t="shared" si="424"/>
        <v>0</v>
      </c>
      <c r="R295" s="208">
        <f t="shared" si="424"/>
        <v>0</v>
      </c>
      <c r="S295" s="208">
        <f t="shared" si="424"/>
        <v>0</v>
      </c>
      <c r="T295" s="208">
        <f t="shared" si="424"/>
        <v>0</v>
      </c>
      <c r="U295" s="413">
        <f t="shared" si="397"/>
        <v>60000000</v>
      </c>
      <c r="V295" s="57">
        <f t="shared" si="424"/>
        <v>60000000</v>
      </c>
      <c r="W295" s="396">
        <f t="shared" si="394"/>
        <v>60000000</v>
      </c>
      <c r="X295" s="396">
        <f t="shared" si="395"/>
        <v>0</v>
      </c>
      <c r="Y295" s="396"/>
      <c r="Z295" s="55"/>
      <c r="AA295" s="208">
        <v>0</v>
      </c>
      <c r="AB295" s="209">
        <v>0</v>
      </c>
      <c r="AC295" s="209">
        <v>0</v>
      </c>
      <c r="AD295" s="209">
        <v>0</v>
      </c>
      <c r="AE295" s="209">
        <v>0</v>
      </c>
      <c r="AF295" s="209">
        <v>0</v>
      </c>
      <c r="AG295" s="209">
        <v>0</v>
      </c>
      <c r="AH295" s="367">
        <v>0</v>
      </c>
      <c r="AI295" s="367">
        <v>0</v>
      </c>
      <c r="AJ295" s="367">
        <v>0</v>
      </c>
      <c r="AK295" s="209">
        <f t="shared" si="396"/>
        <v>0</v>
      </c>
      <c r="AL295" s="387"/>
      <c r="AM295" s="405">
        <f t="shared" si="383"/>
        <v>-1</v>
      </c>
      <c r="AN295" s="405">
        <f t="shared" si="384"/>
        <v>-1</v>
      </c>
      <c r="AO295" s="405">
        <f t="shared" si="385"/>
        <v>-1</v>
      </c>
      <c r="AP295" s="405">
        <f t="shared" si="386"/>
        <v>-1</v>
      </c>
      <c r="AQ295" s="405">
        <f t="shared" si="387"/>
        <v>-1</v>
      </c>
      <c r="AR295" s="405">
        <f t="shared" si="388"/>
        <v>-1</v>
      </c>
      <c r="AS295" s="405" t="e">
        <f t="shared" si="389"/>
        <v>#DIV/0!</v>
      </c>
      <c r="AT295" s="405">
        <f t="shared" si="390"/>
        <v>-1</v>
      </c>
      <c r="AU295" s="405" t="e">
        <f t="shared" si="391"/>
        <v>#DIV/0!</v>
      </c>
      <c r="AV295" s="405" t="e">
        <f t="shared" si="392"/>
        <v>#DIV/0!</v>
      </c>
      <c r="AW295" s="405" t="e">
        <f t="shared" si="393"/>
        <v>#DIV/0!</v>
      </c>
    </row>
    <row r="296" spans="1:49" x14ac:dyDescent="0.25">
      <c r="A296" s="364">
        <v>232131</v>
      </c>
      <c r="B296" s="342" t="s">
        <v>139</v>
      </c>
      <c r="C296" s="368">
        <v>17000000</v>
      </c>
      <c r="D296" s="368">
        <v>0</v>
      </c>
      <c r="E296" s="368">
        <v>0</v>
      </c>
      <c r="F296" s="368">
        <v>0</v>
      </c>
      <c r="G296" s="368">
        <f t="shared" ref="G296:G299" si="425">+C296+D296-E296+F296</f>
        <v>17000000</v>
      </c>
      <c r="H296" s="58">
        <v>17000000</v>
      </c>
      <c r="I296" s="210">
        <v>0</v>
      </c>
      <c r="J296" s="210">
        <v>0</v>
      </c>
      <c r="K296" s="210">
        <v>10000000</v>
      </c>
      <c r="L296" s="210">
        <v>0</v>
      </c>
      <c r="M296" s="210">
        <v>0</v>
      </c>
      <c r="N296" s="210">
        <v>0</v>
      </c>
      <c r="O296" s="210">
        <v>0</v>
      </c>
      <c r="P296" s="210">
        <v>7000000</v>
      </c>
      <c r="Q296" s="210">
        <v>0</v>
      </c>
      <c r="R296" s="210">
        <v>0</v>
      </c>
      <c r="S296" s="210">
        <v>0</v>
      </c>
      <c r="T296" s="210">
        <v>0</v>
      </c>
      <c r="U296" s="412">
        <f t="shared" si="397"/>
        <v>17000000</v>
      </c>
      <c r="V296" s="58">
        <f>SUM(I296:T296)</f>
        <v>17000000</v>
      </c>
      <c r="W296" s="396">
        <f t="shared" si="394"/>
        <v>17000000</v>
      </c>
      <c r="X296" s="396">
        <f t="shared" si="395"/>
        <v>0</v>
      </c>
      <c r="Y296" s="396"/>
      <c r="AA296" s="210">
        <v>0</v>
      </c>
      <c r="AB296" s="210">
        <v>0</v>
      </c>
      <c r="AC296" s="210">
        <v>0</v>
      </c>
      <c r="AD296" s="210">
        <v>0</v>
      </c>
      <c r="AE296" s="210">
        <v>0</v>
      </c>
      <c r="AF296" s="210">
        <v>0</v>
      </c>
      <c r="AG296" s="210">
        <v>0</v>
      </c>
      <c r="AH296" s="368">
        <v>0</v>
      </c>
      <c r="AI296" s="368">
        <v>0</v>
      </c>
      <c r="AJ296" s="368">
        <v>0</v>
      </c>
      <c r="AK296" s="210">
        <f t="shared" si="396"/>
        <v>0</v>
      </c>
      <c r="AL296" s="387"/>
      <c r="AM296" s="404" t="e">
        <f t="shared" si="383"/>
        <v>#DIV/0!</v>
      </c>
      <c r="AN296" s="404" t="e">
        <f t="shared" si="384"/>
        <v>#DIV/0!</v>
      </c>
      <c r="AO296" s="404">
        <f t="shared" si="385"/>
        <v>-1</v>
      </c>
      <c r="AP296" s="404" t="e">
        <f t="shared" si="386"/>
        <v>#DIV/0!</v>
      </c>
      <c r="AQ296" s="404" t="e">
        <f t="shared" si="387"/>
        <v>#DIV/0!</v>
      </c>
      <c r="AR296" s="404" t="e">
        <f t="shared" si="388"/>
        <v>#DIV/0!</v>
      </c>
      <c r="AS296" s="404" t="e">
        <f t="shared" si="389"/>
        <v>#DIV/0!</v>
      </c>
      <c r="AT296" s="404">
        <f t="shared" si="390"/>
        <v>-1</v>
      </c>
      <c r="AU296" s="404" t="e">
        <f t="shared" si="391"/>
        <v>#DIV/0!</v>
      </c>
      <c r="AV296" s="404" t="e">
        <f t="shared" si="392"/>
        <v>#DIV/0!</v>
      </c>
      <c r="AW296" s="404" t="e">
        <f t="shared" si="393"/>
        <v>#DIV/0!</v>
      </c>
    </row>
    <row r="297" spans="1:49" x14ac:dyDescent="0.25">
      <c r="A297" s="364">
        <v>232132</v>
      </c>
      <c r="B297" s="342" t="s">
        <v>140</v>
      </c>
      <c r="C297" s="368">
        <v>15000000</v>
      </c>
      <c r="D297" s="368">
        <v>0</v>
      </c>
      <c r="E297" s="368">
        <v>0</v>
      </c>
      <c r="F297" s="368">
        <v>0</v>
      </c>
      <c r="G297" s="368">
        <f t="shared" si="425"/>
        <v>15000000</v>
      </c>
      <c r="H297" s="58">
        <v>15000000</v>
      </c>
      <c r="I297" s="210">
        <v>0</v>
      </c>
      <c r="J297" s="210">
        <v>0</v>
      </c>
      <c r="K297" s="210">
        <v>5000000</v>
      </c>
      <c r="L297" s="210">
        <v>0</v>
      </c>
      <c r="M297" s="210">
        <v>5000000</v>
      </c>
      <c r="N297" s="210">
        <v>0</v>
      </c>
      <c r="O297" s="210">
        <v>0</v>
      </c>
      <c r="P297" s="210">
        <v>5000000</v>
      </c>
      <c r="Q297" s="210">
        <v>0</v>
      </c>
      <c r="R297" s="210">
        <v>0</v>
      </c>
      <c r="S297" s="210">
        <v>0</v>
      </c>
      <c r="T297" s="210">
        <v>0</v>
      </c>
      <c r="U297" s="412">
        <f t="shared" si="397"/>
        <v>15000000</v>
      </c>
      <c r="V297" s="58">
        <f>SUM(I297:T297)</f>
        <v>15000000</v>
      </c>
      <c r="W297" s="396">
        <f t="shared" si="394"/>
        <v>15000000</v>
      </c>
      <c r="X297" s="396">
        <f t="shared" si="395"/>
        <v>0</v>
      </c>
      <c r="Y297" s="396"/>
      <c r="Z297" s="55"/>
      <c r="AA297" s="210">
        <v>0</v>
      </c>
      <c r="AB297" s="210">
        <v>0</v>
      </c>
      <c r="AC297" s="210">
        <v>0</v>
      </c>
      <c r="AD297" s="210">
        <v>0</v>
      </c>
      <c r="AE297" s="210">
        <v>0</v>
      </c>
      <c r="AF297" s="210">
        <v>0</v>
      </c>
      <c r="AG297" s="210">
        <v>0</v>
      </c>
      <c r="AH297" s="368">
        <v>0</v>
      </c>
      <c r="AI297" s="368">
        <v>0</v>
      </c>
      <c r="AJ297" s="368">
        <v>0</v>
      </c>
      <c r="AK297" s="210">
        <f t="shared" si="396"/>
        <v>0</v>
      </c>
      <c r="AL297" s="387"/>
      <c r="AM297" s="404" t="e">
        <f t="shared" si="383"/>
        <v>#DIV/0!</v>
      </c>
      <c r="AN297" s="404" t="e">
        <f t="shared" si="384"/>
        <v>#DIV/0!</v>
      </c>
      <c r="AO297" s="404">
        <f t="shared" si="385"/>
        <v>-1</v>
      </c>
      <c r="AP297" s="404" t="e">
        <f t="shared" si="386"/>
        <v>#DIV/0!</v>
      </c>
      <c r="AQ297" s="404">
        <f t="shared" si="387"/>
        <v>-1</v>
      </c>
      <c r="AR297" s="404" t="e">
        <f t="shared" si="388"/>
        <v>#DIV/0!</v>
      </c>
      <c r="AS297" s="404" t="e">
        <f t="shared" si="389"/>
        <v>#DIV/0!</v>
      </c>
      <c r="AT297" s="404">
        <f t="shared" si="390"/>
        <v>-1</v>
      </c>
      <c r="AU297" s="404" t="e">
        <f t="shared" si="391"/>
        <v>#DIV/0!</v>
      </c>
      <c r="AV297" s="404" t="e">
        <f t="shared" si="392"/>
        <v>#DIV/0!</v>
      </c>
      <c r="AW297" s="404" t="e">
        <f t="shared" si="393"/>
        <v>#DIV/0!</v>
      </c>
    </row>
    <row r="298" spans="1:49" x14ac:dyDescent="0.25">
      <c r="A298" s="364">
        <v>232133</v>
      </c>
      <c r="B298" s="342" t="s">
        <v>141</v>
      </c>
      <c r="C298" s="368">
        <v>18000000</v>
      </c>
      <c r="D298" s="368">
        <v>0</v>
      </c>
      <c r="E298" s="368">
        <v>0</v>
      </c>
      <c r="F298" s="368">
        <v>0</v>
      </c>
      <c r="G298" s="368">
        <f t="shared" si="425"/>
        <v>18000000</v>
      </c>
      <c r="H298" s="58">
        <v>18000000</v>
      </c>
      <c r="I298" s="210">
        <v>10000000</v>
      </c>
      <c r="J298" s="210">
        <v>0</v>
      </c>
      <c r="K298" s="210">
        <v>0</v>
      </c>
      <c r="L298" s="210">
        <v>8000000</v>
      </c>
      <c r="M298" s="210">
        <v>0</v>
      </c>
      <c r="N298" s="210">
        <v>0</v>
      </c>
      <c r="O298" s="210">
        <v>0</v>
      </c>
      <c r="P298" s="210">
        <v>0</v>
      </c>
      <c r="Q298" s="210">
        <v>0</v>
      </c>
      <c r="R298" s="210">
        <v>0</v>
      </c>
      <c r="S298" s="210">
        <v>0</v>
      </c>
      <c r="T298" s="210">
        <v>0</v>
      </c>
      <c r="U298" s="412">
        <f t="shared" si="397"/>
        <v>18000000</v>
      </c>
      <c r="V298" s="58">
        <f>SUM(I298:T298)</f>
        <v>18000000</v>
      </c>
      <c r="W298" s="396">
        <f t="shared" si="394"/>
        <v>18000000</v>
      </c>
      <c r="X298" s="396">
        <f t="shared" si="395"/>
        <v>0</v>
      </c>
      <c r="Y298" s="396"/>
      <c r="Z298" s="55"/>
      <c r="AA298" s="210">
        <v>0</v>
      </c>
      <c r="AB298" s="210">
        <v>0</v>
      </c>
      <c r="AC298" s="210">
        <v>0</v>
      </c>
      <c r="AD298" s="210">
        <v>0</v>
      </c>
      <c r="AE298" s="210">
        <v>0</v>
      </c>
      <c r="AF298" s="210">
        <v>0</v>
      </c>
      <c r="AG298" s="210">
        <v>0</v>
      </c>
      <c r="AH298" s="368">
        <v>0</v>
      </c>
      <c r="AI298" s="368">
        <v>0</v>
      </c>
      <c r="AJ298" s="368">
        <v>0</v>
      </c>
      <c r="AK298" s="210">
        <f t="shared" si="396"/>
        <v>0</v>
      </c>
      <c r="AL298" s="387"/>
      <c r="AM298" s="404">
        <f t="shared" si="383"/>
        <v>-1</v>
      </c>
      <c r="AN298" s="404" t="e">
        <f t="shared" si="384"/>
        <v>#DIV/0!</v>
      </c>
      <c r="AO298" s="404" t="e">
        <f t="shared" si="385"/>
        <v>#DIV/0!</v>
      </c>
      <c r="AP298" s="404">
        <f t="shared" si="386"/>
        <v>-1</v>
      </c>
      <c r="AQ298" s="404" t="e">
        <f t="shared" si="387"/>
        <v>#DIV/0!</v>
      </c>
      <c r="AR298" s="404" t="e">
        <f t="shared" si="388"/>
        <v>#DIV/0!</v>
      </c>
      <c r="AS298" s="404" t="e">
        <f t="shared" si="389"/>
        <v>#DIV/0!</v>
      </c>
      <c r="AT298" s="404" t="e">
        <f t="shared" si="390"/>
        <v>#DIV/0!</v>
      </c>
      <c r="AU298" s="404" t="e">
        <f t="shared" si="391"/>
        <v>#DIV/0!</v>
      </c>
      <c r="AV298" s="404" t="e">
        <f t="shared" si="392"/>
        <v>#DIV/0!</v>
      </c>
      <c r="AW298" s="404" t="e">
        <f t="shared" si="393"/>
        <v>#DIV/0!</v>
      </c>
    </row>
    <row r="299" spans="1:49" x14ac:dyDescent="0.25">
      <c r="A299" s="364">
        <v>232134</v>
      </c>
      <c r="B299" s="342" t="s">
        <v>142</v>
      </c>
      <c r="C299" s="368">
        <v>10000000</v>
      </c>
      <c r="D299" s="368">
        <v>0</v>
      </c>
      <c r="E299" s="368">
        <v>0</v>
      </c>
      <c r="F299" s="368">
        <v>0</v>
      </c>
      <c r="G299" s="368">
        <f t="shared" si="425"/>
        <v>10000000</v>
      </c>
      <c r="H299" s="58">
        <v>10000000</v>
      </c>
      <c r="I299" s="210">
        <v>0</v>
      </c>
      <c r="J299" s="210">
        <v>4000000</v>
      </c>
      <c r="K299" s="210">
        <v>0</v>
      </c>
      <c r="L299" s="210">
        <v>0</v>
      </c>
      <c r="M299" s="210">
        <v>0</v>
      </c>
      <c r="N299" s="210">
        <v>4000000</v>
      </c>
      <c r="O299" s="210">
        <v>0</v>
      </c>
      <c r="P299" s="210">
        <v>2000000</v>
      </c>
      <c r="Q299" s="210">
        <v>0</v>
      </c>
      <c r="R299" s="210">
        <v>0</v>
      </c>
      <c r="S299" s="210">
        <v>0</v>
      </c>
      <c r="T299" s="210">
        <v>0</v>
      </c>
      <c r="U299" s="412">
        <f t="shared" si="397"/>
        <v>10000000</v>
      </c>
      <c r="V299" s="58">
        <f>SUM(I299:T299)</f>
        <v>10000000</v>
      </c>
      <c r="W299" s="396">
        <f t="shared" si="394"/>
        <v>10000000</v>
      </c>
      <c r="X299" s="396">
        <f t="shared" si="395"/>
        <v>0</v>
      </c>
      <c r="Y299" s="396"/>
      <c r="AA299" s="210">
        <v>0</v>
      </c>
      <c r="AB299" s="210">
        <v>0</v>
      </c>
      <c r="AC299" s="210">
        <v>0</v>
      </c>
      <c r="AD299" s="210">
        <v>0</v>
      </c>
      <c r="AE299" s="210">
        <v>0</v>
      </c>
      <c r="AF299" s="210">
        <v>0</v>
      </c>
      <c r="AG299" s="210">
        <v>0</v>
      </c>
      <c r="AH299" s="368">
        <v>0</v>
      </c>
      <c r="AI299" s="368">
        <v>0</v>
      </c>
      <c r="AJ299" s="368">
        <v>0</v>
      </c>
      <c r="AK299" s="210">
        <f t="shared" si="396"/>
        <v>0</v>
      </c>
      <c r="AL299" s="386"/>
      <c r="AM299" s="404" t="e">
        <f t="shared" si="383"/>
        <v>#DIV/0!</v>
      </c>
      <c r="AN299" s="404">
        <f t="shared" si="384"/>
        <v>-1</v>
      </c>
      <c r="AO299" s="404" t="e">
        <f t="shared" si="385"/>
        <v>#DIV/0!</v>
      </c>
      <c r="AP299" s="404" t="e">
        <f t="shared" si="386"/>
        <v>#DIV/0!</v>
      </c>
      <c r="AQ299" s="404" t="e">
        <f t="shared" si="387"/>
        <v>#DIV/0!</v>
      </c>
      <c r="AR299" s="404">
        <f t="shared" si="388"/>
        <v>-1</v>
      </c>
      <c r="AS299" s="404" t="e">
        <f t="shared" si="389"/>
        <v>#DIV/0!</v>
      </c>
      <c r="AT299" s="404">
        <f t="shared" si="390"/>
        <v>-1</v>
      </c>
      <c r="AU299" s="404" t="e">
        <f t="shared" si="391"/>
        <v>#DIV/0!</v>
      </c>
      <c r="AV299" s="404" t="e">
        <f t="shared" si="392"/>
        <v>#DIV/0!</v>
      </c>
      <c r="AW299" s="404" t="e">
        <f t="shared" si="393"/>
        <v>#DIV/0!</v>
      </c>
    </row>
    <row r="300" spans="1:49" x14ac:dyDescent="0.25">
      <c r="A300" s="339">
        <v>23214</v>
      </c>
      <c r="B300" s="340" t="s">
        <v>143</v>
      </c>
      <c r="C300" s="367">
        <f>SUM(C301:C304)</f>
        <v>272994202</v>
      </c>
      <c r="D300" s="367">
        <f t="shared" ref="D300:G300" si="426">SUM(D301:D304)</f>
        <v>120000000</v>
      </c>
      <c r="E300" s="367">
        <f t="shared" si="426"/>
        <v>0</v>
      </c>
      <c r="F300" s="367">
        <f t="shared" si="426"/>
        <v>80000000</v>
      </c>
      <c r="G300" s="367">
        <f t="shared" si="426"/>
        <v>472994202</v>
      </c>
      <c r="H300" s="57">
        <f>SUM(H301:H304)</f>
        <v>352994202</v>
      </c>
      <c r="I300" s="208">
        <f t="shared" ref="I300:V300" si="427">SUM(I301:I304)</f>
        <v>18333333.333333332</v>
      </c>
      <c r="J300" s="208">
        <f t="shared" si="427"/>
        <v>49606060.606060609</v>
      </c>
      <c r="K300" s="208">
        <f t="shared" si="427"/>
        <v>100600262.60606059</v>
      </c>
      <c r="L300" s="208">
        <f t="shared" si="427"/>
        <v>25606060.606060605</v>
      </c>
      <c r="M300" s="208">
        <f t="shared" si="427"/>
        <v>49606060.606060609</v>
      </c>
      <c r="N300" s="208">
        <f t="shared" si="427"/>
        <v>25606060.606060605</v>
      </c>
      <c r="O300" s="208">
        <f t="shared" si="427"/>
        <v>25606060.606060605</v>
      </c>
      <c r="P300" s="208">
        <f t="shared" si="427"/>
        <v>75606060.606060594</v>
      </c>
      <c r="Q300" s="208">
        <f t="shared" si="427"/>
        <v>25606060.606060605</v>
      </c>
      <c r="R300" s="208">
        <f t="shared" si="427"/>
        <v>25606060.606060605</v>
      </c>
      <c r="S300" s="208">
        <f t="shared" si="427"/>
        <v>25606060.606060605</v>
      </c>
      <c r="T300" s="208">
        <f t="shared" si="427"/>
        <v>25606060.606060605</v>
      </c>
      <c r="U300" s="413">
        <f t="shared" si="397"/>
        <v>421782080.78787887</v>
      </c>
      <c r="V300" s="57">
        <f t="shared" si="427"/>
        <v>472994201.99999994</v>
      </c>
      <c r="W300" s="396">
        <f t="shared" si="394"/>
        <v>472994202</v>
      </c>
      <c r="X300" s="396">
        <f t="shared" si="395"/>
        <v>0</v>
      </c>
      <c r="Y300" s="396"/>
      <c r="Z300" s="55"/>
      <c r="AA300" s="208">
        <v>0</v>
      </c>
      <c r="AB300" s="209">
        <v>0</v>
      </c>
      <c r="AC300" s="209">
        <v>0</v>
      </c>
      <c r="AD300" s="209">
        <v>0</v>
      </c>
      <c r="AE300" s="209">
        <v>0</v>
      </c>
      <c r="AF300" s="209">
        <v>0</v>
      </c>
      <c r="AG300" s="209">
        <v>0</v>
      </c>
      <c r="AH300" s="367">
        <v>93082233</v>
      </c>
      <c r="AI300" s="367">
        <v>0</v>
      </c>
      <c r="AJ300" s="367">
        <v>0</v>
      </c>
      <c r="AK300" s="209">
        <f t="shared" si="396"/>
        <v>93082233</v>
      </c>
      <c r="AL300" s="387"/>
      <c r="AM300" s="405">
        <f t="shared" si="383"/>
        <v>-1</v>
      </c>
      <c r="AN300" s="405">
        <f t="shared" si="384"/>
        <v>-1</v>
      </c>
      <c r="AO300" s="405">
        <f t="shared" si="385"/>
        <v>-1</v>
      </c>
      <c r="AP300" s="405">
        <f t="shared" si="386"/>
        <v>-1</v>
      </c>
      <c r="AQ300" s="405">
        <f t="shared" si="387"/>
        <v>-1</v>
      </c>
      <c r="AR300" s="405">
        <f t="shared" si="388"/>
        <v>-1</v>
      </c>
      <c r="AS300" s="405">
        <f t="shared" si="389"/>
        <v>-1</v>
      </c>
      <c r="AT300" s="405">
        <f t="shared" si="390"/>
        <v>0.23114777114228477</v>
      </c>
      <c r="AU300" s="405">
        <f t="shared" si="391"/>
        <v>-1</v>
      </c>
      <c r="AV300" s="405">
        <f t="shared" si="392"/>
        <v>-1</v>
      </c>
      <c r="AW300" s="405">
        <f t="shared" si="393"/>
        <v>2.6351641289940826</v>
      </c>
    </row>
    <row r="301" spans="1:49" x14ac:dyDescent="0.25">
      <c r="A301" s="364">
        <v>232141</v>
      </c>
      <c r="B301" s="342" t="s">
        <v>144</v>
      </c>
      <c r="C301" s="368">
        <v>100000000</v>
      </c>
      <c r="D301" s="368">
        <v>120000000</v>
      </c>
      <c r="E301" s="368">
        <v>0</v>
      </c>
      <c r="F301" s="368">
        <v>0</v>
      </c>
      <c r="G301" s="368">
        <f t="shared" ref="G301:G304" si="428">+C301+D301-E301+F301</f>
        <v>220000000</v>
      </c>
      <c r="H301" s="58">
        <v>100000000</v>
      </c>
      <c r="I301" s="210">
        <v>18333333.333333332</v>
      </c>
      <c r="J301" s="210">
        <v>18333333.333333332</v>
      </c>
      <c r="K301" s="210">
        <v>18333333.333333332</v>
      </c>
      <c r="L301" s="210">
        <v>18333333.333333332</v>
      </c>
      <c r="M301" s="210">
        <v>18333333.333333332</v>
      </c>
      <c r="N301" s="210">
        <v>18333333.333333332</v>
      </c>
      <c r="O301" s="210">
        <v>18333333.333333332</v>
      </c>
      <c r="P301" s="210">
        <v>18333333.333333332</v>
      </c>
      <c r="Q301" s="210">
        <v>18333333.333333332</v>
      </c>
      <c r="R301" s="210">
        <v>18333333.333333332</v>
      </c>
      <c r="S301" s="210">
        <v>18333333.333333332</v>
      </c>
      <c r="T301" s="210">
        <v>18333333.333333332</v>
      </c>
      <c r="U301" s="412">
        <f t="shared" si="397"/>
        <v>183333333.33333334</v>
      </c>
      <c r="V301" s="58">
        <f t="shared" ref="V301:V304" si="429">SUM(I301:T301)</f>
        <v>220000000.00000003</v>
      </c>
      <c r="W301" s="396">
        <f t="shared" si="394"/>
        <v>220000000</v>
      </c>
      <c r="X301" s="396">
        <f t="shared" si="395"/>
        <v>0</v>
      </c>
      <c r="Y301" s="396">
        <f>+W301/12</f>
        <v>18333333.333333332</v>
      </c>
      <c r="AA301" s="210">
        <v>0</v>
      </c>
      <c r="AB301" s="210">
        <v>0</v>
      </c>
      <c r="AC301" s="210">
        <v>0</v>
      </c>
      <c r="AD301" s="210">
        <v>0</v>
      </c>
      <c r="AE301" s="210">
        <v>0</v>
      </c>
      <c r="AF301" s="210">
        <v>0</v>
      </c>
      <c r="AG301" s="210">
        <v>0</v>
      </c>
      <c r="AH301" s="368">
        <v>0</v>
      </c>
      <c r="AI301" s="368">
        <v>0</v>
      </c>
      <c r="AJ301" s="368">
        <v>0</v>
      </c>
      <c r="AK301" s="210">
        <f t="shared" si="396"/>
        <v>0</v>
      </c>
      <c r="AL301" s="387"/>
      <c r="AM301" s="404">
        <f t="shared" si="383"/>
        <v>-1</v>
      </c>
      <c r="AN301" s="404">
        <f t="shared" si="384"/>
        <v>-1</v>
      </c>
      <c r="AO301" s="404">
        <f t="shared" si="385"/>
        <v>-1</v>
      </c>
      <c r="AP301" s="404">
        <f t="shared" si="386"/>
        <v>-1</v>
      </c>
      <c r="AQ301" s="404">
        <f t="shared" si="387"/>
        <v>-1</v>
      </c>
      <c r="AR301" s="404">
        <f t="shared" si="388"/>
        <v>-1</v>
      </c>
      <c r="AS301" s="404">
        <f t="shared" si="389"/>
        <v>-1</v>
      </c>
      <c r="AT301" s="404">
        <f t="shared" si="390"/>
        <v>-1</v>
      </c>
      <c r="AU301" s="404">
        <f t="shared" si="391"/>
        <v>-1</v>
      </c>
      <c r="AV301" s="404">
        <f t="shared" si="392"/>
        <v>-1</v>
      </c>
      <c r="AW301" s="404">
        <f t="shared" si="393"/>
        <v>-1</v>
      </c>
    </row>
    <row r="302" spans="1:49" x14ac:dyDescent="0.25">
      <c r="A302" s="364">
        <v>232142</v>
      </c>
      <c r="B302" s="342" t="s">
        <v>145</v>
      </c>
      <c r="C302" s="368">
        <v>100000000</v>
      </c>
      <c r="D302" s="368">
        <v>0</v>
      </c>
      <c r="E302" s="368">
        <v>0</v>
      </c>
      <c r="F302" s="368">
        <v>0</v>
      </c>
      <c r="G302" s="368">
        <f t="shared" si="428"/>
        <v>100000000</v>
      </c>
      <c r="H302" s="58">
        <v>100000000</v>
      </c>
      <c r="I302" s="210">
        <v>0</v>
      </c>
      <c r="J302" s="210">
        <v>0</v>
      </c>
      <c r="K302" s="210">
        <v>50000000</v>
      </c>
      <c r="L302" s="210">
        <v>0</v>
      </c>
      <c r="M302" s="210">
        <v>0</v>
      </c>
      <c r="N302" s="210">
        <v>0</v>
      </c>
      <c r="O302" s="210">
        <v>0</v>
      </c>
      <c r="P302" s="210">
        <v>50000000</v>
      </c>
      <c r="Q302" s="210">
        <v>0</v>
      </c>
      <c r="R302" s="210">
        <v>0</v>
      </c>
      <c r="S302" s="210">
        <v>0</v>
      </c>
      <c r="T302" s="210">
        <v>0</v>
      </c>
      <c r="U302" s="412">
        <f t="shared" si="397"/>
        <v>100000000</v>
      </c>
      <c r="V302" s="58">
        <f t="shared" si="429"/>
        <v>100000000</v>
      </c>
      <c r="W302" s="396">
        <f t="shared" si="394"/>
        <v>100000000</v>
      </c>
      <c r="X302" s="396">
        <f t="shared" si="395"/>
        <v>0</v>
      </c>
      <c r="Y302" s="396"/>
      <c r="Z302" s="55"/>
      <c r="AA302" s="210">
        <v>0</v>
      </c>
      <c r="AB302" s="210">
        <v>0</v>
      </c>
      <c r="AC302" s="210">
        <v>0</v>
      </c>
      <c r="AD302" s="210">
        <v>0</v>
      </c>
      <c r="AE302" s="210">
        <v>0</v>
      </c>
      <c r="AF302" s="210">
        <v>0</v>
      </c>
      <c r="AG302" s="210">
        <v>0</v>
      </c>
      <c r="AH302" s="368">
        <v>93082233</v>
      </c>
      <c r="AI302" s="368">
        <v>0</v>
      </c>
      <c r="AJ302" s="368">
        <v>0</v>
      </c>
      <c r="AK302" s="210">
        <f t="shared" si="396"/>
        <v>93082233</v>
      </c>
      <c r="AL302" s="387"/>
      <c r="AM302" s="404" t="e">
        <f t="shared" si="383"/>
        <v>#DIV/0!</v>
      </c>
      <c r="AN302" s="404" t="e">
        <f t="shared" si="384"/>
        <v>#DIV/0!</v>
      </c>
      <c r="AO302" s="404">
        <f t="shared" si="385"/>
        <v>-1</v>
      </c>
      <c r="AP302" s="404" t="e">
        <f t="shared" si="386"/>
        <v>#DIV/0!</v>
      </c>
      <c r="AQ302" s="404" t="e">
        <f t="shared" si="387"/>
        <v>#DIV/0!</v>
      </c>
      <c r="AR302" s="404" t="e">
        <f t="shared" si="388"/>
        <v>#DIV/0!</v>
      </c>
      <c r="AS302" s="404" t="e">
        <f t="shared" si="389"/>
        <v>#DIV/0!</v>
      </c>
      <c r="AT302" s="404">
        <f t="shared" si="390"/>
        <v>0.86164465999999995</v>
      </c>
      <c r="AU302" s="404" t="e">
        <f t="shared" si="391"/>
        <v>#DIV/0!</v>
      </c>
      <c r="AV302" s="404" t="e">
        <f t="shared" si="392"/>
        <v>#DIV/0!</v>
      </c>
      <c r="AW302" s="404" t="e">
        <f t="shared" si="393"/>
        <v>#DIV/0!</v>
      </c>
    </row>
    <row r="303" spans="1:49" x14ac:dyDescent="0.25">
      <c r="A303" s="364">
        <v>232143</v>
      </c>
      <c r="B303" s="342" t="s">
        <v>146</v>
      </c>
      <c r="C303" s="368">
        <v>48000000</v>
      </c>
      <c r="D303" s="368">
        <v>0</v>
      </c>
      <c r="E303" s="368">
        <v>0</v>
      </c>
      <c r="F303" s="368">
        <v>80000000</v>
      </c>
      <c r="G303" s="368">
        <f t="shared" si="428"/>
        <v>128000000</v>
      </c>
      <c r="H303" s="58">
        <v>128000000</v>
      </c>
      <c r="I303" s="210">
        <v>0</v>
      </c>
      <c r="J303" s="210">
        <v>31272727.272727273</v>
      </c>
      <c r="K303" s="210">
        <v>7272727.2727272725</v>
      </c>
      <c r="L303" s="210">
        <v>7272727.2727272725</v>
      </c>
      <c r="M303" s="210">
        <v>31272727.272727273</v>
      </c>
      <c r="N303" s="210">
        <v>7272727.2727272725</v>
      </c>
      <c r="O303" s="210">
        <v>7272727.2727272725</v>
      </c>
      <c r="P303" s="210">
        <v>7272727.2727272725</v>
      </c>
      <c r="Q303" s="210">
        <v>7272727.2727272725</v>
      </c>
      <c r="R303" s="210">
        <v>7272727.2727272725</v>
      </c>
      <c r="S303" s="210">
        <v>7272727.2727272725</v>
      </c>
      <c r="T303" s="210">
        <v>7272727.2727272725</v>
      </c>
      <c r="U303" s="412">
        <f t="shared" si="397"/>
        <v>113454545.45454542</v>
      </c>
      <c r="V303" s="58">
        <f t="shared" si="429"/>
        <v>127999999.99999996</v>
      </c>
      <c r="W303" s="396">
        <f t="shared" si="394"/>
        <v>128000000</v>
      </c>
      <c r="X303" s="396">
        <f t="shared" si="395"/>
        <v>0</v>
      </c>
      <c r="Y303" s="396"/>
      <c r="Z303" s="55"/>
      <c r="AA303" s="210">
        <v>0</v>
      </c>
      <c r="AB303" s="210">
        <v>0</v>
      </c>
      <c r="AC303" s="210">
        <v>0</v>
      </c>
      <c r="AD303" s="210">
        <v>0</v>
      </c>
      <c r="AE303" s="210">
        <v>0</v>
      </c>
      <c r="AF303" s="210">
        <v>0</v>
      </c>
      <c r="AG303" s="210">
        <v>0</v>
      </c>
      <c r="AH303" s="368">
        <v>0</v>
      </c>
      <c r="AI303" s="368">
        <v>0</v>
      </c>
      <c r="AJ303" s="368">
        <v>0</v>
      </c>
      <c r="AK303" s="210">
        <f t="shared" si="396"/>
        <v>0</v>
      </c>
      <c r="AL303" s="387"/>
      <c r="AM303" s="404" t="e">
        <f t="shared" si="383"/>
        <v>#DIV/0!</v>
      </c>
      <c r="AN303" s="404">
        <f t="shared" si="384"/>
        <v>-1</v>
      </c>
      <c r="AO303" s="404">
        <f t="shared" si="385"/>
        <v>-1</v>
      </c>
      <c r="AP303" s="404">
        <f t="shared" si="386"/>
        <v>-1</v>
      </c>
      <c r="AQ303" s="404">
        <f t="shared" si="387"/>
        <v>-1</v>
      </c>
      <c r="AR303" s="404">
        <f t="shared" si="388"/>
        <v>-1</v>
      </c>
      <c r="AS303" s="404">
        <f t="shared" si="389"/>
        <v>-1</v>
      </c>
      <c r="AT303" s="404">
        <f t="shared" si="390"/>
        <v>-1</v>
      </c>
      <c r="AU303" s="404">
        <f t="shared" si="391"/>
        <v>-1</v>
      </c>
      <c r="AV303" s="404">
        <f t="shared" si="392"/>
        <v>-1</v>
      </c>
      <c r="AW303" s="404">
        <f t="shared" si="393"/>
        <v>-1</v>
      </c>
    </row>
    <row r="304" spans="1:49" x14ac:dyDescent="0.25">
      <c r="A304" s="364">
        <v>232144</v>
      </c>
      <c r="B304" s="342" t="s">
        <v>147</v>
      </c>
      <c r="C304" s="368">
        <v>24994202</v>
      </c>
      <c r="D304" s="368">
        <v>0</v>
      </c>
      <c r="E304" s="368">
        <v>0</v>
      </c>
      <c r="F304" s="368">
        <v>0</v>
      </c>
      <c r="G304" s="368">
        <f t="shared" si="428"/>
        <v>24994202</v>
      </c>
      <c r="H304" s="58">
        <v>24994202</v>
      </c>
      <c r="I304" s="210">
        <v>0</v>
      </c>
      <c r="J304" s="210">
        <v>0</v>
      </c>
      <c r="K304" s="210">
        <v>24994202</v>
      </c>
      <c r="L304" s="210">
        <v>0</v>
      </c>
      <c r="M304" s="210">
        <v>0</v>
      </c>
      <c r="N304" s="210">
        <v>0</v>
      </c>
      <c r="O304" s="210">
        <v>0</v>
      </c>
      <c r="P304" s="210">
        <v>0</v>
      </c>
      <c r="Q304" s="210">
        <v>0</v>
      </c>
      <c r="R304" s="210">
        <v>0</v>
      </c>
      <c r="S304" s="210">
        <v>0</v>
      </c>
      <c r="T304" s="210">
        <v>0</v>
      </c>
      <c r="U304" s="412">
        <f t="shared" si="397"/>
        <v>24994202</v>
      </c>
      <c r="V304" s="58">
        <f t="shared" si="429"/>
        <v>24994202</v>
      </c>
      <c r="W304" s="396">
        <f t="shared" si="394"/>
        <v>24994202</v>
      </c>
      <c r="X304" s="396">
        <f t="shared" si="395"/>
        <v>0</v>
      </c>
      <c r="Y304" s="396"/>
      <c r="AA304" s="210">
        <v>0</v>
      </c>
      <c r="AB304" s="210">
        <v>0</v>
      </c>
      <c r="AC304" s="210">
        <v>0</v>
      </c>
      <c r="AD304" s="210">
        <v>0</v>
      </c>
      <c r="AE304" s="210">
        <v>0</v>
      </c>
      <c r="AF304" s="210">
        <v>0</v>
      </c>
      <c r="AG304" s="210">
        <v>0</v>
      </c>
      <c r="AH304" s="368">
        <v>0</v>
      </c>
      <c r="AI304" s="368">
        <v>0</v>
      </c>
      <c r="AJ304" s="368">
        <v>0</v>
      </c>
      <c r="AK304" s="210">
        <f t="shared" si="396"/>
        <v>0</v>
      </c>
      <c r="AL304" s="386"/>
      <c r="AM304" s="404" t="e">
        <f t="shared" si="383"/>
        <v>#DIV/0!</v>
      </c>
      <c r="AN304" s="404" t="e">
        <f t="shared" si="384"/>
        <v>#DIV/0!</v>
      </c>
      <c r="AO304" s="404">
        <f t="shared" si="385"/>
        <v>-1</v>
      </c>
      <c r="AP304" s="404" t="e">
        <f t="shared" si="386"/>
        <v>#DIV/0!</v>
      </c>
      <c r="AQ304" s="404" t="e">
        <f t="shared" si="387"/>
        <v>#DIV/0!</v>
      </c>
      <c r="AR304" s="404" t="e">
        <f t="shared" si="388"/>
        <v>#DIV/0!</v>
      </c>
      <c r="AS304" s="404" t="e">
        <f t="shared" si="389"/>
        <v>#DIV/0!</v>
      </c>
      <c r="AT304" s="404" t="e">
        <f t="shared" si="390"/>
        <v>#DIV/0!</v>
      </c>
      <c r="AU304" s="404" t="e">
        <f t="shared" si="391"/>
        <v>#DIV/0!</v>
      </c>
      <c r="AV304" s="404" t="e">
        <f t="shared" si="392"/>
        <v>#DIV/0!</v>
      </c>
      <c r="AW304" s="404" t="e">
        <f t="shared" si="393"/>
        <v>#DIV/0!</v>
      </c>
    </row>
    <row r="305" spans="1:49" ht="45" x14ac:dyDescent="0.25">
      <c r="A305" s="339">
        <v>23215</v>
      </c>
      <c r="B305" s="340" t="s">
        <v>893</v>
      </c>
      <c r="C305" s="367">
        <f>SUM(C306:C308)</f>
        <v>0</v>
      </c>
      <c r="D305" s="367">
        <f t="shared" ref="D305:G305" si="430">SUM(D306:D308)</f>
        <v>1260574006</v>
      </c>
      <c r="E305" s="367">
        <f t="shared" si="430"/>
        <v>0</v>
      </c>
      <c r="F305" s="367">
        <f t="shared" si="430"/>
        <v>0</v>
      </c>
      <c r="G305" s="367">
        <f t="shared" si="430"/>
        <v>1260574006</v>
      </c>
      <c r="H305" s="367">
        <f t="shared" ref="H305:V305" si="431">SUM(H306:H308)</f>
        <v>0</v>
      </c>
      <c r="I305" s="367">
        <f t="shared" si="431"/>
        <v>0</v>
      </c>
      <c r="J305" s="367">
        <f t="shared" si="431"/>
        <v>0</v>
      </c>
      <c r="K305" s="367">
        <f t="shared" si="431"/>
        <v>0</v>
      </c>
      <c r="L305" s="367">
        <f t="shared" si="431"/>
        <v>140063778.44444445</v>
      </c>
      <c r="M305" s="367">
        <f t="shared" si="431"/>
        <v>140063778.44444445</v>
      </c>
      <c r="N305" s="367">
        <f t="shared" si="431"/>
        <v>140063778.44444445</v>
      </c>
      <c r="O305" s="367">
        <f t="shared" si="431"/>
        <v>140063778.44444445</v>
      </c>
      <c r="P305" s="367">
        <f t="shared" si="431"/>
        <v>140063778.44444445</v>
      </c>
      <c r="Q305" s="367">
        <f t="shared" si="431"/>
        <v>140063778.44444445</v>
      </c>
      <c r="R305" s="367">
        <f t="shared" si="431"/>
        <v>140063778.44444445</v>
      </c>
      <c r="S305" s="367">
        <f t="shared" si="431"/>
        <v>140063778.44444445</v>
      </c>
      <c r="T305" s="367">
        <f t="shared" si="431"/>
        <v>140063778.44444445</v>
      </c>
      <c r="U305" s="418">
        <f t="shared" si="397"/>
        <v>980446449.11111104</v>
      </c>
      <c r="V305" s="367">
        <f t="shared" si="431"/>
        <v>1260574006</v>
      </c>
      <c r="W305" s="396">
        <f t="shared" si="394"/>
        <v>1260574006</v>
      </c>
      <c r="X305" s="396">
        <f t="shared" si="395"/>
        <v>0</v>
      </c>
      <c r="Y305" s="396"/>
      <c r="AA305" s="204"/>
      <c r="AB305" s="205"/>
      <c r="AC305" s="205"/>
      <c r="AD305" s="205">
        <v>0</v>
      </c>
      <c r="AE305" s="205">
        <v>0</v>
      </c>
      <c r="AF305" s="205">
        <v>364494774</v>
      </c>
      <c r="AG305" s="205">
        <v>5350320</v>
      </c>
      <c r="AH305" s="367">
        <v>91526659.049999997</v>
      </c>
      <c r="AI305" s="367">
        <v>12945779</v>
      </c>
      <c r="AJ305" s="367">
        <v>65268106</v>
      </c>
      <c r="AK305" s="205">
        <f t="shared" si="396"/>
        <v>539585638.04999995</v>
      </c>
      <c r="AL305" s="387"/>
      <c r="AM305" s="407" t="e">
        <f t="shared" si="383"/>
        <v>#DIV/0!</v>
      </c>
      <c r="AN305" s="407" t="e">
        <f t="shared" si="384"/>
        <v>#DIV/0!</v>
      </c>
      <c r="AO305" s="407" t="e">
        <f t="shared" si="385"/>
        <v>#DIV/0!</v>
      </c>
      <c r="AP305" s="407">
        <f t="shared" si="386"/>
        <v>-1</v>
      </c>
      <c r="AQ305" s="407">
        <f t="shared" si="387"/>
        <v>-1</v>
      </c>
      <c r="AR305" s="407">
        <f t="shared" si="388"/>
        <v>1.6023485732578242</v>
      </c>
      <c r="AS305" s="407">
        <f t="shared" si="389"/>
        <v>-0.96180083059716848</v>
      </c>
      <c r="AT305" s="407">
        <f t="shared" si="390"/>
        <v>-0.34653584198213272</v>
      </c>
      <c r="AU305" s="407">
        <f t="shared" si="391"/>
        <v>-0.90757225641221095</v>
      </c>
      <c r="AV305" s="407">
        <f t="shared" si="392"/>
        <v>-0.53401152871305524</v>
      </c>
      <c r="AW305" s="407">
        <f t="shared" si="393"/>
        <v>2.8524281155532569</v>
      </c>
    </row>
    <row r="306" spans="1:49" x14ac:dyDescent="0.25">
      <c r="A306" s="364">
        <v>2321501</v>
      </c>
      <c r="B306" s="342" t="s">
        <v>894</v>
      </c>
      <c r="C306" s="384"/>
      <c r="D306" s="368">
        <f>800000000+260574006</f>
        <v>1060574006</v>
      </c>
      <c r="E306" s="368">
        <v>0</v>
      </c>
      <c r="F306" s="368">
        <v>0</v>
      </c>
      <c r="G306" s="368">
        <f t="shared" ref="G306:G308" si="432">+C306+D306-E306+F306</f>
        <v>1060574006</v>
      </c>
      <c r="H306" s="58"/>
      <c r="I306" s="210"/>
      <c r="J306" s="210"/>
      <c r="K306" s="210"/>
      <c r="L306" s="210">
        <v>117841556.22222222</v>
      </c>
      <c r="M306" s="210">
        <v>117841556.22222222</v>
      </c>
      <c r="N306" s="210">
        <v>117841556.22222222</v>
      </c>
      <c r="O306" s="210">
        <v>117841556.22222222</v>
      </c>
      <c r="P306" s="210">
        <v>117841556.22222222</v>
      </c>
      <c r="Q306" s="210">
        <v>117841556.22222222</v>
      </c>
      <c r="R306" s="210">
        <v>117841556.22222222</v>
      </c>
      <c r="S306" s="210">
        <v>117841556.22222222</v>
      </c>
      <c r="T306" s="210">
        <v>117841556.22222222</v>
      </c>
      <c r="U306" s="412">
        <f t="shared" si="397"/>
        <v>824890893.55555558</v>
      </c>
      <c r="V306" s="58">
        <f t="shared" ref="V306:V308" si="433">SUM(I306:T306)</f>
        <v>1060574006</v>
      </c>
      <c r="W306" s="396">
        <f t="shared" si="394"/>
        <v>1060574006</v>
      </c>
      <c r="X306" s="396">
        <f t="shared" si="395"/>
        <v>0</v>
      </c>
      <c r="Y306" s="396">
        <f>+W306/9</f>
        <v>117841556.22222222</v>
      </c>
      <c r="AA306" s="210"/>
      <c r="AB306" s="210"/>
      <c r="AC306" s="210"/>
      <c r="AD306" s="210">
        <v>0</v>
      </c>
      <c r="AE306" s="210">
        <v>0</v>
      </c>
      <c r="AF306" s="210">
        <v>364494774</v>
      </c>
      <c r="AG306" s="210">
        <v>0</v>
      </c>
      <c r="AH306" s="368">
        <v>91526659.049999997</v>
      </c>
      <c r="AI306" s="368">
        <v>0</v>
      </c>
      <c r="AJ306" s="368">
        <v>64113256</v>
      </c>
      <c r="AK306" s="210">
        <f t="shared" si="396"/>
        <v>520134689.05000001</v>
      </c>
      <c r="AL306" s="387"/>
      <c r="AM306" s="404" t="e">
        <f t="shared" si="383"/>
        <v>#DIV/0!</v>
      </c>
      <c r="AN306" s="404" t="e">
        <f t="shared" si="384"/>
        <v>#DIV/0!</v>
      </c>
      <c r="AO306" s="404" t="e">
        <f t="shared" si="385"/>
        <v>#DIV/0!</v>
      </c>
      <c r="AP306" s="404">
        <f t="shared" si="386"/>
        <v>-1</v>
      </c>
      <c r="AQ306" s="404">
        <f t="shared" si="387"/>
        <v>-1</v>
      </c>
      <c r="AR306" s="404">
        <f t="shared" si="388"/>
        <v>2.093091993054184</v>
      </c>
      <c r="AS306" s="404">
        <f t="shared" si="389"/>
        <v>-1</v>
      </c>
      <c r="AT306" s="404">
        <f t="shared" si="390"/>
        <v>-0.22330744786328474</v>
      </c>
      <c r="AU306" s="404">
        <f t="shared" si="391"/>
        <v>-1</v>
      </c>
      <c r="AV306" s="404">
        <f t="shared" si="392"/>
        <v>-0.45593678448121422</v>
      </c>
      <c r="AW306" s="404">
        <f t="shared" si="393"/>
        <v>3.4138477607096851</v>
      </c>
    </row>
    <row r="307" spans="1:49" x14ac:dyDescent="0.25">
      <c r="A307" s="364">
        <v>2321502</v>
      </c>
      <c r="B307" s="342" t="s">
        <v>895</v>
      </c>
      <c r="C307" s="384"/>
      <c r="D307" s="368">
        <v>100000000</v>
      </c>
      <c r="E307" s="368">
        <v>0</v>
      </c>
      <c r="F307" s="368">
        <v>0</v>
      </c>
      <c r="G307" s="368">
        <f t="shared" si="432"/>
        <v>100000000</v>
      </c>
      <c r="H307" s="58"/>
      <c r="I307" s="210"/>
      <c r="J307" s="210"/>
      <c r="K307" s="210"/>
      <c r="L307" s="210">
        <v>11111111.111111112</v>
      </c>
      <c r="M307" s="210">
        <v>11111111.111111112</v>
      </c>
      <c r="N307" s="210">
        <v>11111111.111111112</v>
      </c>
      <c r="O307" s="210">
        <v>11111111.111111112</v>
      </c>
      <c r="P307" s="210">
        <v>11111111.111111112</v>
      </c>
      <c r="Q307" s="210">
        <v>11111111.111111112</v>
      </c>
      <c r="R307" s="210">
        <v>11111111.111111112</v>
      </c>
      <c r="S307" s="210">
        <v>11111111.111111112</v>
      </c>
      <c r="T307" s="210">
        <v>11111111.111111112</v>
      </c>
      <c r="U307" s="412">
        <f t="shared" si="397"/>
        <v>77777777.777777791</v>
      </c>
      <c r="V307" s="58">
        <f t="shared" si="433"/>
        <v>100000000</v>
      </c>
      <c r="W307" s="396">
        <f t="shared" si="394"/>
        <v>100000000</v>
      </c>
      <c r="X307" s="396">
        <f t="shared" si="395"/>
        <v>0</v>
      </c>
      <c r="Y307" s="396">
        <f t="shared" ref="Y307:Y308" si="434">+W307/9</f>
        <v>11111111.111111112</v>
      </c>
      <c r="AA307" s="210"/>
      <c r="AB307" s="210"/>
      <c r="AC307" s="210"/>
      <c r="AD307" s="210">
        <v>0</v>
      </c>
      <c r="AE307" s="210">
        <v>0</v>
      </c>
      <c r="AF307" s="210">
        <v>0</v>
      </c>
      <c r="AG307" s="210">
        <v>5350320</v>
      </c>
      <c r="AH307" s="368">
        <v>0</v>
      </c>
      <c r="AI307" s="368">
        <v>12945779</v>
      </c>
      <c r="AJ307" s="368">
        <v>1154850</v>
      </c>
      <c r="AK307" s="210">
        <f t="shared" si="396"/>
        <v>19450949</v>
      </c>
      <c r="AL307" s="387"/>
      <c r="AM307" s="404" t="e">
        <f t="shared" si="383"/>
        <v>#DIV/0!</v>
      </c>
      <c r="AN307" s="404" t="e">
        <f t="shared" si="384"/>
        <v>#DIV/0!</v>
      </c>
      <c r="AO307" s="404" t="e">
        <f t="shared" si="385"/>
        <v>#DIV/0!</v>
      </c>
      <c r="AP307" s="404">
        <f t="shared" si="386"/>
        <v>-1</v>
      </c>
      <c r="AQ307" s="404">
        <f t="shared" si="387"/>
        <v>-1</v>
      </c>
      <c r="AR307" s="404">
        <f t="shared" si="388"/>
        <v>-1</v>
      </c>
      <c r="AS307" s="404">
        <f t="shared" si="389"/>
        <v>-0.51847120000000002</v>
      </c>
      <c r="AT307" s="404">
        <f t="shared" si="390"/>
        <v>-1</v>
      </c>
      <c r="AU307" s="404">
        <f t="shared" si="391"/>
        <v>0.1651201099999999</v>
      </c>
      <c r="AV307" s="404">
        <f t="shared" si="392"/>
        <v>-0.89606350000000001</v>
      </c>
      <c r="AW307" s="404">
        <f t="shared" si="393"/>
        <v>0.7505854099999999</v>
      </c>
    </row>
    <row r="308" spans="1:49" ht="30" x14ac:dyDescent="0.25">
      <c r="A308" s="364">
        <v>2321503</v>
      </c>
      <c r="B308" s="342" t="s">
        <v>896</v>
      </c>
      <c r="C308" s="384"/>
      <c r="D308" s="368">
        <v>100000000</v>
      </c>
      <c r="E308" s="368">
        <v>0</v>
      </c>
      <c r="F308" s="368">
        <v>0</v>
      </c>
      <c r="G308" s="368">
        <f t="shared" si="432"/>
        <v>100000000</v>
      </c>
      <c r="H308" s="58"/>
      <c r="I308" s="210"/>
      <c r="J308" s="210"/>
      <c r="K308" s="210"/>
      <c r="L308" s="210">
        <v>11111111.111111112</v>
      </c>
      <c r="M308" s="210">
        <v>11111111.111111112</v>
      </c>
      <c r="N308" s="210">
        <v>11111111.111111112</v>
      </c>
      <c r="O308" s="210">
        <v>11111111.111111112</v>
      </c>
      <c r="P308" s="210">
        <v>11111111.111111112</v>
      </c>
      <c r="Q308" s="210">
        <v>11111111.111111112</v>
      </c>
      <c r="R308" s="210">
        <v>11111111.111111112</v>
      </c>
      <c r="S308" s="210">
        <v>11111111.111111112</v>
      </c>
      <c r="T308" s="210">
        <v>11111111.111111112</v>
      </c>
      <c r="U308" s="412">
        <f t="shared" si="397"/>
        <v>77777777.777777791</v>
      </c>
      <c r="V308" s="58">
        <f t="shared" si="433"/>
        <v>100000000</v>
      </c>
      <c r="W308" s="396">
        <f t="shared" si="394"/>
        <v>100000000</v>
      </c>
      <c r="X308" s="396">
        <f t="shared" si="395"/>
        <v>0</v>
      </c>
      <c r="Y308" s="396">
        <f t="shared" si="434"/>
        <v>11111111.111111112</v>
      </c>
      <c r="AA308" s="210"/>
      <c r="AB308" s="210"/>
      <c r="AC308" s="210"/>
      <c r="AD308" s="210">
        <v>0</v>
      </c>
      <c r="AE308" s="210">
        <v>0</v>
      </c>
      <c r="AF308" s="210">
        <v>0</v>
      </c>
      <c r="AG308" s="210">
        <v>0</v>
      </c>
      <c r="AH308" s="368">
        <v>0</v>
      </c>
      <c r="AI308" s="368">
        <v>0</v>
      </c>
      <c r="AJ308" s="368">
        <v>0</v>
      </c>
      <c r="AK308" s="210">
        <f t="shared" si="396"/>
        <v>0</v>
      </c>
      <c r="AL308" s="386"/>
      <c r="AM308" s="404" t="e">
        <f t="shared" si="383"/>
        <v>#DIV/0!</v>
      </c>
      <c r="AN308" s="404" t="e">
        <f t="shared" si="384"/>
        <v>#DIV/0!</v>
      </c>
      <c r="AO308" s="404" t="e">
        <f t="shared" si="385"/>
        <v>#DIV/0!</v>
      </c>
      <c r="AP308" s="404">
        <f t="shared" si="386"/>
        <v>-1</v>
      </c>
      <c r="AQ308" s="404">
        <f t="shared" si="387"/>
        <v>-1</v>
      </c>
      <c r="AR308" s="404">
        <f t="shared" si="388"/>
        <v>-1</v>
      </c>
      <c r="AS308" s="404">
        <f t="shared" si="389"/>
        <v>-1</v>
      </c>
      <c r="AT308" s="404">
        <f t="shared" si="390"/>
        <v>-1</v>
      </c>
      <c r="AU308" s="404">
        <f t="shared" si="391"/>
        <v>-1</v>
      </c>
      <c r="AV308" s="404">
        <f t="shared" si="392"/>
        <v>-1</v>
      </c>
      <c r="AW308" s="404">
        <f t="shared" si="393"/>
        <v>-1</v>
      </c>
    </row>
    <row r="309" spans="1:49" x14ac:dyDescent="0.25">
      <c r="A309" s="335">
        <v>2322</v>
      </c>
      <c r="B309" s="336" t="s">
        <v>148</v>
      </c>
      <c r="C309" s="365">
        <f>+C310+C311</f>
        <v>120000000</v>
      </c>
      <c r="D309" s="365">
        <f t="shared" ref="D309:G309" si="435">+D310+D311</f>
        <v>0</v>
      </c>
      <c r="E309" s="365">
        <f t="shared" si="435"/>
        <v>0</v>
      </c>
      <c r="F309" s="365">
        <f t="shared" si="435"/>
        <v>0</v>
      </c>
      <c r="G309" s="365">
        <f t="shared" si="435"/>
        <v>120000000</v>
      </c>
      <c r="H309" s="57">
        <f>+H310+H311</f>
        <v>120000000</v>
      </c>
      <c r="I309" s="204">
        <f t="shared" ref="I309:V309" si="436">+I310+I311</f>
        <v>0</v>
      </c>
      <c r="J309" s="204">
        <f t="shared" si="436"/>
        <v>0</v>
      </c>
      <c r="K309" s="204">
        <f t="shared" si="436"/>
        <v>60000000</v>
      </c>
      <c r="L309" s="204">
        <f t="shared" si="436"/>
        <v>0</v>
      </c>
      <c r="M309" s="204">
        <f t="shared" si="436"/>
        <v>0</v>
      </c>
      <c r="N309" s="204">
        <f t="shared" si="436"/>
        <v>0</v>
      </c>
      <c r="O309" s="204">
        <f t="shared" si="436"/>
        <v>0</v>
      </c>
      <c r="P309" s="204">
        <f t="shared" si="436"/>
        <v>60000000</v>
      </c>
      <c r="Q309" s="204">
        <f t="shared" si="436"/>
        <v>0</v>
      </c>
      <c r="R309" s="204">
        <f t="shared" si="436"/>
        <v>0</v>
      </c>
      <c r="S309" s="204">
        <f t="shared" si="436"/>
        <v>0</v>
      </c>
      <c r="T309" s="204">
        <f t="shared" si="436"/>
        <v>0</v>
      </c>
      <c r="U309" s="415">
        <f t="shared" si="397"/>
        <v>120000000</v>
      </c>
      <c r="V309" s="57">
        <f t="shared" si="436"/>
        <v>120000000</v>
      </c>
      <c r="W309" s="396">
        <f t="shared" si="394"/>
        <v>120000000</v>
      </c>
      <c r="X309" s="396">
        <f t="shared" si="395"/>
        <v>0</v>
      </c>
      <c r="Y309" s="396"/>
      <c r="AA309" s="204">
        <v>0</v>
      </c>
      <c r="AB309" s="205">
        <v>205422</v>
      </c>
      <c r="AC309" s="205">
        <v>127711</v>
      </c>
      <c r="AD309" s="205">
        <v>0</v>
      </c>
      <c r="AE309" s="205">
        <v>0</v>
      </c>
      <c r="AF309" s="205">
        <v>0</v>
      </c>
      <c r="AG309" s="205">
        <v>0</v>
      </c>
      <c r="AH309" s="365">
        <v>893384</v>
      </c>
      <c r="AI309" s="365">
        <v>1661223</v>
      </c>
      <c r="AJ309" s="365">
        <v>2751921.71</v>
      </c>
      <c r="AK309" s="205">
        <f t="shared" si="396"/>
        <v>5639661.71</v>
      </c>
      <c r="AL309" s="387"/>
      <c r="AM309" s="407" t="e">
        <f t="shared" si="383"/>
        <v>#DIV/0!</v>
      </c>
      <c r="AN309" s="407" t="e">
        <f t="shared" si="384"/>
        <v>#DIV/0!</v>
      </c>
      <c r="AO309" s="407">
        <f t="shared" si="385"/>
        <v>-0.99787148333333331</v>
      </c>
      <c r="AP309" s="407" t="e">
        <f t="shared" si="386"/>
        <v>#DIV/0!</v>
      </c>
      <c r="AQ309" s="407" t="e">
        <f t="shared" si="387"/>
        <v>#DIV/0!</v>
      </c>
      <c r="AR309" s="407" t="e">
        <f t="shared" si="388"/>
        <v>#DIV/0!</v>
      </c>
      <c r="AS309" s="407" t="e">
        <f t="shared" si="389"/>
        <v>#DIV/0!</v>
      </c>
      <c r="AT309" s="407">
        <f t="shared" si="390"/>
        <v>-0.98511026666666668</v>
      </c>
      <c r="AU309" s="407" t="e">
        <f t="shared" si="391"/>
        <v>#DIV/0!</v>
      </c>
      <c r="AV309" s="407" t="e">
        <f t="shared" si="392"/>
        <v>#DIV/0!</v>
      </c>
      <c r="AW309" s="407" t="e">
        <f t="shared" si="393"/>
        <v>#DIV/0!</v>
      </c>
    </row>
    <row r="310" spans="1:49" x14ac:dyDescent="0.25">
      <c r="A310" s="364">
        <v>23221</v>
      </c>
      <c r="B310" s="342" t="s">
        <v>626</v>
      </c>
      <c r="C310" s="368">
        <v>80000000</v>
      </c>
      <c r="D310" s="368">
        <v>0</v>
      </c>
      <c r="E310" s="368">
        <v>0</v>
      </c>
      <c r="F310" s="368">
        <v>0</v>
      </c>
      <c r="G310" s="368">
        <f t="shared" ref="G310:G311" si="437">+C310+D310-E310+F310</f>
        <v>80000000</v>
      </c>
      <c r="H310" s="58">
        <v>80000000</v>
      </c>
      <c r="I310" s="210">
        <v>0</v>
      </c>
      <c r="J310" s="210">
        <v>0</v>
      </c>
      <c r="K310" s="210">
        <v>40000000</v>
      </c>
      <c r="L310" s="210">
        <v>0</v>
      </c>
      <c r="M310" s="210">
        <v>0</v>
      </c>
      <c r="N310" s="210">
        <v>0</v>
      </c>
      <c r="O310" s="210">
        <v>0</v>
      </c>
      <c r="P310" s="210">
        <v>40000000</v>
      </c>
      <c r="Q310" s="210">
        <v>0</v>
      </c>
      <c r="R310" s="210">
        <v>0</v>
      </c>
      <c r="S310" s="210">
        <v>0</v>
      </c>
      <c r="T310" s="210">
        <v>0</v>
      </c>
      <c r="U310" s="412">
        <f t="shared" si="397"/>
        <v>80000000</v>
      </c>
      <c r="V310" s="58">
        <f>SUM(I310:T310)</f>
        <v>80000000</v>
      </c>
      <c r="W310" s="396">
        <f t="shared" si="394"/>
        <v>80000000</v>
      </c>
      <c r="X310" s="396">
        <f t="shared" si="395"/>
        <v>0</v>
      </c>
      <c r="Y310" s="396"/>
      <c r="AA310" s="210">
        <v>0</v>
      </c>
      <c r="AB310" s="210">
        <v>205422</v>
      </c>
      <c r="AC310" s="210">
        <v>127711</v>
      </c>
      <c r="AD310" s="210">
        <v>0</v>
      </c>
      <c r="AE310" s="210">
        <v>0</v>
      </c>
      <c r="AF310" s="210">
        <v>0</v>
      </c>
      <c r="AG310" s="210">
        <v>0</v>
      </c>
      <c r="AH310" s="368">
        <v>893384</v>
      </c>
      <c r="AI310" s="368">
        <v>1100000</v>
      </c>
      <c r="AJ310" s="368">
        <v>2500000</v>
      </c>
      <c r="AK310" s="210">
        <f t="shared" si="396"/>
        <v>4826517</v>
      </c>
      <c r="AL310" s="387"/>
      <c r="AM310" s="404" t="e">
        <f t="shared" si="383"/>
        <v>#DIV/0!</v>
      </c>
      <c r="AN310" s="404" t="e">
        <f t="shared" si="384"/>
        <v>#DIV/0!</v>
      </c>
      <c r="AO310" s="404">
        <f t="shared" si="385"/>
        <v>-0.99680722499999996</v>
      </c>
      <c r="AP310" s="404" t="e">
        <f t="shared" si="386"/>
        <v>#DIV/0!</v>
      </c>
      <c r="AQ310" s="404" t="e">
        <f t="shared" si="387"/>
        <v>#DIV/0!</v>
      </c>
      <c r="AR310" s="404" t="e">
        <f t="shared" si="388"/>
        <v>#DIV/0!</v>
      </c>
      <c r="AS310" s="404" t="e">
        <f t="shared" si="389"/>
        <v>#DIV/0!</v>
      </c>
      <c r="AT310" s="404">
        <f t="shared" si="390"/>
        <v>-0.97766540000000002</v>
      </c>
      <c r="AU310" s="404" t="e">
        <f t="shared" si="391"/>
        <v>#DIV/0!</v>
      </c>
      <c r="AV310" s="404" t="e">
        <f t="shared" si="392"/>
        <v>#DIV/0!</v>
      </c>
      <c r="AW310" s="404" t="e">
        <f t="shared" si="393"/>
        <v>#DIV/0!</v>
      </c>
    </row>
    <row r="311" spans="1:49" x14ac:dyDescent="0.25">
      <c r="A311" s="364">
        <v>23224</v>
      </c>
      <c r="B311" s="342" t="s">
        <v>650</v>
      </c>
      <c r="C311" s="368">
        <v>40000000</v>
      </c>
      <c r="D311" s="368">
        <v>0</v>
      </c>
      <c r="E311" s="368">
        <v>0</v>
      </c>
      <c r="F311" s="368">
        <v>0</v>
      </c>
      <c r="G311" s="368">
        <f t="shared" si="437"/>
        <v>40000000</v>
      </c>
      <c r="H311" s="58">
        <v>40000000</v>
      </c>
      <c r="I311" s="210">
        <v>0</v>
      </c>
      <c r="J311" s="210">
        <v>0</v>
      </c>
      <c r="K311" s="210">
        <v>20000000</v>
      </c>
      <c r="L311" s="210">
        <v>0</v>
      </c>
      <c r="M311" s="210">
        <v>0</v>
      </c>
      <c r="N311" s="210">
        <v>0</v>
      </c>
      <c r="O311" s="210">
        <v>0</v>
      </c>
      <c r="P311" s="210">
        <v>20000000</v>
      </c>
      <c r="Q311" s="210">
        <v>0</v>
      </c>
      <c r="R311" s="210">
        <v>0</v>
      </c>
      <c r="S311" s="210">
        <v>0</v>
      </c>
      <c r="T311" s="210">
        <v>0</v>
      </c>
      <c r="U311" s="412">
        <f t="shared" si="397"/>
        <v>40000000</v>
      </c>
      <c r="V311" s="58">
        <f>SUM(I311:T311)</f>
        <v>40000000</v>
      </c>
      <c r="W311" s="396">
        <f t="shared" si="394"/>
        <v>40000000</v>
      </c>
      <c r="X311" s="396">
        <f t="shared" si="395"/>
        <v>0</v>
      </c>
      <c r="Y311" s="396"/>
      <c r="AA311" s="210">
        <v>0</v>
      </c>
      <c r="AB311" s="210">
        <v>0</v>
      </c>
      <c r="AC311" s="210">
        <v>0</v>
      </c>
      <c r="AD311" s="210">
        <v>0</v>
      </c>
      <c r="AE311" s="210">
        <v>0</v>
      </c>
      <c r="AF311" s="210">
        <v>0</v>
      </c>
      <c r="AG311" s="210">
        <v>0</v>
      </c>
      <c r="AH311" s="368">
        <v>0</v>
      </c>
      <c r="AI311" s="368">
        <v>561223</v>
      </c>
      <c r="AJ311" s="368">
        <v>251921.71</v>
      </c>
      <c r="AK311" s="210">
        <f t="shared" si="396"/>
        <v>813144.71</v>
      </c>
      <c r="AL311" s="386"/>
      <c r="AM311" s="404" t="e">
        <f t="shared" si="383"/>
        <v>#DIV/0!</v>
      </c>
      <c r="AN311" s="404" t="e">
        <f t="shared" si="384"/>
        <v>#DIV/0!</v>
      </c>
      <c r="AO311" s="404">
        <f t="shared" si="385"/>
        <v>-1</v>
      </c>
      <c r="AP311" s="404" t="e">
        <f t="shared" si="386"/>
        <v>#DIV/0!</v>
      </c>
      <c r="AQ311" s="404" t="e">
        <f t="shared" si="387"/>
        <v>#DIV/0!</v>
      </c>
      <c r="AR311" s="404" t="e">
        <f t="shared" si="388"/>
        <v>#DIV/0!</v>
      </c>
      <c r="AS311" s="404" t="e">
        <f t="shared" si="389"/>
        <v>#DIV/0!</v>
      </c>
      <c r="AT311" s="404">
        <f t="shared" si="390"/>
        <v>-1</v>
      </c>
      <c r="AU311" s="404" t="e">
        <f t="shared" si="391"/>
        <v>#DIV/0!</v>
      </c>
      <c r="AV311" s="404" t="e">
        <f t="shared" si="392"/>
        <v>#DIV/0!</v>
      </c>
      <c r="AW311" s="404" t="e">
        <f t="shared" si="393"/>
        <v>#DIV/0!</v>
      </c>
    </row>
    <row r="312" spans="1:49" x14ac:dyDescent="0.25">
      <c r="A312" s="339">
        <v>2323</v>
      </c>
      <c r="B312" s="340" t="s">
        <v>149</v>
      </c>
      <c r="C312" s="367">
        <f>+C313</f>
        <v>100000000</v>
      </c>
      <c r="D312" s="367">
        <f t="shared" ref="D312:G312" si="438">+D313</f>
        <v>0</v>
      </c>
      <c r="E312" s="367">
        <f t="shared" si="438"/>
        <v>0</v>
      </c>
      <c r="F312" s="367">
        <f t="shared" si="438"/>
        <v>0</v>
      </c>
      <c r="G312" s="367">
        <f t="shared" si="438"/>
        <v>100000000</v>
      </c>
      <c r="H312" s="57">
        <f>+H313</f>
        <v>100000000</v>
      </c>
      <c r="I312" s="208">
        <f t="shared" ref="I312:V312" si="439">+I313</f>
        <v>0</v>
      </c>
      <c r="J312" s="208">
        <f t="shared" si="439"/>
        <v>0</v>
      </c>
      <c r="K312" s="208">
        <f t="shared" si="439"/>
        <v>0</v>
      </c>
      <c r="L312" s="208">
        <f t="shared" si="439"/>
        <v>0</v>
      </c>
      <c r="M312" s="208">
        <f t="shared" si="439"/>
        <v>0</v>
      </c>
      <c r="N312" s="208">
        <f t="shared" si="439"/>
        <v>50000000</v>
      </c>
      <c r="O312" s="208">
        <f t="shared" si="439"/>
        <v>0</v>
      </c>
      <c r="P312" s="208">
        <f t="shared" si="439"/>
        <v>0</v>
      </c>
      <c r="Q312" s="208">
        <f t="shared" si="439"/>
        <v>0</v>
      </c>
      <c r="R312" s="208">
        <f t="shared" si="439"/>
        <v>0</v>
      </c>
      <c r="S312" s="208">
        <f t="shared" si="439"/>
        <v>50000000</v>
      </c>
      <c r="T312" s="208">
        <f t="shared" si="439"/>
        <v>0</v>
      </c>
      <c r="U312" s="413">
        <f t="shared" si="397"/>
        <v>50000000</v>
      </c>
      <c r="V312" s="57">
        <f t="shared" si="439"/>
        <v>100000000</v>
      </c>
      <c r="W312" s="396">
        <f t="shared" si="394"/>
        <v>100000000</v>
      </c>
      <c r="X312" s="396">
        <f t="shared" si="395"/>
        <v>0</v>
      </c>
      <c r="Y312" s="396"/>
      <c r="Z312" s="55"/>
      <c r="AA312" s="208">
        <v>0</v>
      </c>
      <c r="AB312" s="209">
        <v>0</v>
      </c>
      <c r="AC312" s="209">
        <v>0</v>
      </c>
      <c r="AD312" s="209">
        <v>0</v>
      </c>
      <c r="AE312" s="209">
        <v>0</v>
      </c>
      <c r="AF312" s="209">
        <v>0</v>
      </c>
      <c r="AG312" s="209">
        <v>0</v>
      </c>
      <c r="AH312" s="367">
        <v>0</v>
      </c>
      <c r="AI312" s="367">
        <v>0</v>
      </c>
      <c r="AJ312" s="367">
        <v>3950112</v>
      </c>
      <c r="AK312" s="209">
        <f t="shared" si="396"/>
        <v>3950112</v>
      </c>
      <c r="AL312" s="387"/>
      <c r="AM312" s="405" t="e">
        <f t="shared" si="383"/>
        <v>#DIV/0!</v>
      </c>
      <c r="AN312" s="405" t="e">
        <f t="shared" si="384"/>
        <v>#DIV/0!</v>
      </c>
      <c r="AO312" s="405" t="e">
        <f t="shared" si="385"/>
        <v>#DIV/0!</v>
      </c>
      <c r="AP312" s="405" t="e">
        <f t="shared" si="386"/>
        <v>#DIV/0!</v>
      </c>
      <c r="AQ312" s="405" t="e">
        <f t="shared" si="387"/>
        <v>#DIV/0!</v>
      </c>
      <c r="AR312" s="405">
        <f t="shared" si="388"/>
        <v>-1</v>
      </c>
      <c r="AS312" s="405" t="e">
        <f t="shared" si="389"/>
        <v>#DIV/0!</v>
      </c>
      <c r="AT312" s="405" t="e">
        <f t="shared" si="390"/>
        <v>#DIV/0!</v>
      </c>
      <c r="AU312" s="405" t="e">
        <f t="shared" si="391"/>
        <v>#DIV/0!</v>
      </c>
      <c r="AV312" s="405" t="e">
        <f t="shared" si="392"/>
        <v>#DIV/0!</v>
      </c>
      <c r="AW312" s="405">
        <f t="shared" si="393"/>
        <v>-0.92099776</v>
      </c>
    </row>
    <row r="313" spans="1:49" ht="30" x14ac:dyDescent="0.25">
      <c r="A313" s="364">
        <v>23231</v>
      </c>
      <c r="B313" s="342" t="s">
        <v>627</v>
      </c>
      <c r="C313" s="368">
        <v>100000000</v>
      </c>
      <c r="D313" s="368">
        <v>0</v>
      </c>
      <c r="E313" s="368">
        <v>0</v>
      </c>
      <c r="F313" s="368">
        <v>0</v>
      </c>
      <c r="G313" s="368">
        <f t="shared" ref="G313" si="440">+C313+D313-E313+F313</f>
        <v>100000000</v>
      </c>
      <c r="H313" s="58">
        <v>100000000</v>
      </c>
      <c r="I313" s="210">
        <v>0</v>
      </c>
      <c r="J313" s="210">
        <v>0</v>
      </c>
      <c r="K313" s="210">
        <v>0</v>
      </c>
      <c r="L313" s="210">
        <v>0</v>
      </c>
      <c r="M313" s="210">
        <v>0</v>
      </c>
      <c r="N313" s="210">
        <v>50000000</v>
      </c>
      <c r="O313" s="210">
        <v>0</v>
      </c>
      <c r="P313" s="210">
        <v>0</v>
      </c>
      <c r="Q313" s="210">
        <v>0</v>
      </c>
      <c r="R313" s="210">
        <v>0</v>
      </c>
      <c r="S313" s="210">
        <v>50000000</v>
      </c>
      <c r="T313" s="210">
        <v>0</v>
      </c>
      <c r="U313" s="412">
        <f t="shared" si="397"/>
        <v>50000000</v>
      </c>
      <c r="V313" s="58">
        <f>SUM(I313:T313)</f>
        <v>100000000</v>
      </c>
      <c r="W313" s="396">
        <f t="shared" si="394"/>
        <v>100000000</v>
      </c>
      <c r="X313" s="396">
        <f t="shared" si="395"/>
        <v>0</v>
      </c>
      <c r="Y313" s="396"/>
      <c r="AA313" s="210">
        <v>0</v>
      </c>
      <c r="AB313" s="210">
        <v>0</v>
      </c>
      <c r="AC313" s="210">
        <v>0</v>
      </c>
      <c r="AD313" s="210">
        <v>0</v>
      </c>
      <c r="AE313" s="210">
        <v>0</v>
      </c>
      <c r="AF313" s="210">
        <v>0</v>
      </c>
      <c r="AG313" s="210">
        <v>0</v>
      </c>
      <c r="AH313" s="368">
        <v>0</v>
      </c>
      <c r="AI313" s="368">
        <v>0</v>
      </c>
      <c r="AJ313" s="368">
        <v>3950112</v>
      </c>
      <c r="AK313" s="210">
        <f t="shared" si="396"/>
        <v>3950112</v>
      </c>
      <c r="AL313" s="386"/>
      <c r="AM313" s="404" t="e">
        <f t="shared" si="383"/>
        <v>#DIV/0!</v>
      </c>
      <c r="AN313" s="404" t="e">
        <f t="shared" si="384"/>
        <v>#DIV/0!</v>
      </c>
      <c r="AO313" s="404" t="e">
        <f t="shared" si="385"/>
        <v>#DIV/0!</v>
      </c>
      <c r="AP313" s="404" t="e">
        <f t="shared" si="386"/>
        <v>#DIV/0!</v>
      </c>
      <c r="AQ313" s="404" t="e">
        <f t="shared" si="387"/>
        <v>#DIV/0!</v>
      </c>
      <c r="AR313" s="404">
        <f t="shared" si="388"/>
        <v>-1</v>
      </c>
      <c r="AS313" s="404" t="e">
        <f t="shared" si="389"/>
        <v>#DIV/0!</v>
      </c>
      <c r="AT313" s="404" t="e">
        <f t="shared" si="390"/>
        <v>#DIV/0!</v>
      </c>
      <c r="AU313" s="404" t="e">
        <f t="shared" si="391"/>
        <v>#DIV/0!</v>
      </c>
      <c r="AV313" s="404" t="e">
        <f t="shared" si="392"/>
        <v>#DIV/0!</v>
      </c>
      <c r="AW313" s="404">
        <f t="shared" si="393"/>
        <v>-0.92099776</v>
      </c>
    </row>
    <row r="314" spans="1:49" x14ac:dyDescent="0.25">
      <c r="A314" s="335">
        <v>233</v>
      </c>
      <c r="B314" s="336" t="s">
        <v>150</v>
      </c>
      <c r="C314" s="365">
        <f>+C315+C317</f>
        <v>94200000</v>
      </c>
      <c r="D314" s="365">
        <f t="shared" ref="D314:G314" si="441">+D315+D317</f>
        <v>0</v>
      </c>
      <c r="E314" s="365">
        <f t="shared" si="441"/>
        <v>0</v>
      </c>
      <c r="F314" s="365">
        <f t="shared" si="441"/>
        <v>0</v>
      </c>
      <c r="G314" s="365">
        <f t="shared" si="441"/>
        <v>94200000</v>
      </c>
      <c r="H314" s="54">
        <f>+H315+H317</f>
        <v>94200000</v>
      </c>
      <c r="I314" s="204">
        <f t="shared" ref="I314:V314" si="442">+I315+I317</f>
        <v>0</v>
      </c>
      <c r="J314" s="204">
        <f t="shared" si="442"/>
        <v>0</v>
      </c>
      <c r="K314" s="204">
        <f t="shared" si="442"/>
        <v>24200000</v>
      </c>
      <c r="L314" s="204">
        <f t="shared" si="442"/>
        <v>10000000</v>
      </c>
      <c r="M314" s="204">
        <f t="shared" si="442"/>
        <v>10000000</v>
      </c>
      <c r="N314" s="204">
        <f t="shared" si="442"/>
        <v>10000000</v>
      </c>
      <c r="O314" s="204">
        <f t="shared" si="442"/>
        <v>0</v>
      </c>
      <c r="P314" s="204">
        <f t="shared" si="442"/>
        <v>10000000</v>
      </c>
      <c r="Q314" s="204">
        <f t="shared" si="442"/>
        <v>10000000</v>
      </c>
      <c r="R314" s="204">
        <f t="shared" si="442"/>
        <v>10000000</v>
      </c>
      <c r="S314" s="204">
        <f t="shared" si="442"/>
        <v>10000000</v>
      </c>
      <c r="T314" s="204">
        <f t="shared" si="442"/>
        <v>0</v>
      </c>
      <c r="U314" s="415">
        <f t="shared" si="397"/>
        <v>84200000</v>
      </c>
      <c r="V314" s="54">
        <f t="shared" si="442"/>
        <v>94200000</v>
      </c>
      <c r="W314" s="396">
        <f t="shared" si="394"/>
        <v>94200000</v>
      </c>
      <c r="X314" s="396">
        <f t="shared" si="395"/>
        <v>0</v>
      </c>
      <c r="Y314" s="396"/>
      <c r="AA314" s="204">
        <v>0</v>
      </c>
      <c r="AB314" s="205">
        <v>0</v>
      </c>
      <c r="AC314" s="205">
        <v>0</v>
      </c>
      <c r="AD314" s="205">
        <v>0</v>
      </c>
      <c r="AE314" s="205">
        <v>0</v>
      </c>
      <c r="AF314" s="205">
        <v>0</v>
      </c>
      <c r="AG314" s="205">
        <v>0</v>
      </c>
      <c r="AH314" s="365">
        <v>0</v>
      </c>
      <c r="AI314" s="365">
        <v>0</v>
      </c>
      <c r="AJ314" s="365">
        <v>0</v>
      </c>
      <c r="AK314" s="205">
        <f t="shared" si="396"/>
        <v>0</v>
      </c>
      <c r="AL314" s="386"/>
      <c r="AM314" s="407" t="e">
        <f t="shared" si="383"/>
        <v>#DIV/0!</v>
      </c>
      <c r="AN314" s="407" t="e">
        <f t="shared" si="384"/>
        <v>#DIV/0!</v>
      </c>
      <c r="AO314" s="407">
        <f t="shared" si="385"/>
        <v>-1</v>
      </c>
      <c r="AP314" s="407">
        <f t="shared" si="386"/>
        <v>-1</v>
      </c>
      <c r="AQ314" s="407">
        <f t="shared" si="387"/>
        <v>-1</v>
      </c>
      <c r="AR314" s="407">
        <f t="shared" si="388"/>
        <v>-1</v>
      </c>
      <c r="AS314" s="407" t="e">
        <f t="shared" si="389"/>
        <v>#DIV/0!</v>
      </c>
      <c r="AT314" s="407">
        <f t="shared" si="390"/>
        <v>-1</v>
      </c>
      <c r="AU314" s="407">
        <f t="shared" si="391"/>
        <v>-1</v>
      </c>
      <c r="AV314" s="407">
        <f t="shared" si="392"/>
        <v>-1</v>
      </c>
      <c r="AW314" s="407">
        <f t="shared" si="393"/>
        <v>-1</v>
      </c>
    </row>
    <row r="315" spans="1:49" ht="30" x14ac:dyDescent="0.25">
      <c r="A315" s="335">
        <v>2331</v>
      </c>
      <c r="B315" s="336" t="s">
        <v>151</v>
      </c>
      <c r="C315" s="365">
        <f>+C316</f>
        <v>80000000</v>
      </c>
      <c r="D315" s="365">
        <f t="shared" ref="D315:G315" si="443">+D316</f>
        <v>0</v>
      </c>
      <c r="E315" s="365">
        <f t="shared" si="443"/>
        <v>0</v>
      </c>
      <c r="F315" s="365">
        <f t="shared" si="443"/>
        <v>0</v>
      </c>
      <c r="G315" s="365">
        <f t="shared" si="443"/>
        <v>80000000</v>
      </c>
      <c r="H315" s="57">
        <f>+H316</f>
        <v>80000000</v>
      </c>
      <c r="I315" s="204">
        <f t="shared" ref="I315:V315" si="444">+I316</f>
        <v>0</v>
      </c>
      <c r="J315" s="204">
        <f t="shared" si="444"/>
        <v>0</v>
      </c>
      <c r="K315" s="204">
        <f t="shared" si="444"/>
        <v>10000000</v>
      </c>
      <c r="L315" s="204">
        <f t="shared" si="444"/>
        <v>10000000</v>
      </c>
      <c r="M315" s="204">
        <f t="shared" si="444"/>
        <v>10000000</v>
      </c>
      <c r="N315" s="204">
        <f t="shared" si="444"/>
        <v>10000000</v>
      </c>
      <c r="O315" s="204">
        <f t="shared" si="444"/>
        <v>0</v>
      </c>
      <c r="P315" s="204">
        <f t="shared" si="444"/>
        <v>10000000</v>
      </c>
      <c r="Q315" s="204">
        <f t="shared" si="444"/>
        <v>10000000</v>
      </c>
      <c r="R315" s="204">
        <f t="shared" si="444"/>
        <v>10000000</v>
      </c>
      <c r="S315" s="204">
        <f t="shared" si="444"/>
        <v>10000000</v>
      </c>
      <c r="T315" s="204">
        <f t="shared" si="444"/>
        <v>0</v>
      </c>
      <c r="U315" s="415">
        <f t="shared" si="397"/>
        <v>70000000</v>
      </c>
      <c r="V315" s="57">
        <f t="shared" si="444"/>
        <v>80000000</v>
      </c>
      <c r="W315" s="396">
        <f t="shared" si="394"/>
        <v>80000000</v>
      </c>
      <c r="X315" s="396">
        <f t="shared" si="395"/>
        <v>0</v>
      </c>
      <c r="Y315" s="396"/>
      <c r="AA315" s="204">
        <v>0</v>
      </c>
      <c r="AB315" s="205">
        <v>0</v>
      </c>
      <c r="AC315" s="205">
        <v>0</v>
      </c>
      <c r="AD315" s="205">
        <v>0</v>
      </c>
      <c r="AE315" s="205">
        <v>0</v>
      </c>
      <c r="AF315" s="205">
        <v>0</v>
      </c>
      <c r="AG315" s="205">
        <v>0</v>
      </c>
      <c r="AH315" s="365">
        <v>0</v>
      </c>
      <c r="AI315" s="365">
        <v>0</v>
      </c>
      <c r="AJ315" s="365">
        <v>0</v>
      </c>
      <c r="AK315" s="205">
        <f t="shared" si="396"/>
        <v>0</v>
      </c>
      <c r="AL315" s="386"/>
      <c r="AM315" s="407" t="e">
        <f t="shared" si="383"/>
        <v>#DIV/0!</v>
      </c>
      <c r="AN315" s="407" t="e">
        <f t="shared" si="384"/>
        <v>#DIV/0!</v>
      </c>
      <c r="AO315" s="407">
        <f t="shared" si="385"/>
        <v>-1</v>
      </c>
      <c r="AP315" s="407">
        <f t="shared" si="386"/>
        <v>-1</v>
      </c>
      <c r="AQ315" s="407">
        <f t="shared" si="387"/>
        <v>-1</v>
      </c>
      <c r="AR315" s="407">
        <f t="shared" si="388"/>
        <v>-1</v>
      </c>
      <c r="AS315" s="407" t="e">
        <f t="shared" si="389"/>
        <v>#DIV/0!</v>
      </c>
      <c r="AT315" s="407">
        <f t="shared" si="390"/>
        <v>-1</v>
      </c>
      <c r="AU315" s="407">
        <f t="shared" si="391"/>
        <v>-1</v>
      </c>
      <c r="AV315" s="407">
        <f t="shared" si="392"/>
        <v>-1</v>
      </c>
      <c r="AW315" s="407">
        <f t="shared" si="393"/>
        <v>-1</v>
      </c>
    </row>
    <row r="316" spans="1:49" x14ac:dyDescent="0.25">
      <c r="A316" s="339">
        <v>23311</v>
      </c>
      <c r="B316" s="340" t="s">
        <v>152</v>
      </c>
      <c r="C316" s="367">
        <v>80000000</v>
      </c>
      <c r="D316" s="367"/>
      <c r="E316" s="367"/>
      <c r="F316" s="367"/>
      <c r="G316" s="367">
        <v>80000000</v>
      </c>
      <c r="H316" s="58">
        <v>80000000</v>
      </c>
      <c r="I316" s="208">
        <v>0</v>
      </c>
      <c r="J316" s="208">
        <v>0</v>
      </c>
      <c r="K316" s="208">
        <v>10000000</v>
      </c>
      <c r="L316" s="208">
        <v>10000000</v>
      </c>
      <c r="M316" s="208">
        <v>10000000</v>
      </c>
      <c r="N316" s="208">
        <v>10000000</v>
      </c>
      <c r="O316" s="208">
        <v>0</v>
      </c>
      <c r="P316" s="208">
        <v>10000000</v>
      </c>
      <c r="Q316" s="208">
        <v>10000000</v>
      </c>
      <c r="R316" s="208">
        <v>10000000</v>
      </c>
      <c r="S316" s="208">
        <v>10000000</v>
      </c>
      <c r="T316" s="208">
        <v>0</v>
      </c>
      <c r="U316" s="413">
        <f t="shared" si="397"/>
        <v>70000000</v>
      </c>
      <c r="V316" s="58">
        <f>SUM(I316:T316)</f>
        <v>80000000</v>
      </c>
      <c r="W316" s="396">
        <f t="shared" si="394"/>
        <v>80000000</v>
      </c>
      <c r="X316" s="396">
        <f t="shared" si="395"/>
        <v>0</v>
      </c>
      <c r="Y316" s="396"/>
      <c r="AA316" s="208">
        <v>0</v>
      </c>
      <c r="AB316" s="209">
        <v>0</v>
      </c>
      <c r="AC316" s="209">
        <v>0</v>
      </c>
      <c r="AD316" s="209"/>
      <c r="AE316" s="209">
        <v>0</v>
      </c>
      <c r="AF316" s="209">
        <v>0</v>
      </c>
      <c r="AG316" s="209">
        <v>0</v>
      </c>
      <c r="AH316" s="367">
        <v>0</v>
      </c>
      <c r="AI316" s="367">
        <v>0</v>
      </c>
      <c r="AJ316" s="367">
        <v>0</v>
      </c>
      <c r="AK316" s="209">
        <f t="shared" si="396"/>
        <v>0</v>
      </c>
      <c r="AL316" s="386"/>
      <c r="AM316" s="405" t="e">
        <f t="shared" si="383"/>
        <v>#DIV/0!</v>
      </c>
      <c r="AN316" s="405" t="e">
        <f t="shared" si="384"/>
        <v>#DIV/0!</v>
      </c>
      <c r="AO316" s="405">
        <f t="shared" si="385"/>
        <v>-1</v>
      </c>
      <c r="AP316" s="405">
        <f t="shared" si="386"/>
        <v>-1</v>
      </c>
      <c r="AQ316" s="405">
        <f t="shared" si="387"/>
        <v>-1</v>
      </c>
      <c r="AR316" s="405">
        <f t="shared" si="388"/>
        <v>-1</v>
      </c>
      <c r="AS316" s="405" t="e">
        <f t="shared" si="389"/>
        <v>#DIV/0!</v>
      </c>
      <c r="AT316" s="405">
        <f t="shared" si="390"/>
        <v>-1</v>
      </c>
      <c r="AU316" s="405">
        <f t="shared" si="391"/>
        <v>-1</v>
      </c>
      <c r="AV316" s="405">
        <f t="shared" si="392"/>
        <v>-1</v>
      </c>
      <c r="AW316" s="405">
        <f t="shared" si="393"/>
        <v>-1</v>
      </c>
    </row>
    <row r="317" spans="1:49" ht="30" x14ac:dyDescent="0.25">
      <c r="A317" s="335">
        <v>2332</v>
      </c>
      <c r="B317" s="336" t="s">
        <v>153</v>
      </c>
      <c r="C317" s="365">
        <f>+C318</f>
        <v>14200000</v>
      </c>
      <c r="D317" s="365">
        <f t="shared" ref="D317:G317" si="445">+D318</f>
        <v>0</v>
      </c>
      <c r="E317" s="365">
        <f t="shared" si="445"/>
        <v>0</v>
      </c>
      <c r="F317" s="365">
        <f t="shared" si="445"/>
        <v>0</v>
      </c>
      <c r="G317" s="365">
        <f t="shared" si="445"/>
        <v>14200000</v>
      </c>
      <c r="H317" s="57">
        <f>+H318</f>
        <v>14200000</v>
      </c>
      <c r="I317" s="204">
        <f t="shared" ref="I317:V317" si="446">+I318</f>
        <v>0</v>
      </c>
      <c r="J317" s="204">
        <f t="shared" si="446"/>
        <v>0</v>
      </c>
      <c r="K317" s="204">
        <f t="shared" si="446"/>
        <v>14200000</v>
      </c>
      <c r="L317" s="204">
        <f t="shared" si="446"/>
        <v>0</v>
      </c>
      <c r="M317" s="204">
        <f t="shared" si="446"/>
        <v>0</v>
      </c>
      <c r="N317" s="204">
        <f t="shared" si="446"/>
        <v>0</v>
      </c>
      <c r="O317" s="204">
        <f t="shared" si="446"/>
        <v>0</v>
      </c>
      <c r="P317" s="204">
        <f t="shared" si="446"/>
        <v>0</v>
      </c>
      <c r="Q317" s="204">
        <f t="shared" si="446"/>
        <v>0</v>
      </c>
      <c r="R317" s="204">
        <f t="shared" si="446"/>
        <v>0</v>
      </c>
      <c r="S317" s="204">
        <f t="shared" si="446"/>
        <v>0</v>
      </c>
      <c r="T317" s="204">
        <f t="shared" si="446"/>
        <v>0</v>
      </c>
      <c r="U317" s="415">
        <f t="shared" si="397"/>
        <v>14200000</v>
      </c>
      <c r="V317" s="57">
        <f t="shared" si="446"/>
        <v>14200000</v>
      </c>
      <c r="W317" s="396">
        <f t="shared" si="394"/>
        <v>14200000</v>
      </c>
      <c r="X317" s="396">
        <f t="shared" si="395"/>
        <v>0</v>
      </c>
      <c r="Y317" s="396"/>
      <c r="AA317" s="204">
        <v>0</v>
      </c>
      <c r="AB317" s="205">
        <v>0</v>
      </c>
      <c r="AC317" s="205">
        <v>0</v>
      </c>
      <c r="AD317" s="205">
        <v>0</v>
      </c>
      <c r="AE317" s="205">
        <v>0</v>
      </c>
      <c r="AF317" s="205">
        <v>0</v>
      </c>
      <c r="AG317" s="205">
        <v>0</v>
      </c>
      <c r="AH317" s="365">
        <v>0</v>
      </c>
      <c r="AI317" s="365">
        <v>0</v>
      </c>
      <c r="AJ317" s="365">
        <v>0</v>
      </c>
      <c r="AK317" s="205">
        <f t="shared" si="396"/>
        <v>0</v>
      </c>
      <c r="AL317" s="387"/>
      <c r="AM317" s="407" t="e">
        <f t="shared" si="383"/>
        <v>#DIV/0!</v>
      </c>
      <c r="AN317" s="407" t="e">
        <f t="shared" si="384"/>
        <v>#DIV/0!</v>
      </c>
      <c r="AO317" s="407">
        <f t="shared" si="385"/>
        <v>-1</v>
      </c>
      <c r="AP317" s="407" t="e">
        <f t="shared" si="386"/>
        <v>#DIV/0!</v>
      </c>
      <c r="AQ317" s="407" t="e">
        <f t="shared" si="387"/>
        <v>#DIV/0!</v>
      </c>
      <c r="AR317" s="407" t="e">
        <f t="shared" si="388"/>
        <v>#DIV/0!</v>
      </c>
      <c r="AS317" s="407" t="e">
        <f t="shared" si="389"/>
        <v>#DIV/0!</v>
      </c>
      <c r="AT317" s="407" t="e">
        <f t="shared" si="390"/>
        <v>#DIV/0!</v>
      </c>
      <c r="AU317" s="407" t="e">
        <f t="shared" si="391"/>
        <v>#DIV/0!</v>
      </c>
      <c r="AV317" s="407" t="e">
        <f t="shared" si="392"/>
        <v>#DIV/0!</v>
      </c>
      <c r="AW317" s="407" t="e">
        <f t="shared" si="393"/>
        <v>#DIV/0!</v>
      </c>
    </row>
    <row r="318" spans="1:49" ht="30" x14ac:dyDescent="0.25">
      <c r="A318" s="364">
        <v>23323</v>
      </c>
      <c r="B318" s="342" t="s">
        <v>628</v>
      </c>
      <c r="C318" s="368">
        <v>14200000</v>
      </c>
      <c r="D318" s="368">
        <v>0</v>
      </c>
      <c r="E318" s="368">
        <v>0</v>
      </c>
      <c r="F318" s="368">
        <v>0</v>
      </c>
      <c r="G318" s="368">
        <f t="shared" ref="G318" si="447">+C318+D318-E318+F318</f>
        <v>14200000</v>
      </c>
      <c r="H318" s="58">
        <v>14200000</v>
      </c>
      <c r="I318" s="210">
        <v>0</v>
      </c>
      <c r="J318" s="210">
        <v>0</v>
      </c>
      <c r="K318" s="210">
        <v>14200000</v>
      </c>
      <c r="L318" s="210">
        <v>0</v>
      </c>
      <c r="M318" s="210">
        <v>0</v>
      </c>
      <c r="N318" s="210">
        <v>0</v>
      </c>
      <c r="O318" s="210">
        <v>0</v>
      </c>
      <c r="P318" s="210">
        <v>0</v>
      </c>
      <c r="Q318" s="210">
        <v>0</v>
      </c>
      <c r="R318" s="210">
        <v>0</v>
      </c>
      <c r="S318" s="210">
        <v>0</v>
      </c>
      <c r="T318" s="210">
        <v>0</v>
      </c>
      <c r="U318" s="412">
        <f t="shared" si="397"/>
        <v>14200000</v>
      </c>
      <c r="V318" s="58">
        <f>SUM(I318:T318)</f>
        <v>14200000</v>
      </c>
      <c r="W318" s="396">
        <f t="shared" si="394"/>
        <v>14200000</v>
      </c>
      <c r="X318" s="396">
        <f t="shared" si="395"/>
        <v>0</v>
      </c>
      <c r="Y318" s="396"/>
      <c r="AA318" s="210">
        <v>0</v>
      </c>
      <c r="AB318" s="210">
        <v>0</v>
      </c>
      <c r="AC318" s="210">
        <v>0</v>
      </c>
      <c r="AD318" s="210">
        <v>0</v>
      </c>
      <c r="AE318" s="210">
        <v>0</v>
      </c>
      <c r="AF318" s="210">
        <v>0</v>
      </c>
      <c r="AG318" s="210">
        <v>0</v>
      </c>
      <c r="AH318" s="368">
        <v>0</v>
      </c>
      <c r="AI318" s="368">
        <v>0</v>
      </c>
      <c r="AJ318" s="368">
        <v>0</v>
      </c>
      <c r="AK318" s="210">
        <f t="shared" si="396"/>
        <v>0</v>
      </c>
      <c r="AL318" s="386"/>
      <c r="AM318" s="404" t="e">
        <f t="shared" si="383"/>
        <v>#DIV/0!</v>
      </c>
      <c r="AN318" s="404" t="e">
        <f t="shared" si="384"/>
        <v>#DIV/0!</v>
      </c>
      <c r="AO318" s="404">
        <f t="shared" si="385"/>
        <v>-1</v>
      </c>
      <c r="AP318" s="404" t="e">
        <f t="shared" si="386"/>
        <v>#DIV/0!</v>
      </c>
      <c r="AQ318" s="404" t="e">
        <f t="shared" si="387"/>
        <v>#DIV/0!</v>
      </c>
      <c r="AR318" s="404" t="e">
        <f t="shared" si="388"/>
        <v>#DIV/0!</v>
      </c>
      <c r="AS318" s="404" t="e">
        <f t="shared" si="389"/>
        <v>#DIV/0!</v>
      </c>
      <c r="AT318" s="404" t="e">
        <f t="shared" si="390"/>
        <v>#DIV/0!</v>
      </c>
      <c r="AU318" s="404" t="e">
        <f t="shared" si="391"/>
        <v>#DIV/0!</v>
      </c>
      <c r="AV318" s="404" t="e">
        <f t="shared" si="392"/>
        <v>#DIV/0!</v>
      </c>
      <c r="AW318" s="404" t="e">
        <f t="shared" si="393"/>
        <v>#DIV/0!</v>
      </c>
    </row>
    <row r="319" spans="1:49" ht="30" x14ac:dyDescent="0.25">
      <c r="A319" s="335">
        <v>234</v>
      </c>
      <c r="B319" s="336" t="s">
        <v>154</v>
      </c>
      <c r="C319" s="365">
        <f>+C320+C329</f>
        <v>2119805038</v>
      </c>
      <c r="D319" s="365">
        <f t="shared" ref="D319:AK319" si="448">+D320+D329</f>
        <v>0</v>
      </c>
      <c r="E319" s="365">
        <f t="shared" si="448"/>
        <v>380574006</v>
      </c>
      <c r="F319" s="365">
        <f t="shared" si="448"/>
        <v>343492005.03999996</v>
      </c>
      <c r="G319" s="365">
        <f t="shared" si="448"/>
        <v>2082723037.04</v>
      </c>
      <c r="H319" s="365">
        <f t="shared" si="448"/>
        <v>2119805038</v>
      </c>
      <c r="I319" s="365">
        <f t="shared" si="448"/>
        <v>0</v>
      </c>
      <c r="J319" s="365">
        <f t="shared" si="448"/>
        <v>180000000</v>
      </c>
      <c r="K319" s="365">
        <f t="shared" si="448"/>
        <v>40000000</v>
      </c>
      <c r="L319" s="365">
        <f t="shared" si="448"/>
        <v>0</v>
      </c>
      <c r="M319" s="365">
        <f t="shared" si="448"/>
        <v>150000000</v>
      </c>
      <c r="N319" s="365">
        <f t="shared" si="448"/>
        <v>0</v>
      </c>
      <c r="O319" s="365">
        <f t="shared" si="448"/>
        <v>3421792</v>
      </c>
      <c r="P319" s="365">
        <f t="shared" si="448"/>
        <v>1451682241.26</v>
      </c>
      <c r="Q319" s="365">
        <f t="shared" si="448"/>
        <v>85873001.25999999</v>
      </c>
      <c r="R319" s="365">
        <f t="shared" si="448"/>
        <v>85873001.25999999</v>
      </c>
      <c r="S319" s="365">
        <f t="shared" si="448"/>
        <v>85873001.25999999</v>
      </c>
      <c r="T319" s="365">
        <f t="shared" si="448"/>
        <v>0</v>
      </c>
      <c r="U319" s="416">
        <f t="shared" si="397"/>
        <v>1996850035.78</v>
      </c>
      <c r="V319" s="365">
        <f t="shared" si="448"/>
        <v>2082723037.04</v>
      </c>
      <c r="W319" s="365">
        <f t="shared" si="448"/>
        <v>2082723037.04</v>
      </c>
      <c r="X319" s="365">
        <f t="shared" si="448"/>
        <v>0</v>
      </c>
      <c r="Y319" s="365">
        <f t="shared" si="448"/>
        <v>0</v>
      </c>
      <c r="Z319" s="365">
        <f t="shared" si="448"/>
        <v>0</v>
      </c>
      <c r="AA319" s="365">
        <f t="shared" si="448"/>
        <v>773500</v>
      </c>
      <c r="AB319" s="365">
        <f t="shared" si="448"/>
        <v>0</v>
      </c>
      <c r="AC319" s="365">
        <f t="shared" si="448"/>
        <v>4300000</v>
      </c>
      <c r="AD319" s="365">
        <f t="shared" si="448"/>
        <v>9031130</v>
      </c>
      <c r="AE319" s="365">
        <f t="shared" si="448"/>
        <v>8031130</v>
      </c>
      <c r="AF319" s="365">
        <f t="shared" si="448"/>
        <v>8031130</v>
      </c>
      <c r="AG319" s="365">
        <f t="shared" si="448"/>
        <v>18058128.640000001</v>
      </c>
      <c r="AH319" s="365">
        <f t="shared" si="448"/>
        <v>12592686</v>
      </c>
      <c r="AI319" s="365">
        <f t="shared" si="448"/>
        <v>28234670.039999999</v>
      </c>
      <c r="AJ319" s="365">
        <f t="shared" si="448"/>
        <v>156915796</v>
      </c>
      <c r="AK319" s="365">
        <f t="shared" si="448"/>
        <v>245968170.67999998</v>
      </c>
      <c r="AL319" s="386"/>
      <c r="AM319" s="400" t="e">
        <f t="shared" si="383"/>
        <v>#DIV/0!</v>
      </c>
      <c r="AN319" s="400">
        <f t="shared" si="384"/>
        <v>-1</v>
      </c>
      <c r="AO319" s="400">
        <f t="shared" si="385"/>
        <v>-0.89249999999999996</v>
      </c>
      <c r="AP319" s="400" t="e">
        <f t="shared" si="386"/>
        <v>#DIV/0!</v>
      </c>
      <c r="AQ319" s="400">
        <f t="shared" si="387"/>
        <v>-0.94645913333333331</v>
      </c>
      <c r="AR319" s="400" t="e">
        <f t="shared" si="388"/>
        <v>#DIV/0!</v>
      </c>
      <c r="AS319" s="400">
        <f t="shared" si="389"/>
        <v>4.2773893445305857</v>
      </c>
      <c r="AT319" s="400">
        <f t="shared" si="390"/>
        <v>-0.99132545288349738</v>
      </c>
      <c r="AU319" s="400">
        <f t="shared" si="391"/>
        <v>-0.67120434099521997</v>
      </c>
      <c r="AV319" s="400">
        <f t="shared" si="392"/>
        <v>0.82730070799437683</v>
      </c>
      <c r="AW319" s="400">
        <f t="shared" si="393"/>
        <v>1.8643248409971784</v>
      </c>
    </row>
    <row r="320" spans="1:49" ht="30" x14ac:dyDescent="0.25">
      <c r="A320" s="339">
        <v>2341</v>
      </c>
      <c r="B320" s="340" t="s">
        <v>155</v>
      </c>
      <c r="C320" s="367">
        <f t="shared" ref="C320" si="449">+C321+C322+C323+C324+C325+C326+C327+C328</f>
        <v>753995798</v>
      </c>
      <c r="D320" s="367">
        <f t="shared" ref="D320:AJ320" si="450">+D321+D322+D323+D324+D325+D326+D327+D328</f>
        <v>0</v>
      </c>
      <c r="E320" s="367">
        <f t="shared" si="450"/>
        <v>380574006</v>
      </c>
      <c r="F320" s="367">
        <f t="shared" si="450"/>
        <v>343492005.03999996</v>
      </c>
      <c r="G320" s="367">
        <f t="shared" si="450"/>
        <v>716913797.03999996</v>
      </c>
      <c r="H320" s="367">
        <f t="shared" si="450"/>
        <v>753995798</v>
      </c>
      <c r="I320" s="367">
        <f t="shared" si="450"/>
        <v>0</v>
      </c>
      <c r="J320" s="367">
        <f t="shared" si="450"/>
        <v>180000000</v>
      </c>
      <c r="K320" s="367">
        <f t="shared" si="450"/>
        <v>40000000</v>
      </c>
      <c r="L320" s="367">
        <f t="shared" si="450"/>
        <v>0</v>
      </c>
      <c r="M320" s="367">
        <f t="shared" si="450"/>
        <v>150000000</v>
      </c>
      <c r="N320" s="367">
        <f t="shared" si="450"/>
        <v>0</v>
      </c>
      <c r="O320" s="367">
        <f t="shared" si="450"/>
        <v>3421792</v>
      </c>
      <c r="P320" s="367">
        <f t="shared" si="450"/>
        <v>85873001.25999999</v>
      </c>
      <c r="Q320" s="367">
        <f t="shared" si="450"/>
        <v>85873001.25999999</v>
      </c>
      <c r="R320" s="367">
        <f t="shared" si="450"/>
        <v>85873001.25999999</v>
      </c>
      <c r="S320" s="367">
        <f t="shared" si="450"/>
        <v>85873001.25999999</v>
      </c>
      <c r="T320" s="367">
        <f t="shared" si="450"/>
        <v>0</v>
      </c>
      <c r="U320" s="418">
        <f t="shared" si="397"/>
        <v>631040795.77999997</v>
      </c>
      <c r="V320" s="367">
        <f t="shared" si="450"/>
        <v>716913797.03999996</v>
      </c>
      <c r="W320" s="367">
        <f t="shared" si="450"/>
        <v>716913797.03999996</v>
      </c>
      <c r="X320" s="367">
        <f t="shared" si="450"/>
        <v>0</v>
      </c>
      <c r="Y320" s="367">
        <f t="shared" si="450"/>
        <v>0</v>
      </c>
      <c r="Z320" s="367">
        <f t="shared" si="450"/>
        <v>0</v>
      </c>
      <c r="AA320" s="367">
        <f t="shared" si="450"/>
        <v>773500</v>
      </c>
      <c r="AB320" s="367">
        <f t="shared" si="450"/>
        <v>0</v>
      </c>
      <c r="AC320" s="367">
        <f t="shared" si="450"/>
        <v>4300000</v>
      </c>
      <c r="AD320" s="367">
        <f t="shared" si="450"/>
        <v>9031130</v>
      </c>
      <c r="AE320" s="367">
        <f t="shared" si="450"/>
        <v>8031130</v>
      </c>
      <c r="AF320" s="367">
        <f t="shared" si="450"/>
        <v>8031130</v>
      </c>
      <c r="AG320" s="367">
        <f t="shared" si="450"/>
        <v>18058128.640000001</v>
      </c>
      <c r="AH320" s="367">
        <f t="shared" si="450"/>
        <v>12592686</v>
      </c>
      <c r="AI320" s="367">
        <f t="shared" si="450"/>
        <v>28234670.039999999</v>
      </c>
      <c r="AJ320" s="367">
        <f t="shared" si="450"/>
        <v>156915796</v>
      </c>
      <c r="AK320" s="367">
        <f>+AK321+AK322+AK323+AK324+AK325+AK326+AK327+AK328</f>
        <v>245968170.67999998</v>
      </c>
      <c r="AL320" s="387"/>
      <c r="AM320" s="398" t="e">
        <f t="shared" si="383"/>
        <v>#DIV/0!</v>
      </c>
      <c r="AN320" s="398">
        <f t="shared" si="384"/>
        <v>-1</v>
      </c>
      <c r="AO320" s="398">
        <f t="shared" si="385"/>
        <v>-0.89249999999999996</v>
      </c>
      <c r="AP320" s="398" t="e">
        <f t="shared" si="386"/>
        <v>#DIV/0!</v>
      </c>
      <c r="AQ320" s="398">
        <f t="shared" si="387"/>
        <v>-0.94645913333333331</v>
      </c>
      <c r="AR320" s="398" t="e">
        <f t="shared" si="388"/>
        <v>#DIV/0!</v>
      </c>
      <c r="AS320" s="398">
        <f t="shared" si="389"/>
        <v>4.2773893445305857</v>
      </c>
      <c r="AT320" s="398">
        <f t="shared" si="390"/>
        <v>-0.85335686635811425</v>
      </c>
      <c r="AU320" s="398">
        <f t="shared" si="391"/>
        <v>-0.67120434099521997</v>
      </c>
      <c r="AV320" s="398">
        <f t="shared" si="392"/>
        <v>0.82730070799437683</v>
      </c>
      <c r="AW320" s="398">
        <f t="shared" si="393"/>
        <v>1.8643248409971784</v>
      </c>
    </row>
    <row r="321" spans="1:49" x14ac:dyDescent="0.25">
      <c r="A321" s="341">
        <v>23411</v>
      </c>
      <c r="B321" s="342" t="s">
        <v>629</v>
      </c>
      <c r="C321" s="368">
        <v>15000000</v>
      </c>
      <c r="D321" s="368">
        <v>0</v>
      </c>
      <c r="E321" s="368">
        <v>0</v>
      </c>
      <c r="F321" s="368">
        <v>0</v>
      </c>
      <c r="G321" s="368">
        <f t="shared" ref="G321:G328" si="451">+C321+D321-E321+F321</f>
        <v>15000000</v>
      </c>
      <c r="H321" s="58">
        <v>15000000</v>
      </c>
      <c r="I321" s="210">
        <v>0</v>
      </c>
      <c r="J321" s="210">
        <v>0</v>
      </c>
      <c r="K321" s="210">
        <v>15000000</v>
      </c>
      <c r="L321" s="210">
        <v>0</v>
      </c>
      <c r="M321" s="210">
        <v>0</v>
      </c>
      <c r="N321" s="210">
        <v>0</v>
      </c>
      <c r="O321" s="210">
        <v>0</v>
      </c>
      <c r="P321" s="210">
        <v>0</v>
      </c>
      <c r="Q321" s="210">
        <v>0</v>
      </c>
      <c r="R321" s="210">
        <v>0</v>
      </c>
      <c r="S321" s="210">
        <v>0</v>
      </c>
      <c r="T321" s="210">
        <v>0</v>
      </c>
      <c r="U321" s="412">
        <f t="shared" si="397"/>
        <v>15000000</v>
      </c>
      <c r="V321" s="58">
        <f>SUM(I321:T321)</f>
        <v>15000000</v>
      </c>
      <c r="W321" s="396">
        <f t="shared" si="394"/>
        <v>15000000</v>
      </c>
      <c r="X321" s="396">
        <f t="shared" si="395"/>
        <v>0</v>
      </c>
      <c r="Y321" s="396"/>
      <c r="AA321" s="210">
        <v>0</v>
      </c>
      <c r="AB321" s="210">
        <v>0</v>
      </c>
      <c r="AC321" s="210">
        <v>0</v>
      </c>
      <c r="AD321" s="210">
        <v>0</v>
      </c>
      <c r="AE321" s="210">
        <v>0</v>
      </c>
      <c r="AF321" s="210">
        <v>0</v>
      </c>
      <c r="AG321" s="210">
        <v>0</v>
      </c>
      <c r="AH321" s="368">
        <v>0</v>
      </c>
      <c r="AI321" s="368">
        <v>0</v>
      </c>
      <c r="AJ321" s="368">
        <v>0</v>
      </c>
      <c r="AK321" s="210">
        <f t="shared" si="396"/>
        <v>0</v>
      </c>
      <c r="AL321" s="387"/>
      <c r="AM321" s="404" t="e">
        <f t="shared" si="383"/>
        <v>#DIV/0!</v>
      </c>
      <c r="AN321" s="404" t="e">
        <f t="shared" si="384"/>
        <v>#DIV/0!</v>
      </c>
      <c r="AO321" s="404">
        <f t="shared" si="385"/>
        <v>-1</v>
      </c>
      <c r="AP321" s="404" t="e">
        <f t="shared" si="386"/>
        <v>#DIV/0!</v>
      </c>
      <c r="AQ321" s="404" t="e">
        <f t="shared" si="387"/>
        <v>#DIV/0!</v>
      </c>
      <c r="AR321" s="404" t="e">
        <f t="shared" si="388"/>
        <v>#DIV/0!</v>
      </c>
      <c r="AS321" s="404" t="e">
        <f t="shared" si="389"/>
        <v>#DIV/0!</v>
      </c>
      <c r="AT321" s="404" t="e">
        <f t="shared" si="390"/>
        <v>#DIV/0!</v>
      </c>
      <c r="AU321" s="404" t="e">
        <f t="shared" si="391"/>
        <v>#DIV/0!</v>
      </c>
      <c r="AV321" s="404" t="e">
        <f t="shared" si="392"/>
        <v>#DIV/0!</v>
      </c>
      <c r="AW321" s="404" t="e">
        <f t="shared" si="393"/>
        <v>#DIV/0!</v>
      </c>
    </row>
    <row r="322" spans="1:49" x14ac:dyDescent="0.25">
      <c r="A322" s="341">
        <v>23412</v>
      </c>
      <c r="B322" s="342" t="s">
        <v>630</v>
      </c>
      <c r="C322" s="368">
        <v>180000000</v>
      </c>
      <c r="D322" s="368">
        <v>0</v>
      </c>
      <c r="E322" s="368">
        <v>0</v>
      </c>
      <c r="F322" s="368">
        <v>0</v>
      </c>
      <c r="G322" s="368">
        <f t="shared" si="451"/>
        <v>180000000</v>
      </c>
      <c r="H322" s="58">
        <v>180000000</v>
      </c>
      <c r="I322" s="210">
        <v>0</v>
      </c>
      <c r="J322" s="210">
        <v>180000000</v>
      </c>
      <c r="K322" s="210">
        <v>0</v>
      </c>
      <c r="L322" s="210">
        <v>0</v>
      </c>
      <c r="M322" s="210">
        <v>0</v>
      </c>
      <c r="N322" s="210">
        <v>0</v>
      </c>
      <c r="O322" s="210">
        <v>0</v>
      </c>
      <c r="P322" s="210">
        <v>0</v>
      </c>
      <c r="Q322" s="210">
        <v>0</v>
      </c>
      <c r="R322" s="210">
        <v>0</v>
      </c>
      <c r="S322" s="210">
        <v>0</v>
      </c>
      <c r="T322" s="210">
        <v>0</v>
      </c>
      <c r="U322" s="412">
        <f t="shared" si="397"/>
        <v>180000000</v>
      </c>
      <c r="V322" s="58">
        <f>SUM(I322:T322)</f>
        <v>180000000</v>
      </c>
      <c r="W322" s="396">
        <f t="shared" si="394"/>
        <v>180000000</v>
      </c>
      <c r="X322" s="396">
        <f t="shared" si="395"/>
        <v>0</v>
      </c>
      <c r="Y322" s="396"/>
      <c r="AA322" s="210">
        <v>0</v>
      </c>
      <c r="AB322" s="210">
        <v>0</v>
      </c>
      <c r="AC322" s="210">
        <v>4300000</v>
      </c>
      <c r="AD322" s="210">
        <v>9031130</v>
      </c>
      <c r="AE322" s="210">
        <v>8031130</v>
      </c>
      <c r="AF322" s="210">
        <v>8031130</v>
      </c>
      <c r="AG322" s="210">
        <v>15958128.640000001</v>
      </c>
      <c r="AH322" s="368">
        <v>7531129</v>
      </c>
      <c r="AI322" s="368">
        <v>12531130</v>
      </c>
      <c r="AJ322" s="368">
        <v>28436079</v>
      </c>
      <c r="AK322" s="210">
        <f t="shared" si="396"/>
        <v>93849856.640000001</v>
      </c>
      <c r="AL322" s="387"/>
      <c r="AM322" s="404" t="e">
        <f t="shared" ref="AM322:AM385" si="452">(AA322-I322)/I322</f>
        <v>#DIV/0!</v>
      </c>
      <c r="AN322" s="404">
        <f t="shared" ref="AN322:AN385" si="453">(AB322-J322)/J322</f>
        <v>-1</v>
      </c>
      <c r="AO322" s="404" t="e">
        <f t="shared" ref="AO322:AO385" si="454">(AC322-K322)/K322</f>
        <v>#DIV/0!</v>
      </c>
      <c r="AP322" s="404" t="e">
        <f t="shared" ref="AP322:AP385" si="455">(AD322-L322)/L322</f>
        <v>#DIV/0!</v>
      </c>
      <c r="AQ322" s="404" t="e">
        <f t="shared" ref="AQ322:AQ385" si="456">(AE322-M322)/M322</f>
        <v>#DIV/0!</v>
      </c>
      <c r="AR322" s="404" t="e">
        <f t="shared" ref="AR322:AR385" si="457">(AF322-N322)/N322</f>
        <v>#DIV/0!</v>
      </c>
      <c r="AS322" s="404" t="e">
        <f t="shared" ref="AS322:AS385" si="458">(AG322-O322)/O322</f>
        <v>#DIV/0!</v>
      </c>
      <c r="AT322" s="404" t="e">
        <f t="shared" ref="AT322:AT385" si="459">(AH322-P322)/P322</f>
        <v>#DIV/0!</v>
      </c>
      <c r="AU322" s="404" t="e">
        <f t="shared" ref="AU322:AU385" si="460">(AI322-Q322)/Q322</f>
        <v>#DIV/0!</v>
      </c>
      <c r="AV322" s="404" t="e">
        <f t="shared" ref="AV322:AV385" si="461">(AJ322-R322)/R322</f>
        <v>#DIV/0!</v>
      </c>
      <c r="AW322" s="404" t="e">
        <f t="shared" ref="AW322:AW385" si="462">(AK322-S322)/S322</f>
        <v>#DIV/0!</v>
      </c>
    </row>
    <row r="323" spans="1:49" x14ac:dyDescent="0.25">
      <c r="A323" s="341">
        <v>23413</v>
      </c>
      <c r="B323" s="342" t="s">
        <v>631</v>
      </c>
      <c r="C323" s="384">
        <v>533995798</v>
      </c>
      <c r="D323" s="368">
        <v>0</v>
      </c>
      <c r="E323" s="368">
        <v>380574006</v>
      </c>
      <c r="F323" s="368">
        <v>0</v>
      </c>
      <c r="G323" s="368">
        <f t="shared" si="451"/>
        <v>153421792</v>
      </c>
      <c r="H323" s="58">
        <v>533995798</v>
      </c>
      <c r="I323" s="210">
        <v>0</v>
      </c>
      <c r="J323" s="210">
        <v>0</v>
      </c>
      <c r="K323" s="210"/>
      <c r="L323" s="210">
        <v>0</v>
      </c>
      <c r="M323" s="210">
        <v>150000000</v>
      </c>
      <c r="N323" s="210">
        <v>0</v>
      </c>
      <c r="O323" s="210">
        <v>3421792</v>
      </c>
      <c r="P323" s="210"/>
      <c r="Q323" s="210">
        <v>0</v>
      </c>
      <c r="R323" s="210">
        <v>0</v>
      </c>
      <c r="S323" s="210">
        <v>0</v>
      </c>
      <c r="T323" s="210">
        <v>0</v>
      </c>
      <c r="U323" s="412">
        <f t="shared" si="397"/>
        <v>153421792</v>
      </c>
      <c r="V323" s="58">
        <f t="shared" ref="V323:V328" si="463">SUM(I323:T323)</f>
        <v>153421792</v>
      </c>
      <c r="W323" s="396">
        <f t="shared" ref="W323:W386" si="464">+G323</f>
        <v>153421792</v>
      </c>
      <c r="X323" s="396">
        <f t="shared" ref="X323:X386" si="465">+W323-V323</f>
        <v>0</v>
      </c>
      <c r="Y323" s="396"/>
      <c r="AA323" s="210">
        <v>0</v>
      </c>
      <c r="AB323" s="210">
        <v>0</v>
      </c>
      <c r="AC323" s="210">
        <v>0</v>
      </c>
      <c r="AD323" s="210">
        <v>0</v>
      </c>
      <c r="AE323" s="210">
        <v>0</v>
      </c>
      <c r="AF323" s="210">
        <v>0</v>
      </c>
      <c r="AG323" s="210">
        <v>0</v>
      </c>
      <c r="AH323" s="368">
        <v>0</v>
      </c>
      <c r="AI323" s="368">
        <v>0</v>
      </c>
      <c r="AJ323" s="368">
        <v>128479717</v>
      </c>
      <c r="AK323" s="210">
        <f t="shared" si="396"/>
        <v>128479717</v>
      </c>
      <c r="AL323" s="387"/>
      <c r="AM323" s="404" t="e">
        <f t="shared" si="452"/>
        <v>#DIV/0!</v>
      </c>
      <c r="AN323" s="404" t="e">
        <f t="shared" si="453"/>
        <v>#DIV/0!</v>
      </c>
      <c r="AO323" s="404" t="e">
        <f t="shared" si="454"/>
        <v>#DIV/0!</v>
      </c>
      <c r="AP323" s="404" t="e">
        <f t="shared" si="455"/>
        <v>#DIV/0!</v>
      </c>
      <c r="AQ323" s="404">
        <f t="shared" si="456"/>
        <v>-1</v>
      </c>
      <c r="AR323" s="404" t="e">
        <f t="shared" si="457"/>
        <v>#DIV/0!</v>
      </c>
      <c r="AS323" s="404">
        <f t="shared" si="458"/>
        <v>-1</v>
      </c>
      <c r="AT323" s="404" t="e">
        <f t="shared" si="459"/>
        <v>#DIV/0!</v>
      </c>
      <c r="AU323" s="404" t="e">
        <f t="shared" si="460"/>
        <v>#DIV/0!</v>
      </c>
      <c r="AV323" s="404" t="e">
        <f t="shared" si="461"/>
        <v>#DIV/0!</v>
      </c>
      <c r="AW323" s="404" t="e">
        <f t="shared" si="462"/>
        <v>#DIV/0!</v>
      </c>
    </row>
    <row r="324" spans="1:49" x14ac:dyDescent="0.25">
      <c r="A324" s="341">
        <v>23415</v>
      </c>
      <c r="B324" s="342" t="s">
        <v>632</v>
      </c>
      <c r="C324" s="368">
        <v>25000000</v>
      </c>
      <c r="D324" s="368">
        <v>0</v>
      </c>
      <c r="E324" s="368">
        <v>0</v>
      </c>
      <c r="F324" s="368">
        <v>0</v>
      </c>
      <c r="G324" s="368">
        <f t="shared" si="451"/>
        <v>25000000</v>
      </c>
      <c r="H324" s="58">
        <v>25000000</v>
      </c>
      <c r="I324" s="210">
        <v>0</v>
      </c>
      <c r="J324" s="210">
        <v>0</v>
      </c>
      <c r="K324" s="210">
        <v>25000000</v>
      </c>
      <c r="L324" s="210">
        <v>0</v>
      </c>
      <c r="M324" s="210">
        <v>0</v>
      </c>
      <c r="N324" s="210">
        <v>0</v>
      </c>
      <c r="O324" s="210">
        <v>0</v>
      </c>
      <c r="P324" s="210">
        <v>0</v>
      </c>
      <c r="Q324" s="210">
        <v>0</v>
      </c>
      <c r="R324" s="210">
        <v>0</v>
      </c>
      <c r="S324" s="210">
        <v>0</v>
      </c>
      <c r="T324" s="210">
        <v>0</v>
      </c>
      <c r="U324" s="412">
        <f t="shared" si="397"/>
        <v>25000000</v>
      </c>
      <c r="V324" s="58">
        <f t="shared" si="463"/>
        <v>25000000</v>
      </c>
      <c r="W324" s="396">
        <f t="shared" si="464"/>
        <v>25000000</v>
      </c>
      <c r="X324" s="396">
        <f t="shared" si="465"/>
        <v>0</v>
      </c>
      <c r="Y324" s="396"/>
      <c r="AA324" s="210">
        <v>773500</v>
      </c>
      <c r="AB324" s="210">
        <v>0</v>
      </c>
      <c r="AC324" s="210">
        <v>0</v>
      </c>
      <c r="AD324" s="210">
        <v>0</v>
      </c>
      <c r="AE324" s="210">
        <v>0</v>
      </c>
      <c r="AF324" s="210">
        <v>0</v>
      </c>
      <c r="AG324" s="210">
        <v>0</v>
      </c>
      <c r="AH324" s="368">
        <v>0</v>
      </c>
      <c r="AI324" s="368">
        <v>0</v>
      </c>
      <c r="AJ324" s="368">
        <v>0</v>
      </c>
      <c r="AK324" s="210">
        <f t="shared" si="396"/>
        <v>773500</v>
      </c>
      <c r="AL324" s="387"/>
      <c r="AM324" s="404" t="e">
        <f t="shared" si="452"/>
        <v>#DIV/0!</v>
      </c>
      <c r="AN324" s="404" t="e">
        <f t="shared" si="453"/>
        <v>#DIV/0!</v>
      </c>
      <c r="AO324" s="404">
        <f t="shared" si="454"/>
        <v>-1</v>
      </c>
      <c r="AP324" s="404" t="e">
        <f t="shared" si="455"/>
        <v>#DIV/0!</v>
      </c>
      <c r="AQ324" s="404" t="e">
        <f t="shared" si="456"/>
        <v>#DIV/0!</v>
      </c>
      <c r="AR324" s="404" t="e">
        <f t="shared" si="457"/>
        <v>#DIV/0!</v>
      </c>
      <c r="AS324" s="404" t="e">
        <f t="shared" si="458"/>
        <v>#DIV/0!</v>
      </c>
      <c r="AT324" s="404" t="e">
        <f t="shared" si="459"/>
        <v>#DIV/0!</v>
      </c>
      <c r="AU324" s="404" t="e">
        <f t="shared" si="460"/>
        <v>#DIV/0!</v>
      </c>
      <c r="AV324" s="404" t="e">
        <f t="shared" si="461"/>
        <v>#DIV/0!</v>
      </c>
      <c r="AW324" s="404" t="e">
        <f t="shared" si="462"/>
        <v>#DIV/0!</v>
      </c>
    </row>
    <row r="325" spans="1:49" ht="30" x14ac:dyDescent="0.25">
      <c r="A325" s="341">
        <v>23416</v>
      </c>
      <c r="B325" s="342" t="s">
        <v>897</v>
      </c>
      <c r="C325" s="368"/>
      <c r="D325" s="368"/>
      <c r="E325" s="368"/>
      <c r="F325" s="368">
        <v>25003040.039999999</v>
      </c>
      <c r="G325" s="368">
        <f t="shared" si="451"/>
        <v>25003040.039999999</v>
      </c>
      <c r="H325" s="58"/>
      <c r="I325" s="210"/>
      <c r="J325" s="210"/>
      <c r="K325" s="210"/>
      <c r="L325" s="210"/>
      <c r="M325" s="210"/>
      <c r="N325" s="210"/>
      <c r="O325" s="210"/>
      <c r="P325" s="210">
        <v>6250760.0099999998</v>
      </c>
      <c r="Q325" s="210">
        <v>6250760.0099999998</v>
      </c>
      <c r="R325" s="210">
        <v>6250760.0099999998</v>
      </c>
      <c r="S325" s="210">
        <v>6250760.0099999998</v>
      </c>
      <c r="T325" s="210"/>
      <c r="U325" s="412">
        <f t="shared" si="397"/>
        <v>18752280.030000001</v>
      </c>
      <c r="V325" s="58">
        <f t="shared" si="463"/>
        <v>25003040.039999999</v>
      </c>
      <c r="W325" s="396">
        <f t="shared" si="464"/>
        <v>25003040.039999999</v>
      </c>
      <c r="X325" s="396">
        <f t="shared" si="465"/>
        <v>0</v>
      </c>
      <c r="Y325" s="396">
        <f>+X325/4</f>
        <v>0</v>
      </c>
      <c r="AA325" s="210"/>
      <c r="AB325" s="210"/>
      <c r="AC325" s="210"/>
      <c r="AD325" s="210"/>
      <c r="AE325" s="210">
        <v>0</v>
      </c>
      <c r="AF325" s="210">
        <v>0</v>
      </c>
      <c r="AG325" s="210">
        <v>2100000</v>
      </c>
      <c r="AH325" s="368">
        <v>0</v>
      </c>
      <c r="AI325" s="368">
        <v>15703540.039999999</v>
      </c>
      <c r="AJ325" s="368">
        <v>0</v>
      </c>
      <c r="AK325" s="210">
        <f t="shared" si="396"/>
        <v>17803540.039999999</v>
      </c>
      <c r="AL325" s="387"/>
      <c r="AM325" s="404" t="e">
        <f t="shared" si="452"/>
        <v>#DIV/0!</v>
      </c>
      <c r="AN325" s="404" t="e">
        <f t="shared" si="453"/>
        <v>#DIV/0!</v>
      </c>
      <c r="AO325" s="404" t="e">
        <f t="shared" si="454"/>
        <v>#DIV/0!</v>
      </c>
      <c r="AP325" s="404" t="e">
        <f t="shared" si="455"/>
        <v>#DIV/0!</v>
      </c>
      <c r="AQ325" s="404" t="e">
        <f t="shared" si="456"/>
        <v>#DIV/0!</v>
      </c>
      <c r="AR325" s="404" t="e">
        <f t="shared" si="457"/>
        <v>#DIV/0!</v>
      </c>
      <c r="AS325" s="404" t="e">
        <f t="shared" si="458"/>
        <v>#DIV/0!</v>
      </c>
      <c r="AT325" s="404">
        <f t="shared" si="459"/>
        <v>-1</v>
      </c>
      <c r="AU325" s="404">
        <f t="shared" si="460"/>
        <v>1.5122609114535497</v>
      </c>
      <c r="AV325" s="404">
        <f t="shared" si="461"/>
        <v>-1</v>
      </c>
      <c r="AW325" s="404">
        <f t="shared" si="462"/>
        <v>1.8482200582837605</v>
      </c>
    </row>
    <row r="326" spans="1:49" ht="30" x14ac:dyDescent="0.25">
      <c r="A326" s="341">
        <v>23417</v>
      </c>
      <c r="B326" s="342" t="s">
        <v>898</v>
      </c>
      <c r="C326" s="368"/>
      <c r="D326" s="368"/>
      <c r="E326" s="368"/>
      <c r="F326" s="368">
        <v>165542747</v>
      </c>
      <c r="G326" s="368">
        <f t="shared" si="451"/>
        <v>165542747</v>
      </c>
      <c r="H326" s="58"/>
      <c r="I326" s="210"/>
      <c r="J326" s="210"/>
      <c r="K326" s="210"/>
      <c r="L326" s="210"/>
      <c r="M326" s="210"/>
      <c r="N326" s="210"/>
      <c r="O326" s="210"/>
      <c r="P326" s="210">
        <v>41385686.75</v>
      </c>
      <c r="Q326" s="210">
        <v>41385686.75</v>
      </c>
      <c r="R326" s="210">
        <v>41385686.75</v>
      </c>
      <c r="S326" s="210">
        <v>41385686.75</v>
      </c>
      <c r="T326" s="210"/>
      <c r="U326" s="412">
        <f t="shared" si="397"/>
        <v>124157060.25</v>
      </c>
      <c r="V326" s="58">
        <f t="shared" si="463"/>
        <v>165542747</v>
      </c>
      <c r="W326" s="396">
        <f t="shared" si="464"/>
        <v>165542747</v>
      </c>
      <c r="X326" s="396">
        <f t="shared" si="465"/>
        <v>0</v>
      </c>
      <c r="Y326" s="396">
        <f t="shared" ref="Y326:Y328" si="466">+X326/4</f>
        <v>0</v>
      </c>
      <c r="AA326" s="210"/>
      <c r="AB326" s="210"/>
      <c r="AC326" s="210"/>
      <c r="AD326" s="210"/>
      <c r="AE326" s="210">
        <v>0</v>
      </c>
      <c r="AF326" s="210">
        <v>0</v>
      </c>
      <c r="AG326" s="210">
        <v>0</v>
      </c>
      <c r="AH326" s="368">
        <v>0</v>
      </c>
      <c r="AI326" s="368">
        <v>0</v>
      </c>
      <c r="AJ326" s="368">
        <v>0</v>
      </c>
      <c r="AK326" s="210">
        <f t="shared" si="396"/>
        <v>0</v>
      </c>
      <c r="AL326" s="387"/>
      <c r="AM326" s="404" t="e">
        <f t="shared" si="452"/>
        <v>#DIV/0!</v>
      </c>
      <c r="AN326" s="404" t="e">
        <f t="shared" si="453"/>
        <v>#DIV/0!</v>
      </c>
      <c r="AO326" s="404" t="e">
        <f t="shared" si="454"/>
        <v>#DIV/0!</v>
      </c>
      <c r="AP326" s="404" t="e">
        <f t="shared" si="455"/>
        <v>#DIV/0!</v>
      </c>
      <c r="AQ326" s="404" t="e">
        <f t="shared" si="456"/>
        <v>#DIV/0!</v>
      </c>
      <c r="AR326" s="404" t="e">
        <f t="shared" si="457"/>
        <v>#DIV/0!</v>
      </c>
      <c r="AS326" s="404" t="e">
        <f t="shared" si="458"/>
        <v>#DIV/0!</v>
      </c>
      <c r="AT326" s="404">
        <f t="shared" si="459"/>
        <v>-1</v>
      </c>
      <c r="AU326" s="404">
        <f t="shared" si="460"/>
        <v>-1</v>
      </c>
      <c r="AV326" s="404">
        <f t="shared" si="461"/>
        <v>-1</v>
      </c>
      <c r="AW326" s="404">
        <f t="shared" si="462"/>
        <v>-1</v>
      </c>
    </row>
    <row r="327" spans="1:49" x14ac:dyDescent="0.25">
      <c r="A327" s="341">
        <v>23418</v>
      </c>
      <c r="B327" s="342" t="s">
        <v>899</v>
      </c>
      <c r="C327" s="368"/>
      <c r="D327" s="368"/>
      <c r="E327" s="368"/>
      <c r="F327" s="368">
        <v>110000000</v>
      </c>
      <c r="G327" s="368">
        <f t="shared" si="451"/>
        <v>110000000</v>
      </c>
      <c r="H327" s="58"/>
      <c r="I327" s="210"/>
      <c r="J327" s="210"/>
      <c r="K327" s="210"/>
      <c r="L327" s="210"/>
      <c r="M327" s="210"/>
      <c r="N327" s="210"/>
      <c r="O327" s="210"/>
      <c r="P327" s="210">
        <v>27500000</v>
      </c>
      <c r="Q327" s="210">
        <v>27500000</v>
      </c>
      <c r="R327" s="210">
        <v>27500000</v>
      </c>
      <c r="S327" s="210">
        <v>27500000</v>
      </c>
      <c r="T327" s="210"/>
      <c r="U327" s="412">
        <f t="shared" si="397"/>
        <v>82500000</v>
      </c>
      <c r="V327" s="58">
        <f t="shared" si="463"/>
        <v>110000000</v>
      </c>
      <c r="W327" s="396">
        <f t="shared" si="464"/>
        <v>110000000</v>
      </c>
      <c r="X327" s="396">
        <f t="shared" si="465"/>
        <v>0</v>
      </c>
      <c r="Y327" s="396">
        <f t="shared" si="466"/>
        <v>0</v>
      </c>
      <c r="AA327" s="210"/>
      <c r="AB327" s="210"/>
      <c r="AC327" s="210"/>
      <c r="AD327" s="210"/>
      <c r="AE327" s="210">
        <v>0</v>
      </c>
      <c r="AF327" s="210">
        <v>0</v>
      </c>
      <c r="AG327" s="210">
        <v>0</v>
      </c>
      <c r="AH327" s="368">
        <v>0</v>
      </c>
      <c r="AI327" s="368">
        <v>0</v>
      </c>
      <c r="AJ327" s="368">
        <v>0</v>
      </c>
      <c r="AK327" s="210">
        <f t="shared" si="396"/>
        <v>0</v>
      </c>
      <c r="AL327" s="387"/>
      <c r="AM327" s="404" t="e">
        <f t="shared" si="452"/>
        <v>#DIV/0!</v>
      </c>
      <c r="AN327" s="404" t="e">
        <f t="shared" si="453"/>
        <v>#DIV/0!</v>
      </c>
      <c r="AO327" s="404" t="e">
        <f t="shared" si="454"/>
        <v>#DIV/0!</v>
      </c>
      <c r="AP327" s="404" t="e">
        <f t="shared" si="455"/>
        <v>#DIV/0!</v>
      </c>
      <c r="AQ327" s="404" t="e">
        <f t="shared" si="456"/>
        <v>#DIV/0!</v>
      </c>
      <c r="AR327" s="404" t="e">
        <f t="shared" si="457"/>
        <v>#DIV/0!</v>
      </c>
      <c r="AS327" s="404" t="e">
        <f t="shared" si="458"/>
        <v>#DIV/0!</v>
      </c>
      <c r="AT327" s="404">
        <f t="shared" si="459"/>
        <v>-1</v>
      </c>
      <c r="AU327" s="404">
        <f t="shared" si="460"/>
        <v>-1</v>
      </c>
      <c r="AV327" s="404">
        <f t="shared" si="461"/>
        <v>-1</v>
      </c>
      <c r="AW327" s="404">
        <f t="shared" si="462"/>
        <v>-1</v>
      </c>
    </row>
    <row r="328" spans="1:49" x14ac:dyDescent="0.25">
      <c r="A328" s="341">
        <v>23419</v>
      </c>
      <c r="B328" s="342" t="s">
        <v>900</v>
      </c>
      <c r="C328" s="368"/>
      <c r="D328" s="368"/>
      <c r="E328" s="368"/>
      <c r="F328" s="368">
        <v>42946218</v>
      </c>
      <c r="G328" s="368">
        <f t="shared" si="451"/>
        <v>42946218</v>
      </c>
      <c r="H328" s="58"/>
      <c r="I328" s="210"/>
      <c r="J328" s="210"/>
      <c r="K328" s="210"/>
      <c r="L328" s="210"/>
      <c r="M328" s="210"/>
      <c r="N328" s="210"/>
      <c r="O328" s="210"/>
      <c r="P328" s="210">
        <v>10736554.5</v>
      </c>
      <c r="Q328" s="210">
        <v>10736554.5</v>
      </c>
      <c r="R328" s="210">
        <v>10736554.5</v>
      </c>
      <c r="S328" s="210">
        <v>10736554.5</v>
      </c>
      <c r="T328" s="210"/>
      <c r="U328" s="412">
        <f t="shared" si="397"/>
        <v>32209663.5</v>
      </c>
      <c r="V328" s="58">
        <f t="shared" si="463"/>
        <v>42946218</v>
      </c>
      <c r="W328" s="396">
        <f t="shared" si="464"/>
        <v>42946218</v>
      </c>
      <c r="X328" s="396">
        <f t="shared" si="465"/>
        <v>0</v>
      </c>
      <c r="Y328" s="396">
        <f t="shared" si="466"/>
        <v>0</v>
      </c>
      <c r="AA328" s="210"/>
      <c r="AB328" s="210"/>
      <c r="AC328" s="210"/>
      <c r="AD328" s="210"/>
      <c r="AE328" s="210"/>
      <c r="AF328" s="210">
        <v>0</v>
      </c>
      <c r="AG328" s="210">
        <v>0</v>
      </c>
      <c r="AH328" s="368">
        <v>5061557</v>
      </c>
      <c r="AI328" s="368">
        <v>0</v>
      </c>
      <c r="AJ328" s="368">
        <v>0</v>
      </c>
      <c r="AK328" s="210">
        <f t="shared" si="396"/>
        <v>5061557</v>
      </c>
      <c r="AL328" s="386"/>
      <c r="AM328" s="404" t="e">
        <f t="shared" si="452"/>
        <v>#DIV/0!</v>
      </c>
      <c r="AN328" s="404" t="e">
        <f t="shared" si="453"/>
        <v>#DIV/0!</v>
      </c>
      <c r="AO328" s="404" t="e">
        <f t="shared" si="454"/>
        <v>#DIV/0!</v>
      </c>
      <c r="AP328" s="404" t="e">
        <f t="shared" si="455"/>
        <v>#DIV/0!</v>
      </c>
      <c r="AQ328" s="404" t="e">
        <f t="shared" si="456"/>
        <v>#DIV/0!</v>
      </c>
      <c r="AR328" s="404" t="e">
        <f t="shared" si="457"/>
        <v>#DIV/0!</v>
      </c>
      <c r="AS328" s="404" t="e">
        <f t="shared" si="458"/>
        <v>#DIV/0!</v>
      </c>
      <c r="AT328" s="404">
        <f t="shared" si="459"/>
        <v>-0.52856784734804818</v>
      </c>
      <c r="AU328" s="404">
        <f t="shared" si="460"/>
        <v>-1</v>
      </c>
      <c r="AV328" s="404">
        <f t="shared" si="461"/>
        <v>-1</v>
      </c>
      <c r="AW328" s="404">
        <f t="shared" si="462"/>
        <v>-0.52856784734804818</v>
      </c>
    </row>
    <row r="329" spans="1:49" x14ac:dyDescent="0.25">
      <c r="A329" s="335">
        <v>2344</v>
      </c>
      <c r="B329" s="336" t="s">
        <v>156</v>
      </c>
      <c r="C329" s="365">
        <f>+C330</f>
        <v>1365809240</v>
      </c>
      <c r="D329" s="365">
        <f t="shared" ref="D329:G329" si="467">+D330</f>
        <v>0</v>
      </c>
      <c r="E329" s="365">
        <f t="shared" si="467"/>
        <v>0</v>
      </c>
      <c r="F329" s="365">
        <f t="shared" si="467"/>
        <v>0</v>
      </c>
      <c r="G329" s="365">
        <f t="shared" si="467"/>
        <v>1365809240</v>
      </c>
      <c r="H329" s="57">
        <f>+H330</f>
        <v>1365809240</v>
      </c>
      <c r="I329" s="204">
        <f t="shared" ref="I329:V329" si="468">+I330</f>
        <v>0</v>
      </c>
      <c r="J329" s="204">
        <f t="shared" si="468"/>
        <v>0</v>
      </c>
      <c r="K329" s="204">
        <f t="shared" si="468"/>
        <v>0</v>
      </c>
      <c r="L329" s="204">
        <f t="shared" si="468"/>
        <v>0</v>
      </c>
      <c r="M329" s="204">
        <f t="shared" si="468"/>
        <v>0</v>
      </c>
      <c r="N329" s="204">
        <f t="shared" si="468"/>
        <v>0</v>
      </c>
      <c r="O329" s="204">
        <f t="shared" si="468"/>
        <v>0</v>
      </c>
      <c r="P329" s="204">
        <f t="shared" si="468"/>
        <v>1365809240</v>
      </c>
      <c r="Q329" s="204">
        <f t="shared" si="468"/>
        <v>0</v>
      </c>
      <c r="R329" s="204">
        <f t="shared" si="468"/>
        <v>0</v>
      </c>
      <c r="S329" s="204">
        <f t="shared" si="468"/>
        <v>0</v>
      </c>
      <c r="T329" s="204">
        <f t="shared" si="468"/>
        <v>0</v>
      </c>
      <c r="U329" s="415">
        <f t="shared" si="397"/>
        <v>1365809240</v>
      </c>
      <c r="V329" s="57">
        <f t="shared" si="468"/>
        <v>1365809240</v>
      </c>
      <c r="W329" s="396">
        <f t="shared" si="464"/>
        <v>1365809240</v>
      </c>
      <c r="X329" s="396">
        <f t="shared" si="465"/>
        <v>0</v>
      </c>
      <c r="Y329" s="396"/>
      <c r="AA329" s="204">
        <v>0</v>
      </c>
      <c r="AB329" s="205">
        <v>0</v>
      </c>
      <c r="AC329" s="205">
        <v>0</v>
      </c>
      <c r="AD329" s="205">
        <v>0</v>
      </c>
      <c r="AE329" s="205">
        <v>0</v>
      </c>
      <c r="AF329" s="205">
        <v>0</v>
      </c>
      <c r="AG329" s="205">
        <v>0</v>
      </c>
      <c r="AH329" s="365">
        <v>0</v>
      </c>
      <c r="AI329" s="365">
        <v>0</v>
      </c>
      <c r="AJ329" s="365">
        <v>0</v>
      </c>
      <c r="AK329" s="205">
        <f t="shared" ref="AK329:AK392" si="469">SUM(AA329:AJ329)</f>
        <v>0</v>
      </c>
      <c r="AL329" s="386"/>
      <c r="AM329" s="407" t="e">
        <f t="shared" si="452"/>
        <v>#DIV/0!</v>
      </c>
      <c r="AN329" s="407" t="e">
        <f t="shared" si="453"/>
        <v>#DIV/0!</v>
      </c>
      <c r="AO329" s="407" t="e">
        <f t="shared" si="454"/>
        <v>#DIV/0!</v>
      </c>
      <c r="AP329" s="407" t="e">
        <f t="shared" si="455"/>
        <v>#DIV/0!</v>
      </c>
      <c r="AQ329" s="407" t="e">
        <f t="shared" si="456"/>
        <v>#DIV/0!</v>
      </c>
      <c r="AR329" s="407" t="e">
        <f t="shared" si="457"/>
        <v>#DIV/0!</v>
      </c>
      <c r="AS329" s="407" t="e">
        <f t="shared" si="458"/>
        <v>#DIV/0!</v>
      </c>
      <c r="AT329" s="407">
        <f t="shared" si="459"/>
        <v>-1</v>
      </c>
      <c r="AU329" s="407" t="e">
        <f t="shared" si="460"/>
        <v>#DIV/0!</v>
      </c>
      <c r="AV329" s="407" t="e">
        <f t="shared" si="461"/>
        <v>#DIV/0!</v>
      </c>
      <c r="AW329" s="407" t="e">
        <f t="shared" si="462"/>
        <v>#DIV/0!</v>
      </c>
    </row>
    <row r="330" spans="1:49" ht="30" x14ac:dyDescent="0.25">
      <c r="A330" s="341">
        <v>23442</v>
      </c>
      <c r="B330" s="342" t="s">
        <v>157</v>
      </c>
      <c r="C330" s="368">
        <v>1365809240</v>
      </c>
      <c r="D330" s="368"/>
      <c r="E330" s="368"/>
      <c r="F330" s="368"/>
      <c r="G330" s="368">
        <v>1365809240</v>
      </c>
      <c r="H330" s="58">
        <v>1365809240</v>
      </c>
      <c r="I330" s="208">
        <v>0</v>
      </c>
      <c r="J330" s="208">
        <v>0</v>
      </c>
      <c r="K330" s="208">
        <v>0</v>
      </c>
      <c r="L330" s="208">
        <v>0</v>
      </c>
      <c r="M330" s="208">
        <v>0</v>
      </c>
      <c r="N330" s="208">
        <v>0</v>
      </c>
      <c r="O330" s="208">
        <v>0</v>
      </c>
      <c r="P330" s="208">
        <v>1365809240</v>
      </c>
      <c r="Q330" s="208">
        <v>0</v>
      </c>
      <c r="R330" s="208">
        <v>0</v>
      </c>
      <c r="S330" s="208">
        <v>0</v>
      </c>
      <c r="T330" s="208">
        <v>0</v>
      </c>
      <c r="U330" s="413">
        <f t="shared" ref="U330:U393" si="470">SUM(I330:R330)</f>
        <v>1365809240</v>
      </c>
      <c r="V330" s="58">
        <f>SUM(I330:T330)</f>
        <v>1365809240</v>
      </c>
      <c r="W330" s="396">
        <f t="shared" si="464"/>
        <v>1365809240</v>
      </c>
      <c r="X330" s="396">
        <f t="shared" si="465"/>
        <v>0</v>
      </c>
      <c r="Y330" s="396"/>
      <c r="AA330" s="208">
        <v>0</v>
      </c>
      <c r="AB330" s="209">
        <v>0</v>
      </c>
      <c r="AC330" s="209">
        <v>0</v>
      </c>
      <c r="AD330" s="209"/>
      <c r="AE330" s="209">
        <v>0</v>
      </c>
      <c r="AF330" s="209">
        <v>0</v>
      </c>
      <c r="AG330" s="209">
        <v>0</v>
      </c>
      <c r="AH330" s="367">
        <v>0</v>
      </c>
      <c r="AI330" s="368">
        <v>0</v>
      </c>
      <c r="AJ330" s="368">
        <v>0</v>
      </c>
      <c r="AK330" s="209">
        <f t="shared" si="469"/>
        <v>0</v>
      </c>
      <c r="AL330" s="386"/>
      <c r="AM330" s="405" t="e">
        <f t="shared" si="452"/>
        <v>#DIV/0!</v>
      </c>
      <c r="AN330" s="405" t="e">
        <f t="shared" si="453"/>
        <v>#DIV/0!</v>
      </c>
      <c r="AO330" s="405" t="e">
        <f t="shared" si="454"/>
        <v>#DIV/0!</v>
      </c>
      <c r="AP330" s="405" t="e">
        <f t="shared" si="455"/>
        <v>#DIV/0!</v>
      </c>
      <c r="AQ330" s="405" t="e">
        <f t="shared" si="456"/>
        <v>#DIV/0!</v>
      </c>
      <c r="AR330" s="405" t="e">
        <f t="shared" si="457"/>
        <v>#DIV/0!</v>
      </c>
      <c r="AS330" s="405" t="e">
        <f t="shared" si="458"/>
        <v>#DIV/0!</v>
      </c>
      <c r="AT330" s="405">
        <f t="shared" si="459"/>
        <v>-1</v>
      </c>
      <c r="AU330" s="405" t="e">
        <f t="shared" si="460"/>
        <v>#DIV/0!</v>
      </c>
      <c r="AV330" s="405" t="e">
        <f t="shared" si="461"/>
        <v>#DIV/0!</v>
      </c>
      <c r="AW330" s="405" t="e">
        <f t="shared" si="462"/>
        <v>#DIV/0!</v>
      </c>
    </row>
    <row r="331" spans="1:49" x14ac:dyDescent="0.25">
      <c r="A331" s="335">
        <v>235</v>
      </c>
      <c r="B331" s="336" t="s">
        <v>158</v>
      </c>
      <c r="C331" s="365">
        <f>+C332+C344+C361+C373+C381+C383+C384+C385+C386+C387+C388+C389+C390+C391+C392+C393+C394+C395+C396+C397+C398+C399+C400+C401+C402+C403+C404+C405+C349+C406</f>
        <v>0</v>
      </c>
      <c r="D331" s="365">
        <f t="shared" ref="D331:AK331" si="471">+D332+D344+D361+D373+D381+D383+D384+D385+D386+D387+D388+D389+D390+D391+D392+D393+D394+D395+D396+D397+D398+D399+D400+D401+D402+D403+D404+D405+D349+D406</f>
        <v>5597351420</v>
      </c>
      <c r="E331" s="365">
        <f t="shared" si="471"/>
        <v>5597351420</v>
      </c>
      <c r="F331" s="365">
        <f t="shared" si="471"/>
        <v>13514493520.469999</v>
      </c>
      <c r="G331" s="365">
        <f t="shared" si="471"/>
        <v>13514493520.470001</v>
      </c>
      <c r="H331" s="365">
        <f t="shared" si="471"/>
        <v>11681480662.810001</v>
      </c>
      <c r="I331" s="365">
        <f t="shared" si="471"/>
        <v>0</v>
      </c>
      <c r="J331" s="365">
        <f t="shared" si="471"/>
        <v>623106249.89181817</v>
      </c>
      <c r="K331" s="365">
        <f t="shared" si="471"/>
        <v>716208722.92181814</v>
      </c>
      <c r="L331" s="365">
        <f t="shared" si="471"/>
        <v>527064078.92181826</v>
      </c>
      <c r="M331" s="365">
        <f t="shared" si="471"/>
        <v>527064078.92181826</v>
      </c>
      <c r="N331" s="365">
        <f t="shared" si="471"/>
        <v>527064078.92181826</v>
      </c>
      <c r="O331" s="365">
        <f t="shared" si="471"/>
        <v>1549621233.8334849</v>
      </c>
      <c r="P331" s="365">
        <f t="shared" si="471"/>
        <v>1695747228.6334848</v>
      </c>
      <c r="Q331" s="365">
        <f t="shared" si="471"/>
        <v>1695747228.6334848</v>
      </c>
      <c r="R331" s="365">
        <f t="shared" si="471"/>
        <v>1878067096.3301516</v>
      </c>
      <c r="S331" s="365">
        <f t="shared" si="471"/>
        <v>1897973987.3001516</v>
      </c>
      <c r="T331" s="365">
        <f t="shared" si="471"/>
        <v>1876829536.3001516</v>
      </c>
      <c r="U331" s="416">
        <f t="shared" si="470"/>
        <v>9739689997.009697</v>
      </c>
      <c r="V331" s="365">
        <f t="shared" si="471"/>
        <v>13514493520.610001</v>
      </c>
      <c r="W331" s="365">
        <f t="shared" si="471"/>
        <v>13514493520.470001</v>
      </c>
      <c r="X331" s="365">
        <f t="shared" si="471"/>
        <v>-0.14000056684017181</v>
      </c>
      <c r="Y331" s="365">
        <f t="shared" si="471"/>
        <v>181082307.66666666</v>
      </c>
      <c r="Z331" s="365">
        <f t="shared" si="471"/>
        <v>0</v>
      </c>
      <c r="AA331" s="365">
        <f t="shared" si="471"/>
        <v>0</v>
      </c>
      <c r="AB331" s="365">
        <f t="shared" si="471"/>
        <v>96814329</v>
      </c>
      <c r="AC331" s="365">
        <f t="shared" si="471"/>
        <v>139605159</v>
      </c>
      <c r="AD331" s="365">
        <f t="shared" si="471"/>
        <v>131696824.09999999</v>
      </c>
      <c r="AE331" s="365">
        <f t="shared" si="471"/>
        <v>26687721</v>
      </c>
      <c r="AF331" s="365">
        <f t="shared" si="471"/>
        <v>182676723.69999999</v>
      </c>
      <c r="AG331" s="365">
        <f t="shared" si="471"/>
        <v>718162014.94000006</v>
      </c>
      <c r="AH331" s="365">
        <f t="shared" si="471"/>
        <v>295953957.05000001</v>
      </c>
      <c r="AI331" s="365">
        <f t="shared" si="471"/>
        <v>896112947.96000004</v>
      </c>
      <c r="AJ331" s="365">
        <f t="shared" si="471"/>
        <v>422530857</v>
      </c>
      <c r="AK331" s="365">
        <f t="shared" si="471"/>
        <v>2910240533.7500005</v>
      </c>
      <c r="AL331" s="386"/>
      <c r="AM331" s="400" t="e">
        <f t="shared" si="452"/>
        <v>#DIV/0!</v>
      </c>
      <c r="AN331" s="400">
        <f t="shared" si="453"/>
        <v>-0.84462629123554989</v>
      </c>
      <c r="AO331" s="400">
        <f t="shared" si="454"/>
        <v>-0.80507754997667158</v>
      </c>
      <c r="AP331" s="400">
        <f t="shared" si="455"/>
        <v>-0.75013128504335957</v>
      </c>
      <c r="AQ331" s="400">
        <f t="shared" si="456"/>
        <v>-0.9493653199538975</v>
      </c>
      <c r="AR331" s="400">
        <f t="shared" si="457"/>
        <v>-0.65340699356008047</v>
      </c>
      <c r="AS331" s="400">
        <f t="shared" si="458"/>
        <v>-0.53655641826525824</v>
      </c>
      <c r="AT331" s="400">
        <f t="shared" si="459"/>
        <v>-0.82547283459900211</v>
      </c>
      <c r="AU331" s="400">
        <f t="shared" si="460"/>
        <v>-0.47155275690343823</v>
      </c>
      <c r="AV331" s="400">
        <f t="shared" si="461"/>
        <v>-0.77501823133707581</v>
      </c>
      <c r="AW331" s="400">
        <f t="shared" si="462"/>
        <v>0.53334057959866332</v>
      </c>
    </row>
    <row r="332" spans="1:49" ht="30" x14ac:dyDescent="0.25">
      <c r="A332" s="339">
        <v>23501</v>
      </c>
      <c r="B332" s="340" t="s">
        <v>830</v>
      </c>
      <c r="C332" s="367">
        <f t="shared" ref="C332:AK332" si="472">SUM(C333:C343)</f>
        <v>0</v>
      </c>
      <c r="D332" s="367">
        <f t="shared" si="472"/>
        <v>730629974</v>
      </c>
      <c r="E332" s="367">
        <f t="shared" si="472"/>
        <v>730629974</v>
      </c>
      <c r="F332" s="367">
        <f t="shared" si="472"/>
        <v>1441367799</v>
      </c>
      <c r="G332" s="367">
        <f t="shared" si="472"/>
        <v>1441367799</v>
      </c>
      <c r="H332" s="367">
        <f t="shared" si="472"/>
        <v>1441367798.6300001</v>
      </c>
      <c r="I332" s="367">
        <f t="shared" si="472"/>
        <v>0</v>
      </c>
      <c r="J332" s="367">
        <f t="shared" si="472"/>
        <v>134616120.96636364</v>
      </c>
      <c r="K332" s="367">
        <f t="shared" si="472"/>
        <v>227842349.96636367</v>
      </c>
      <c r="L332" s="367">
        <f t="shared" si="472"/>
        <v>38697705.966363631</v>
      </c>
      <c r="M332" s="367">
        <f t="shared" si="472"/>
        <v>38697705.966363631</v>
      </c>
      <c r="N332" s="367">
        <f t="shared" si="472"/>
        <v>38697705.966363631</v>
      </c>
      <c r="O332" s="367">
        <f t="shared" si="472"/>
        <v>38697705.966363631</v>
      </c>
      <c r="P332" s="367">
        <f t="shared" si="472"/>
        <v>184823700.76636362</v>
      </c>
      <c r="Q332" s="367">
        <f t="shared" si="472"/>
        <v>184823700.76636362</v>
      </c>
      <c r="R332" s="367">
        <f t="shared" si="472"/>
        <v>184823700.76636362</v>
      </c>
      <c r="S332" s="367">
        <f t="shared" si="472"/>
        <v>184823700.76636362</v>
      </c>
      <c r="T332" s="367">
        <f t="shared" si="472"/>
        <v>184823700.76636362</v>
      </c>
      <c r="U332" s="418">
        <f t="shared" si="470"/>
        <v>1071720397.0972726</v>
      </c>
      <c r="V332" s="367">
        <f t="shared" si="472"/>
        <v>1441367798.6300001</v>
      </c>
      <c r="W332" s="367">
        <f t="shared" si="472"/>
        <v>1441367799</v>
      </c>
      <c r="X332" s="367">
        <f t="shared" si="472"/>
        <v>0.37000000476837158</v>
      </c>
      <c r="Y332" s="367">
        <f t="shared" si="472"/>
        <v>0</v>
      </c>
      <c r="Z332" s="367">
        <f t="shared" si="472"/>
        <v>0</v>
      </c>
      <c r="AA332" s="367">
        <f t="shared" si="472"/>
        <v>0</v>
      </c>
      <c r="AB332" s="367">
        <f t="shared" si="472"/>
        <v>9056621</v>
      </c>
      <c r="AC332" s="367">
        <f t="shared" si="472"/>
        <v>0</v>
      </c>
      <c r="AD332" s="367">
        <f t="shared" si="472"/>
        <v>34778453</v>
      </c>
      <c r="AE332" s="367">
        <f t="shared" si="472"/>
        <v>0</v>
      </c>
      <c r="AF332" s="367">
        <f t="shared" si="472"/>
        <v>0</v>
      </c>
      <c r="AG332" s="367">
        <f t="shared" si="472"/>
        <v>70357693</v>
      </c>
      <c r="AH332" s="367">
        <f t="shared" si="472"/>
        <v>217495750</v>
      </c>
      <c r="AI332" s="367">
        <f t="shared" si="472"/>
        <v>106711981.95999999</v>
      </c>
      <c r="AJ332" s="367">
        <f t="shared" si="472"/>
        <v>307229972</v>
      </c>
      <c r="AK332" s="367">
        <f t="shared" si="472"/>
        <v>745630470.96000004</v>
      </c>
      <c r="AL332" s="387"/>
      <c r="AM332" s="398" t="e">
        <f t="shared" si="452"/>
        <v>#DIV/0!</v>
      </c>
      <c r="AN332" s="398">
        <f t="shared" si="453"/>
        <v>-0.93272261200972384</v>
      </c>
      <c r="AO332" s="398">
        <f t="shared" si="454"/>
        <v>-1</v>
      </c>
      <c r="AP332" s="398">
        <f t="shared" si="455"/>
        <v>-0.10127869000220009</v>
      </c>
      <c r="AQ332" s="398">
        <f t="shared" si="456"/>
        <v>-1</v>
      </c>
      <c r="AR332" s="398">
        <f t="shared" si="457"/>
        <v>-1</v>
      </c>
      <c r="AS332" s="398">
        <f t="shared" si="458"/>
        <v>0.81813601718808582</v>
      </c>
      <c r="AT332" s="398">
        <f t="shared" si="459"/>
        <v>0.17677413177078002</v>
      </c>
      <c r="AU332" s="398">
        <f t="shared" si="460"/>
        <v>-0.42262825861876319</v>
      </c>
      <c r="AV332" s="398">
        <f t="shared" si="461"/>
        <v>0.66228665872441672</v>
      </c>
      <c r="AW332" s="398">
        <f t="shared" si="462"/>
        <v>3.0342795207988749</v>
      </c>
    </row>
    <row r="333" spans="1:49" x14ac:dyDescent="0.25">
      <c r="A333" s="341">
        <v>2350101</v>
      </c>
      <c r="B333" s="342" t="s">
        <v>160</v>
      </c>
      <c r="C333" s="368">
        <v>0</v>
      </c>
      <c r="D333" s="368">
        <v>0</v>
      </c>
      <c r="E333" s="368">
        <v>237229972</v>
      </c>
      <c r="F333" s="368">
        <v>237229972</v>
      </c>
      <c r="G333" s="368">
        <f t="shared" ref="G333:G343" si="473">+C333+D333-E333+F333</f>
        <v>0</v>
      </c>
      <c r="H333" s="64">
        <v>237229972</v>
      </c>
      <c r="I333" s="210"/>
      <c r="J333" s="210"/>
      <c r="K333" s="210"/>
      <c r="L333" s="210"/>
      <c r="M333" s="210"/>
      <c r="N333" s="210"/>
      <c r="O333" s="210"/>
      <c r="P333" s="210"/>
      <c r="Q333" s="210"/>
      <c r="R333" s="210"/>
      <c r="S333" s="210"/>
      <c r="T333" s="210"/>
      <c r="U333" s="412">
        <f t="shared" si="470"/>
        <v>0</v>
      </c>
      <c r="V333" s="63">
        <f t="shared" ref="V333:V343" si="474">SUM(I333:T333)</f>
        <v>0</v>
      </c>
      <c r="W333" s="396">
        <f t="shared" si="464"/>
        <v>0</v>
      </c>
      <c r="X333" s="396">
        <f t="shared" si="465"/>
        <v>0</v>
      </c>
      <c r="Y333" s="396"/>
      <c r="AA333" s="210">
        <v>0</v>
      </c>
      <c r="AB333" s="210">
        <v>0</v>
      </c>
      <c r="AC333" s="210">
        <v>0</v>
      </c>
      <c r="AD333" s="210">
        <v>0</v>
      </c>
      <c r="AE333" s="210">
        <v>0</v>
      </c>
      <c r="AF333" s="210">
        <v>0</v>
      </c>
      <c r="AG333" s="210">
        <v>0</v>
      </c>
      <c r="AH333" s="368">
        <v>0</v>
      </c>
      <c r="AI333" s="368">
        <v>0</v>
      </c>
      <c r="AJ333" s="368">
        <v>0</v>
      </c>
      <c r="AK333" s="210">
        <f t="shared" si="469"/>
        <v>0</v>
      </c>
      <c r="AL333" s="387"/>
      <c r="AM333" s="404" t="e">
        <f t="shared" si="452"/>
        <v>#DIV/0!</v>
      </c>
      <c r="AN333" s="404" t="e">
        <f t="shared" si="453"/>
        <v>#DIV/0!</v>
      </c>
      <c r="AO333" s="404" t="e">
        <f t="shared" si="454"/>
        <v>#DIV/0!</v>
      </c>
      <c r="AP333" s="404" t="e">
        <f t="shared" si="455"/>
        <v>#DIV/0!</v>
      </c>
      <c r="AQ333" s="404" t="e">
        <f t="shared" si="456"/>
        <v>#DIV/0!</v>
      </c>
      <c r="AR333" s="404" t="e">
        <f t="shared" si="457"/>
        <v>#DIV/0!</v>
      </c>
      <c r="AS333" s="404" t="e">
        <f t="shared" si="458"/>
        <v>#DIV/0!</v>
      </c>
      <c r="AT333" s="404" t="e">
        <f t="shared" si="459"/>
        <v>#DIV/0!</v>
      </c>
      <c r="AU333" s="404" t="e">
        <f t="shared" si="460"/>
        <v>#DIV/0!</v>
      </c>
      <c r="AV333" s="404" t="e">
        <f t="shared" si="461"/>
        <v>#DIV/0!</v>
      </c>
      <c r="AW333" s="404" t="e">
        <f t="shared" si="462"/>
        <v>#DIV/0!</v>
      </c>
    </row>
    <row r="334" spans="1:49" x14ac:dyDescent="0.25">
      <c r="A334" s="341">
        <v>2350102</v>
      </c>
      <c r="B334" s="342" t="s">
        <v>161</v>
      </c>
      <c r="C334" s="368">
        <v>0</v>
      </c>
      <c r="D334" s="368">
        <v>0</v>
      </c>
      <c r="E334" s="368">
        <v>0</v>
      </c>
      <c r="F334" s="368">
        <v>47959207</v>
      </c>
      <c r="G334" s="368">
        <f t="shared" si="473"/>
        <v>47959207</v>
      </c>
      <c r="H334" s="64">
        <v>47959207</v>
      </c>
      <c r="I334" s="210"/>
      <c r="J334" s="210">
        <f>+H334</f>
        <v>47959207</v>
      </c>
      <c r="K334" s="210"/>
      <c r="L334" s="210"/>
      <c r="M334" s="210"/>
      <c r="N334" s="210"/>
      <c r="O334" s="210"/>
      <c r="P334" s="210"/>
      <c r="Q334" s="210"/>
      <c r="R334" s="210"/>
      <c r="S334" s="210"/>
      <c r="T334" s="210"/>
      <c r="U334" s="412">
        <f t="shared" si="470"/>
        <v>47959207</v>
      </c>
      <c r="V334" s="63">
        <f t="shared" si="474"/>
        <v>47959207</v>
      </c>
      <c r="W334" s="396">
        <f t="shared" si="464"/>
        <v>47959207</v>
      </c>
      <c r="X334" s="396">
        <f t="shared" si="465"/>
        <v>0</v>
      </c>
      <c r="Y334" s="396"/>
      <c r="AA334" s="210">
        <v>0</v>
      </c>
      <c r="AB334" s="210">
        <v>9056621</v>
      </c>
      <c r="AC334" s="210">
        <v>0</v>
      </c>
      <c r="AD334" s="210">
        <v>34778453</v>
      </c>
      <c r="AE334" s="210">
        <v>0</v>
      </c>
      <c r="AF334" s="210">
        <v>0</v>
      </c>
      <c r="AG334" s="210">
        <v>4124133</v>
      </c>
      <c r="AH334" s="368">
        <v>0</v>
      </c>
      <c r="AI334" s="368">
        <v>0</v>
      </c>
      <c r="AJ334" s="368">
        <v>0</v>
      </c>
      <c r="AK334" s="210">
        <f t="shared" si="469"/>
        <v>47959207</v>
      </c>
      <c r="AL334" s="387"/>
      <c r="AM334" s="404" t="e">
        <f t="shared" si="452"/>
        <v>#DIV/0!</v>
      </c>
      <c r="AN334" s="404">
        <f t="shared" si="453"/>
        <v>-0.81115990929541437</v>
      </c>
      <c r="AO334" s="404" t="e">
        <f t="shared" si="454"/>
        <v>#DIV/0!</v>
      </c>
      <c r="AP334" s="404" t="e">
        <f t="shared" si="455"/>
        <v>#DIV/0!</v>
      </c>
      <c r="AQ334" s="404" t="e">
        <f t="shared" si="456"/>
        <v>#DIV/0!</v>
      </c>
      <c r="AR334" s="404" t="e">
        <f t="shared" si="457"/>
        <v>#DIV/0!</v>
      </c>
      <c r="AS334" s="404" t="e">
        <f t="shared" si="458"/>
        <v>#DIV/0!</v>
      </c>
      <c r="AT334" s="404" t="e">
        <f t="shared" si="459"/>
        <v>#DIV/0!</v>
      </c>
      <c r="AU334" s="404" t="e">
        <f t="shared" si="460"/>
        <v>#DIV/0!</v>
      </c>
      <c r="AV334" s="404" t="e">
        <f t="shared" si="461"/>
        <v>#DIV/0!</v>
      </c>
      <c r="AW334" s="404" t="e">
        <f t="shared" si="462"/>
        <v>#DIV/0!</v>
      </c>
    </row>
    <row r="335" spans="1:49" x14ac:dyDescent="0.25">
      <c r="A335" s="341">
        <v>2350103</v>
      </c>
      <c r="B335" s="342" t="s">
        <v>162</v>
      </c>
      <c r="C335" s="368">
        <v>0</v>
      </c>
      <c r="D335" s="368">
        <v>0</v>
      </c>
      <c r="E335" s="368">
        <v>0</v>
      </c>
      <c r="F335" s="368">
        <v>47959208</v>
      </c>
      <c r="G335" s="368">
        <f t="shared" si="473"/>
        <v>47959208</v>
      </c>
      <c r="H335" s="64">
        <v>47959208</v>
      </c>
      <c r="I335" s="210"/>
      <c r="J335" s="210">
        <f>+H335</f>
        <v>47959208</v>
      </c>
      <c r="K335" s="210"/>
      <c r="L335" s="210"/>
      <c r="M335" s="210"/>
      <c r="N335" s="210"/>
      <c r="O335" s="210"/>
      <c r="P335" s="210"/>
      <c r="Q335" s="210"/>
      <c r="R335" s="210"/>
      <c r="S335" s="210"/>
      <c r="T335" s="210"/>
      <c r="U335" s="412">
        <f t="shared" si="470"/>
        <v>47959208</v>
      </c>
      <c r="V335" s="63">
        <f t="shared" si="474"/>
        <v>47959208</v>
      </c>
      <c r="W335" s="396">
        <f t="shared" si="464"/>
        <v>47959208</v>
      </c>
      <c r="X335" s="396">
        <f t="shared" si="465"/>
        <v>0</v>
      </c>
      <c r="Y335" s="396"/>
      <c r="AA335" s="210">
        <v>0</v>
      </c>
      <c r="AB335" s="210">
        <v>0</v>
      </c>
      <c r="AC335" s="210">
        <v>0</v>
      </c>
      <c r="AD335" s="210">
        <v>0</v>
      </c>
      <c r="AE335" s="210">
        <v>0</v>
      </c>
      <c r="AF335" s="210">
        <v>0</v>
      </c>
      <c r="AG335" s="210">
        <v>20491800</v>
      </c>
      <c r="AH335" s="368">
        <v>5004000</v>
      </c>
      <c r="AI335" s="368">
        <v>12995618</v>
      </c>
      <c r="AJ335" s="368">
        <v>0</v>
      </c>
      <c r="AK335" s="210">
        <f t="shared" si="469"/>
        <v>38491418</v>
      </c>
      <c r="AL335" s="387"/>
      <c r="AM335" s="404" t="e">
        <f t="shared" si="452"/>
        <v>#DIV/0!</v>
      </c>
      <c r="AN335" s="404">
        <f t="shared" si="453"/>
        <v>-1</v>
      </c>
      <c r="AO335" s="404" t="e">
        <f t="shared" si="454"/>
        <v>#DIV/0!</v>
      </c>
      <c r="AP335" s="404" t="e">
        <f t="shared" si="455"/>
        <v>#DIV/0!</v>
      </c>
      <c r="AQ335" s="404" t="e">
        <f t="shared" si="456"/>
        <v>#DIV/0!</v>
      </c>
      <c r="AR335" s="404" t="e">
        <f t="shared" si="457"/>
        <v>#DIV/0!</v>
      </c>
      <c r="AS335" s="404" t="e">
        <f t="shared" si="458"/>
        <v>#DIV/0!</v>
      </c>
      <c r="AT335" s="404" t="e">
        <f t="shared" si="459"/>
        <v>#DIV/0!</v>
      </c>
      <c r="AU335" s="404" t="e">
        <f t="shared" si="460"/>
        <v>#DIV/0!</v>
      </c>
      <c r="AV335" s="404" t="e">
        <f t="shared" si="461"/>
        <v>#DIV/0!</v>
      </c>
      <c r="AW335" s="404" t="e">
        <f t="shared" si="462"/>
        <v>#DIV/0!</v>
      </c>
    </row>
    <row r="336" spans="1:49" x14ac:dyDescent="0.25">
      <c r="A336" s="341">
        <v>2350104</v>
      </c>
      <c r="B336" s="342" t="s">
        <v>163</v>
      </c>
      <c r="C336" s="368">
        <v>0</v>
      </c>
      <c r="D336" s="368">
        <v>0</v>
      </c>
      <c r="E336" s="368">
        <v>0</v>
      </c>
      <c r="F336" s="368">
        <v>189144644</v>
      </c>
      <c r="G336" s="368">
        <f t="shared" si="473"/>
        <v>189144644</v>
      </c>
      <c r="H336" s="64">
        <v>189144644</v>
      </c>
      <c r="I336" s="210"/>
      <c r="J336" s="210"/>
      <c r="K336" s="210">
        <f>+H336</f>
        <v>189144644</v>
      </c>
      <c r="L336" s="210"/>
      <c r="M336" s="210"/>
      <c r="N336" s="210"/>
      <c r="O336" s="210"/>
      <c r="P336" s="210"/>
      <c r="Q336" s="210"/>
      <c r="R336" s="210"/>
      <c r="S336" s="210"/>
      <c r="T336" s="210"/>
      <c r="U336" s="412">
        <f t="shared" si="470"/>
        <v>189144644</v>
      </c>
      <c r="V336" s="63">
        <f t="shared" si="474"/>
        <v>189144644</v>
      </c>
      <c r="W336" s="396">
        <f t="shared" si="464"/>
        <v>189144644</v>
      </c>
      <c r="X336" s="396">
        <f t="shared" si="465"/>
        <v>0</v>
      </c>
      <c r="Y336" s="396"/>
      <c r="AA336" s="210">
        <v>0</v>
      </c>
      <c r="AB336" s="210">
        <v>0</v>
      </c>
      <c r="AC336" s="210">
        <v>0</v>
      </c>
      <c r="AD336" s="210">
        <v>0</v>
      </c>
      <c r="AE336" s="210">
        <v>0</v>
      </c>
      <c r="AF336" s="210">
        <v>0</v>
      </c>
      <c r="AG336" s="210">
        <v>0</v>
      </c>
      <c r="AH336" s="368">
        <v>0</v>
      </c>
      <c r="AI336" s="368">
        <v>0</v>
      </c>
      <c r="AJ336" s="368">
        <v>0</v>
      </c>
      <c r="AK336" s="210">
        <f t="shared" si="469"/>
        <v>0</v>
      </c>
      <c r="AL336" s="387"/>
      <c r="AM336" s="404" t="e">
        <f t="shared" si="452"/>
        <v>#DIV/0!</v>
      </c>
      <c r="AN336" s="404" t="e">
        <f t="shared" si="453"/>
        <v>#DIV/0!</v>
      </c>
      <c r="AO336" s="404">
        <f t="shared" si="454"/>
        <v>-1</v>
      </c>
      <c r="AP336" s="404" t="e">
        <f t="shared" si="455"/>
        <v>#DIV/0!</v>
      </c>
      <c r="AQ336" s="404" t="e">
        <f t="shared" si="456"/>
        <v>#DIV/0!</v>
      </c>
      <c r="AR336" s="404" t="e">
        <f t="shared" si="457"/>
        <v>#DIV/0!</v>
      </c>
      <c r="AS336" s="404" t="e">
        <f t="shared" si="458"/>
        <v>#DIV/0!</v>
      </c>
      <c r="AT336" s="404" t="e">
        <f t="shared" si="459"/>
        <v>#DIV/0!</v>
      </c>
      <c r="AU336" s="404" t="e">
        <f t="shared" si="460"/>
        <v>#DIV/0!</v>
      </c>
      <c r="AV336" s="404" t="e">
        <f t="shared" si="461"/>
        <v>#DIV/0!</v>
      </c>
      <c r="AW336" s="404" t="e">
        <f t="shared" si="462"/>
        <v>#DIV/0!</v>
      </c>
    </row>
    <row r="337" spans="1:49" x14ac:dyDescent="0.25">
      <c r="A337" s="341">
        <v>2350105</v>
      </c>
      <c r="B337" s="342" t="s">
        <v>164</v>
      </c>
      <c r="C337" s="368">
        <v>0</v>
      </c>
      <c r="D337" s="368">
        <v>0</v>
      </c>
      <c r="E337" s="368">
        <v>0</v>
      </c>
      <c r="F337" s="368">
        <v>135472173</v>
      </c>
      <c r="G337" s="368">
        <f t="shared" si="473"/>
        <v>135472173</v>
      </c>
      <c r="H337" s="64">
        <v>135472173</v>
      </c>
      <c r="I337" s="210"/>
      <c r="J337" s="210">
        <f>+H337/11</f>
        <v>12315652.090909092</v>
      </c>
      <c r="K337" s="210">
        <v>12315652.090909092</v>
      </c>
      <c r="L337" s="210">
        <v>12315652.090909092</v>
      </c>
      <c r="M337" s="210">
        <v>12315652.090909092</v>
      </c>
      <c r="N337" s="210">
        <v>12315652.090909092</v>
      </c>
      <c r="O337" s="210">
        <v>12315652.090909092</v>
      </c>
      <c r="P337" s="210">
        <v>12315652.090909092</v>
      </c>
      <c r="Q337" s="210">
        <v>12315652.090909092</v>
      </c>
      <c r="R337" s="210">
        <v>12315652.090909092</v>
      </c>
      <c r="S337" s="210">
        <v>12315652.090909092</v>
      </c>
      <c r="T337" s="210">
        <v>12315652.090909092</v>
      </c>
      <c r="U337" s="412">
        <f t="shared" si="470"/>
        <v>110840868.81818183</v>
      </c>
      <c r="V337" s="63">
        <f t="shared" si="474"/>
        <v>135472173</v>
      </c>
      <c r="W337" s="396">
        <f t="shared" si="464"/>
        <v>135472173</v>
      </c>
      <c r="X337" s="396">
        <f t="shared" si="465"/>
        <v>0</v>
      </c>
      <c r="Y337" s="396"/>
      <c r="AA337" s="210">
        <v>0</v>
      </c>
      <c r="AB337" s="210">
        <v>0</v>
      </c>
      <c r="AC337" s="210">
        <v>0</v>
      </c>
      <c r="AD337" s="210">
        <v>0</v>
      </c>
      <c r="AE337" s="210">
        <v>0</v>
      </c>
      <c r="AF337" s="210">
        <v>0</v>
      </c>
      <c r="AG337" s="210">
        <v>0</v>
      </c>
      <c r="AH337" s="368">
        <v>0</v>
      </c>
      <c r="AI337" s="368">
        <v>0</v>
      </c>
      <c r="AJ337" s="368">
        <v>0</v>
      </c>
      <c r="AK337" s="210">
        <f t="shared" si="469"/>
        <v>0</v>
      </c>
      <c r="AL337" s="387"/>
      <c r="AM337" s="404" t="e">
        <f t="shared" si="452"/>
        <v>#DIV/0!</v>
      </c>
      <c r="AN337" s="404">
        <f t="shared" si="453"/>
        <v>-1</v>
      </c>
      <c r="AO337" s="404">
        <f t="shared" si="454"/>
        <v>-1</v>
      </c>
      <c r="AP337" s="404">
        <f t="shared" si="455"/>
        <v>-1</v>
      </c>
      <c r="AQ337" s="404">
        <f t="shared" si="456"/>
        <v>-1</v>
      </c>
      <c r="AR337" s="404">
        <f t="shared" si="457"/>
        <v>-1</v>
      </c>
      <c r="AS337" s="404">
        <f t="shared" si="458"/>
        <v>-1</v>
      </c>
      <c r="AT337" s="404">
        <f t="shared" si="459"/>
        <v>-1</v>
      </c>
      <c r="AU337" s="404">
        <f t="shared" si="460"/>
        <v>-1</v>
      </c>
      <c r="AV337" s="404">
        <f t="shared" si="461"/>
        <v>-1</v>
      </c>
      <c r="AW337" s="404">
        <f t="shared" si="462"/>
        <v>-1</v>
      </c>
    </row>
    <row r="338" spans="1:49" x14ac:dyDescent="0.25">
      <c r="A338" s="364">
        <v>2350106</v>
      </c>
      <c r="B338" s="342" t="s">
        <v>165</v>
      </c>
      <c r="C338" s="368">
        <v>0</v>
      </c>
      <c r="D338" s="368">
        <v>0</v>
      </c>
      <c r="E338" s="368"/>
      <c r="F338" s="368">
        <v>157808831</v>
      </c>
      <c r="G338" s="368">
        <f t="shared" si="473"/>
        <v>157808831</v>
      </c>
      <c r="H338" s="64">
        <v>157808831</v>
      </c>
      <c r="I338" s="210"/>
      <c r="J338" s="210">
        <f t="shared" ref="J338:J389" si="475">+H338/11</f>
        <v>14346257.363636363</v>
      </c>
      <c r="K338" s="210">
        <v>14346257.363636363</v>
      </c>
      <c r="L338" s="210">
        <v>14346257.363636363</v>
      </c>
      <c r="M338" s="210">
        <v>14346257.363636363</v>
      </c>
      <c r="N338" s="210">
        <v>14346257.363636363</v>
      </c>
      <c r="O338" s="210">
        <v>14346257.363636363</v>
      </c>
      <c r="P338" s="210">
        <v>14346257.363636363</v>
      </c>
      <c r="Q338" s="210">
        <v>14346257.363636363</v>
      </c>
      <c r="R338" s="210">
        <v>14346257.363636363</v>
      </c>
      <c r="S338" s="210">
        <v>14346257.363636363</v>
      </c>
      <c r="T338" s="210">
        <v>14346257.363636363</v>
      </c>
      <c r="U338" s="412">
        <f t="shared" si="470"/>
        <v>129116316.27272725</v>
      </c>
      <c r="V338" s="63">
        <f t="shared" si="474"/>
        <v>157808831</v>
      </c>
      <c r="W338" s="396">
        <f t="shared" si="464"/>
        <v>157808831</v>
      </c>
      <c r="X338" s="396">
        <f t="shared" si="465"/>
        <v>0</v>
      </c>
      <c r="Y338" s="396"/>
      <c r="AA338" s="210">
        <v>0</v>
      </c>
      <c r="AB338" s="210">
        <v>0</v>
      </c>
      <c r="AC338" s="210">
        <v>0</v>
      </c>
      <c r="AD338" s="210">
        <v>0</v>
      </c>
      <c r="AE338" s="210">
        <v>0</v>
      </c>
      <c r="AF338" s="210">
        <v>0</v>
      </c>
      <c r="AG338" s="210">
        <v>0</v>
      </c>
      <c r="AH338" s="368">
        <v>14666750</v>
      </c>
      <c r="AI338" s="368">
        <v>0</v>
      </c>
      <c r="AJ338" s="368">
        <v>70000000</v>
      </c>
      <c r="AK338" s="210">
        <f t="shared" si="469"/>
        <v>84666750</v>
      </c>
      <c r="AL338" s="387"/>
      <c r="AM338" s="404" t="e">
        <f t="shared" si="452"/>
        <v>#DIV/0!</v>
      </c>
      <c r="AN338" s="404">
        <f t="shared" si="453"/>
        <v>-1</v>
      </c>
      <c r="AO338" s="404">
        <f t="shared" si="454"/>
        <v>-1</v>
      </c>
      <c r="AP338" s="404">
        <f t="shared" si="455"/>
        <v>-1</v>
      </c>
      <c r="AQ338" s="404">
        <f t="shared" si="456"/>
        <v>-1</v>
      </c>
      <c r="AR338" s="404">
        <f t="shared" si="457"/>
        <v>-1</v>
      </c>
      <c r="AS338" s="404">
        <f t="shared" si="458"/>
        <v>-1</v>
      </c>
      <c r="AT338" s="404">
        <f t="shared" si="459"/>
        <v>2.2339808093502726E-2</v>
      </c>
      <c r="AU338" s="404">
        <f t="shared" si="460"/>
        <v>-1</v>
      </c>
      <c r="AV338" s="404">
        <f t="shared" si="461"/>
        <v>3.8793213606658048</v>
      </c>
      <c r="AW338" s="404">
        <f t="shared" si="462"/>
        <v>4.9016611687593077</v>
      </c>
    </row>
    <row r="339" spans="1:49" x14ac:dyDescent="0.25">
      <c r="A339" s="364">
        <v>2350107</v>
      </c>
      <c r="B339" s="342" t="s">
        <v>166</v>
      </c>
      <c r="C339" s="368">
        <v>0</v>
      </c>
      <c r="D339" s="368">
        <v>0</v>
      </c>
      <c r="E339" s="368">
        <v>0</v>
      </c>
      <c r="F339" s="368">
        <v>30000027</v>
      </c>
      <c r="G339" s="368">
        <f t="shared" si="473"/>
        <v>30000027</v>
      </c>
      <c r="H339" s="64">
        <v>30000027</v>
      </c>
      <c r="I339" s="210"/>
      <c r="J339" s="210">
        <f t="shared" si="475"/>
        <v>2727275.1818181816</v>
      </c>
      <c r="K339" s="210">
        <v>2727275.1818181816</v>
      </c>
      <c r="L339" s="210">
        <v>2727275.1818181816</v>
      </c>
      <c r="M339" s="210">
        <v>2727275.1818181816</v>
      </c>
      <c r="N339" s="210">
        <v>2727275.1818181816</v>
      </c>
      <c r="O339" s="210">
        <v>2727275.1818181816</v>
      </c>
      <c r="P339" s="210">
        <v>2727275.1818181816</v>
      </c>
      <c r="Q339" s="210">
        <v>2727275.1818181816</v>
      </c>
      <c r="R339" s="210">
        <v>2727275.1818181816</v>
      </c>
      <c r="S339" s="210">
        <v>2727275.1818181816</v>
      </c>
      <c r="T339" s="210">
        <v>2727275.1818181816</v>
      </c>
      <c r="U339" s="412">
        <f t="shared" si="470"/>
        <v>24545476.636363633</v>
      </c>
      <c r="V339" s="63">
        <f t="shared" si="474"/>
        <v>30000026.999999993</v>
      </c>
      <c r="W339" s="396">
        <f t="shared" si="464"/>
        <v>30000027</v>
      </c>
      <c r="X339" s="396">
        <f t="shared" si="465"/>
        <v>0</v>
      </c>
      <c r="Y339" s="396"/>
      <c r="AA339" s="210">
        <v>0</v>
      </c>
      <c r="AB339" s="210">
        <v>0</v>
      </c>
      <c r="AC339" s="210">
        <v>0</v>
      </c>
      <c r="AD339" s="210">
        <v>0</v>
      </c>
      <c r="AE339" s="210">
        <v>0</v>
      </c>
      <c r="AF339" s="210">
        <v>0</v>
      </c>
      <c r="AG339" s="210">
        <v>0</v>
      </c>
      <c r="AH339" s="368">
        <v>0</v>
      </c>
      <c r="AI339" s="368">
        <v>0</v>
      </c>
      <c r="AJ339" s="368">
        <v>0</v>
      </c>
      <c r="AK339" s="210">
        <f t="shared" si="469"/>
        <v>0</v>
      </c>
      <c r="AL339" s="387"/>
      <c r="AM339" s="404" t="e">
        <f t="shared" si="452"/>
        <v>#DIV/0!</v>
      </c>
      <c r="AN339" s="404">
        <f t="shared" si="453"/>
        <v>-1</v>
      </c>
      <c r="AO339" s="404">
        <f t="shared" si="454"/>
        <v>-1</v>
      </c>
      <c r="AP339" s="404">
        <f t="shared" si="455"/>
        <v>-1</v>
      </c>
      <c r="AQ339" s="404">
        <f t="shared" si="456"/>
        <v>-1</v>
      </c>
      <c r="AR339" s="404">
        <f t="shared" si="457"/>
        <v>-1</v>
      </c>
      <c r="AS339" s="404">
        <f t="shared" si="458"/>
        <v>-1</v>
      </c>
      <c r="AT339" s="404">
        <f t="shared" si="459"/>
        <v>-1</v>
      </c>
      <c r="AU339" s="404">
        <f t="shared" si="460"/>
        <v>-1</v>
      </c>
      <c r="AV339" s="404">
        <f t="shared" si="461"/>
        <v>-1</v>
      </c>
      <c r="AW339" s="404">
        <f t="shared" si="462"/>
        <v>-1</v>
      </c>
    </row>
    <row r="340" spans="1:49" ht="30" x14ac:dyDescent="0.25">
      <c r="A340" s="364">
        <v>2350108</v>
      </c>
      <c r="B340" s="342" t="s">
        <v>167</v>
      </c>
      <c r="C340" s="368">
        <v>0</v>
      </c>
      <c r="D340" s="368">
        <v>0</v>
      </c>
      <c r="E340" s="368">
        <v>0</v>
      </c>
      <c r="F340" s="368">
        <v>102393735</v>
      </c>
      <c r="G340" s="368">
        <f t="shared" si="473"/>
        <v>102393735</v>
      </c>
      <c r="H340" s="64">
        <v>102393734.63</v>
      </c>
      <c r="I340" s="210"/>
      <c r="J340" s="210">
        <f t="shared" si="475"/>
        <v>9308521.3300000001</v>
      </c>
      <c r="K340" s="210">
        <v>9308521.3300000001</v>
      </c>
      <c r="L340" s="210">
        <v>9308521.3300000001</v>
      </c>
      <c r="M340" s="210">
        <v>9308521.3300000001</v>
      </c>
      <c r="N340" s="210">
        <v>9308521.3300000001</v>
      </c>
      <c r="O340" s="210">
        <v>9308521.3300000001</v>
      </c>
      <c r="P340" s="210">
        <v>9308521.3300000001</v>
      </c>
      <c r="Q340" s="210">
        <v>9308521.3300000001</v>
      </c>
      <c r="R340" s="210">
        <v>9308521.3300000001</v>
      </c>
      <c r="S340" s="210">
        <v>9308521.3300000001</v>
      </c>
      <c r="T340" s="210">
        <v>9308521.3300000001</v>
      </c>
      <c r="U340" s="412">
        <f t="shared" si="470"/>
        <v>83776691.969999999</v>
      </c>
      <c r="V340" s="63">
        <f t="shared" si="474"/>
        <v>102393734.63</v>
      </c>
      <c r="W340" s="396">
        <f t="shared" si="464"/>
        <v>102393735</v>
      </c>
      <c r="X340" s="396">
        <f t="shared" si="465"/>
        <v>0.37000000476837158</v>
      </c>
      <c r="Y340" s="396"/>
      <c r="AA340" s="210">
        <v>0</v>
      </c>
      <c r="AB340" s="210">
        <v>0</v>
      </c>
      <c r="AC340" s="210">
        <v>0</v>
      </c>
      <c r="AD340" s="210">
        <v>0</v>
      </c>
      <c r="AE340" s="210">
        <v>0</v>
      </c>
      <c r="AF340" s="210">
        <v>0</v>
      </c>
      <c r="AG340" s="210">
        <v>0</v>
      </c>
      <c r="AH340" s="368">
        <v>0</v>
      </c>
      <c r="AI340" s="368">
        <v>0</v>
      </c>
      <c r="AJ340" s="368">
        <v>0</v>
      </c>
      <c r="AK340" s="210">
        <f t="shared" si="469"/>
        <v>0</v>
      </c>
      <c r="AL340" s="387"/>
      <c r="AM340" s="404" t="e">
        <f t="shared" si="452"/>
        <v>#DIV/0!</v>
      </c>
      <c r="AN340" s="404">
        <f t="shared" si="453"/>
        <v>-1</v>
      </c>
      <c r="AO340" s="404">
        <f t="shared" si="454"/>
        <v>-1</v>
      </c>
      <c r="AP340" s="404">
        <f t="shared" si="455"/>
        <v>-1</v>
      </c>
      <c r="AQ340" s="404">
        <f t="shared" si="456"/>
        <v>-1</v>
      </c>
      <c r="AR340" s="404">
        <f t="shared" si="457"/>
        <v>-1</v>
      </c>
      <c r="AS340" s="404">
        <f t="shared" si="458"/>
        <v>-1</v>
      </c>
      <c r="AT340" s="404">
        <f t="shared" si="459"/>
        <v>-1</v>
      </c>
      <c r="AU340" s="404">
        <f t="shared" si="460"/>
        <v>-1</v>
      </c>
      <c r="AV340" s="404">
        <f t="shared" si="461"/>
        <v>-1</v>
      </c>
      <c r="AW340" s="404">
        <f t="shared" si="462"/>
        <v>-1</v>
      </c>
    </row>
    <row r="341" spans="1:49" ht="30" x14ac:dyDescent="0.25">
      <c r="A341" s="341">
        <v>2350109</v>
      </c>
      <c r="B341" s="342" t="s">
        <v>168</v>
      </c>
      <c r="C341" s="368">
        <v>0</v>
      </c>
      <c r="D341" s="368">
        <v>0</v>
      </c>
      <c r="E341" s="368">
        <v>493400002</v>
      </c>
      <c r="F341" s="368">
        <v>493400002</v>
      </c>
      <c r="G341" s="368">
        <f t="shared" si="473"/>
        <v>0</v>
      </c>
      <c r="H341" s="64">
        <v>493400002</v>
      </c>
      <c r="I341" s="210"/>
      <c r="J341" s="210"/>
      <c r="K341" s="210"/>
      <c r="L341" s="210"/>
      <c r="M341" s="210"/>
      <c r="N341" s="210"/>
      <c r="O341" s="210"/>
      <c r="P341" s="210"/>
      <c r="Q341" s="210"/>
      <c r="R341" s="210"/>
      <c r="S341" s="210"/>
      <c r="T341" s="210"/>
      <c r="U341" s="412">
        <f t="shared" si="470"/>
        <v>0</v>
      </c>
      <c r="V341" s="63">
        <f t="shared" si="474"/>
        <v>0</v>
      </c>
      <c r="W341" s="396">
        <f t="shared" si="464"/>
        <v>0</v>
      </c>
      <c r="X341" s="396">
        <f t="shared" si="465"/>
        <v>0</v>
      </c>
      <c r="Y341" s="396"/>
      <c r="AA341" s="210">
        <v>0</v>
      </c>
      <c r="AB341" s="210">
        <v>0</v>
      </c>
      <c r="AC341" s="210">
        <v>0</v>
      </c>
      <c r="AD341" s="210">
        <v>0</v>
      </c>
      <c r="AE341" s="210">
        <v>0</v>
      </c>
      <c r="AF341" s="210">
        <v>0</v>
      </c>
      <c r="AG341" s="210">
        <v>0</v>
      </c>
      <c r="AH341" s="368">
        <v>0</v>
      </c>
      <c r="AI341" s="368">
        <v>0</v>
      </c>
      <c r="AJ341" s="368">
        <v>0</v>
      </c>
      <c r="AK341" s="210">
        <f t="shared" si="469"/>
        <v>0</v>
      </c>
      <c r="AL341" s="387"/>
      <c r="AM341" s="404" t="e">
        <f t="shared" si="452"/>
        <v>#DIV/0!</v>
      </c>
      <c r="AN341" s="404" t="e">
        <f t="shared" si="453"/>
        <v>#DIV/0!</v>
      </c>
      <c r="AO341" s="404" t="e">
        <f t="shared" si="454"/>
        <v>#DIV/0!</v>
      </c>
      <c r="AP341" s="404" t="e">
        <f t="shared" si="455"/>
        <v>#DIV/0!</v>
      </c>
      <c r="AQ341" s="404" t="e">
        <f t="shared" si="456"/>
        <v>#DIV/0!</v>
      </c>
      <c r="AR341" s="404" t="e">
        <f t="shared" si="457"/>
        <v>#DIV/0!</v>
      </c>
      <c r="AS341" s="404" t="e">
        <f t="shared" si="458"/>
        <v>#DIV/0!</v>
      </c>
      <c r="AT341" s="404" t="e">
        <f t="shared" si="459"/>
        <v>#DIV/0!</v>
      </c>
      <c r="AU341" s="404" t="e">
        <f t="shared" si="460"/>
        <v>#DIV/0!</v>
      </c>
      <c r="AV341" s="404" t="e">
        <f t="shared" si="461"/>
        <v>#DIV/0!</v>
      </c>
      <c r="AW341" s="404" t="e">
        <f t="shared" si="462"/>
        <v>#DIV/0!</v>
      </c>
    </row>
    <row r="342" spans="1:49" ht="30" x14ac:dyDescent="0.25">
      <c r="A342" s="341">
        <v>2350110</v>
      </c>
      <c r="B342" s="342" t="s">
        <v>901</v>
      </c>
      <c r="C342" s="368"/>
      <c r="D342" s="368">
        <v>237229972</v>
      </c>
      <c r="E342" s="368"/>
      <c r="F342" s="368"/>
      <c r="G342" s="368">
        <f t="shared" si="473"/>
        <v>237229972</v>
      </c>
      <c r="H342" s="64"/>
      <c r="I342" s="210"/>
      <c r="J342" s="210"/>
      <c r="K342" s="210"/>
      <c r="L342" s="210"/>
      <c r="M342" s="210"/>
      <c r="N342" s="210"/>
      <c r="O342" s="210"/>
      <c r="P342" s="210">
        <v>47445994.399999999</v>
      </c>
      <c r="Q342" s="210">
        <v>47445994.399999999</v>
      </c>
      <c r="R342" s="210">
        <v>47445994.399999999</v>
      </c>
      <c r="S342" s="210">
        <v>47445994.399999999</v>
      </c>
      <c r="T342" s="210">
        <v>47445994.399999999</v>
      </c>
      <c r="U342" s="412">
        <f t="shared" si="470"/>
        <v>142337983.19999999</v>
      </c>
      <c r="V342" s="63">
        <f t="shared" si="474"/>
        <v>237229972</v>
      </c>
      <c r="W342" s="396">
        <f t="shared" si="464"/>
        <v>237229972</v>
      </c>
      <c r="X342" s="396">
        <f t="shared" si="465"/>
        <v>0</v>
      </c>
      <c r="Y342" s="396">
        <f>+X342/5</f>
        <v>0</v>
      </c>
      <c r="AA342" s="210"/>
      <c r="AB342" s="210"/>
      <c r="AC342" s="210"/>
      <c r="AD342" s="210"/>
      <c r="AE342" s="210">
        <v>0</v>
      </c>
      <c r="AF342" s="210">
        <v>0</v>
      </c>
      <c r="AG342" s="210">
        <v>0</v>
      </c>
      <c r="AH342" s="368">
        <v>0</v>
      </c>
      <c r="AI342" s="368">
        <v>0</v>
      </c>
      <c r="AJ342" s="368">
        <v>237229972</v>
      </c>
      <c r="AK342" s="210">
        <f t="shared" si="469"/>
        <v>237229972</v>
      </c>
      <c r="AL342" s="387"/>
      <c r="AM342" s="404" t="e">
        <f t="shared" si="452"/>
        <v>#DIV/0!</v>
      </c>
      <c r="AN342" s="404" t="e">
        <f t="shared" si="453"/>
        <v>#DIV/0!</v>
      </c>
      <c r="AO342" s="404" t="e">
        <f t="shared" si="454"/>
        <v>#DIV/0!</v>
      </c>
      <c r="AP342" s="404" t="e">
        <f t="shared" si="455"/>
        <v>#DIV/0!</v>
      </c>
      <c r="AQ342" s="404" t="e">
        <f t="shared" si="456"/>
        <v>#DIV/0!</v>
      </c>
      <c r="AR342" s="404" t="e">
        <f t="shared" si="457"/>
        <v>#DIV/0!</v>
      </c>
      <c r="AS342" s="404" t="e">
        <f t="shared" si="458"/>
        <v>#DIV/0!</v>
      </c>
      <c r="AT342" s="404">
        <f t="shared" si="459"/>
        <v>-1</v>
      </c>
      <c r="AU342" s="404">
        <f t="shared" si="460"/>
        <v>-1</v>
      </c>
      <c r="AV342" s="404">
        <f t="shared" si="461"/>
        <v>4</v>
      </c>
      <c r="AW342" s="404">
        <f t="shared" si="462"/>
        <v>4</v>
      </c>
    </row>
    <row r="343" spans="1:49" ht="30" x14ac:dyDescent="0.25">
      <c r="A343" s="341">
        <v>2350111</v>
      </c>
      <c r="B343" s="342" t="s">
        <v>902</v>
      </c>
      <c r="C343" s="368"/>
      <c r="D343" s="368">
        <v>493400002</v>
      </c>
      <c r="E343" s="368"/>
      <c r="F343" s="368"/>
      <c r="G343" s="368">
        <f t="shared" si="473"/>
        <v>493400002</v>
      </c>
      <c r="H343" s="64"/>
      <c r="I343" s="210"/>
      <c r="J343" s="210"/>
      <c r="K343" s="210"/>
      <c r="L343" s="210"/>
      <c r="M343" s="210"/>
      <c r="N343" s="210"/>
      <c r="O343" s="210"/>
      <c r="P343" s="210">
        <v>98680000.400000006</v>
      </c>
      <c r="Q343" s="210">
        <v>98680000.400000006</v>
      </c>
      <c r="R343" s="210">
        <v>98680000.400000006</v>
      </c>
      <c r="S343" s="210">
        <v>98680000.400000006</v>
      </c>
      <c r="T343" s="210">
        <v>98680000.400000006</v>
      </c>
      <c r="U343" s="412">
        <f t="shared" si="470"/>
        <v>296040001.20000005</v>
      </c>
      <c r="V343" s="63">
        <f t="shared" si="474"/>
        <v>493400002</v>
      </c>
      <c r="W343" s="396">
        <f t="shared" si="464"/>
        <v>493400002</v>
      </c>
      <c r="X343" s="396">
        <f t="shared" si="465"/>
        <v>0</v>
      </c>
      <c r="Y343" s="396">
        <f>+X343/5</f>
        <v>0</v>
      </c>
      <c r="AA343" s="210"/>
      <c r="AB343" s="210"/>
      <c r="AC343" s="210"/>
      <c r="AD343" s="210"/>
      <c r="AE343" s="210"/>
      <c r="AF343" s="210">
        <v>0</v>
      </c>
      <c r="AG343" s="210">
        <v>45741760</v>
      </c>
      <c r="AH343" s="368">
        <v>197825000</v>
      </c>
      <c r="AI343" s="368">
        <v>93716363.959999993</v>
      </c>
      <c r="AJ343" s="368">
        <v>0</v>
      </c>
      <c r="AK343" s="210">
        <f t="shared" si="469"/>
        <v>337283123.95999998</v>
      </c>
      <c r="AL343" s="386"/>
      <c r="AM343" s="404" t="e">
        <f t="shared" si="452"/>
        <v>#DIV/0!</v>
      </c>
      <c r="AN343" s="404" t="e">
        <f t="shared" si="453"/>
        <v>#DIV/0!</v>
      </c>
      <c r="AO343" s="404" t="e">
        <f t="shared" si="454"/>
        <v>#DIV/0!</v>
      </c>
      <c r="AP343" s="404" t="e">
        <f t="shared" si="455"/>
        <v>#DIV/0!</v>
      </c>
      <c r="AQ343" s="404" t="e">
        <f t="shared" si="456"/>
        <v>#DIV/0!</v>
      </c>
      <c r="AR343" s="404" t="e">
        <f t="shared" si="457"/>
        <v>#DIV/0!</v>
      </c>
      <c r="AS343" s="404" t="e">
        <f t="shared" si="458"/>
        <v>#DIV/0!</v>
      </c>
      <c r="AT343" s="404">
        <f t="shared" si="459"/>
        <v>1.004712192927798</v>
      </c>
      <c r="AU343" s="404">
        <f t="shared" si="460"/>
        <v>-5.0300328535466975E-2</v>
      </c>
      <c r="AV343" s="404">
        <f t="shared" si="461"/>
        <v>-1</v>
      </c>
      <c r="AW343" s="404">
        <f t="shared" si="462"/>
        <v>2.417948141394616</v>
      </c>
    </row>
    <row r="344" spans="1:49" x14ac:dyDescent="0.25">
      <c r="A344" s="339">
        <v>23502</v>
      </c>
      <c r="B344" s="340" t="s">
        <v>173</v>
      </c>
      <c r="C344" s="367">
        <f>SUM(C345:C348)</f>
        <v>0</v>
      </c>
      <c r="D344" s="367">
        <f t="shared" ref="D344:G344" si="476">SUM(D345:D348)</f>
        <v>0</v>
      </c>
      <c r="E344" s="367">
        <f t="shared" si="476"/>
        <v>2684152425</v>
      </c>
      <c r="F344" s="367">
        <f t="shared" si="476"/>
        <v>4899180514</v>
      </c>
      <c r="G344" s="367">
        <f t="shared" si="476"/>
        <v>2215028089</v>
      </c>
      <c r="H344" s="57">
        <f>+H345+H346+H347+H348</f>
        <v>4899180513.7700005</v>
      </c>
      <c r="I344" s="208">
        <f t="shared" ref="I344:V344" si="477">+I345+I346+I347+I348</f>
        <v>0</v>
      </c>
      <c r="J344" s="208">
        <f t="shared" si="477"/>
        <v>201366189.88818187</v>
      </c>
      <c r="K344" s="208">
        <f t="shared" si="477"/>
        <v>201242433.91818187</v>
      </c>
      <c r="L344" s="208">
        <f t="shared" si="477"/>
        <v>201242433.91818187</v>
      </c>
      <c r="M344" s="208">
        <f t="shared" si="477"/>
        <v>201242433.91818187</v>
      </c>
      <c r="N344" s="208">
        <f t="shared" si="477"/>
        <v>201242433.91818187</v>
      </c>
      <c r="O344" s="208">
        <f t="shared" si="477"/>
        <v>201242433.91818187</v>
      </c>
      <c r="P344" s="208">
        <f t="shared" si="477"/>
        <v>201242433.91818187</v>
      </c>
      <c r="Q344" s="208">
        <f t="shared" si="477"/>
        <v>201242433.91818187</v>
      </c>
      <c r="R344" s="208">
        <f t="shared" si="477"/>
        <v>202479993.94818187</v>
      </c>
      <c r="S344" s="208">
        <f t="shared" si="477"/>
        <v>201242433.91818187</v>
      </c>
      <c r="T344" s="208">
        <f t="shared" si="477"/>
        <v>201242433.91818187</v>
      </c>
      <c r="U344" s="413">
        <f t="shared" si="470"/>
        <v>1812543221.2636368</v>
      </c>
      <c r="V344" s="57">
        <f t="shared" si="477"/>
        <v>2215028089.1000004</v>
      </c>
      <c r="W344" s="396">
        <f t="shared" si="464"/>
        <v>2215028089</v>
      </c>
      <c r="X344" s="396">
        <f t="shared" si="465"/>
        <v>-0.10000038146972656</v>
      </c>
      <c r="Y344" s="396"/>
      <c r="AA344" s="208">
        <v>0</v>
      </c>
      <c r="AB344" s="209">
        <v>0</v>
      </c>
      <c r="AC344" s="209">
        <v>0</v>
      </c>
      <c r="AD344" s="209">
        <v>0</v>
      </c>
      <c r="AE344" s="209">
        <v>0</v>
      </c>
      <c r="AF344" s="209">
        <v>0</v>
      </c>
      <c r="AG344" s="209">
        <v>0</v>
      </c>
      <c r="AH344" s="367">
        <v>0</v>
      </c>
      <c r="AI344" s="367">
        <v>5500000</v>
      </c>
      <c r="AJ344" s="367">
        <v>0</v>
      </c>
      <c r="AK344" s="209">
        <f t="shared" si="469"/>
        <v>5500000</v>
      </c>
      <c r="AL344" s="387"/>
      <c r="AM344" s="405" t="e">
        <f t="shared" si="452"/>
        <v>#DIV/0!</v>
      </c>
      <c r="AN344" s="405">
        <f t="shared" si="453"/>
        <v>-1</v>
      </c>
      <c r="AO344" s="405">
        <f t="shared" si="454"/>
        <v>-1</v>
      </c>
      <c r="AP344" s="405">
        <f t="shared" si="455"/>
        <v>-1</v>
      </c>
      <c r="AQ344" s="405">
        <f t="shared" si="456"/>
        <v>-1</v>
      </c>
      <c r="AR344" s="405">
        <f t="shared" si="457"/>
        <v>-1</v>
      </c>
      <c r="AS344" s="405">
        <f t="shared" si="458"/>
        <v>-1</v>
      </c>
      <c r="AT344" s="405">
        <f t="shared" si="459"/>
        <v>-1</v>
      </c>
      <c r="AU344" s="405">
        <f t="shared" si="460"/>
        <v>-0.9726697799618339</v>
      </c>
      <c r="AV344" s="405">
        <f t="shared" si="461"/>
        <v>-1</v>
      </c>
      <c r="AW344" s="405">
        <f t="shared" si="462"/>
        <v>-0.9726697799618339</v>
      </c>
    </row>
    <row r="345" spans="1:49" ht="30" x14ac:dyDescent="0.25">
      <c r="A345" s="341">
        <v>2350201</v>
      </c>
      <c r="B345" s="342" t="s">
        <v>169</v>
      </c>
      <c r="C345" s="368">
        <v>0</v>
      </c>
      <c r="D345" s="368">
        <v>0</v>
      </c>
      <c r="E345" s="368">
        <v>0</v>
      </c>
      <c r="F345" s="368">
        <v>60001</v>
      </c>
      <c r="G345" s="368">
        <f t="shared" ref="G345:G348" si="478">+C345+D345-E345+F345</f>
        <v>60001</v>
      </c>
      <c r="H345" s="64">
        <v>60000.740000009537</v>
      </c>
      <c r="I345" s="210"/>
      <c r="J345" s="210">
        <f t="shared" si="475"/>
        <v>5454.6127272735939</v>
      </c>
      <c r="K345" s="210"/>
      <c r="L345" s="210"/>
      <c r="M345" s="210"/>
      <c r="N345" s="210"/>
      <c r="O345" s="210"/>
      <c r="P345" s="210"/>
      <c r="Q345" s="210"/>
      <c r="R345" s="210">
        <v>54546.38727272641</v>
      </c>
      <c r="S345" s="210"/>
      <c r="T345" s="210"/>
      <c r="U345" s="412">
        <f t="shared" si="470"/>
        <v>60001</v>
      </c>
      <c r="V345" s="63">
        <f>SUM(I345:T345)</f>
        <v>60001</v>
      </c>
      <c r="W345" s="396">
        <f t="shared" si="464"/>
        <v>60001</v>
      </c>
      <c r="X345" s="396">
        <f t="shared" si="465"/>
        <v>0</v>
      </c>
      <c r="Y345" s="396"/>
      <c r="AA345" s="210">
        <v>0</v>
      </c>
      <c r="AB345" s="210">
        <v>0</v>
      </c>
      <c r="AC345" s="210">
        <v>0</v>
      </c>
      <c r="AD345" s="210">
        <v>0</v>
      </c>
      <c r="AE345" s="210">
        <v>0</v>
      </c>
      <c r="AF345" s="210">
        <v>0</v>
      </c>
      <c r="AG345" s="210">
        <v>0</v>
      </c>
      <c r="AH345" s="368">
        <v>0</v>
      </c>
      <c r="AI345" s="368">
        <v>0</v>
      </c>
      <c r="AJ345" s="368">
        <v>0</v>
      </c>
      <c r="AK345" s="210">
        <f t="shared" si="469"/>
        <v>0</v>
      </c>
      <c r="AL345" s="387"/>
      <c r="AM345" s="404" t="e">
        <f t="shared" si="452"/>
        <v>#DIV/0!</v>
      </c>
      <c r="AN345" s="404">
        <f t="shared" si="453"/>
        <v>-1</v>
      </c>
      <c r="AO345" s="404" t="e">
        <f t="shared" si="454"/>
        <v>#DIV/0!</v>
      </c>
      <c r="AP345" s="404" t="e">
        <f t="shared" si="455"/>
        <v>#DIV/0!</v>
      </c>
      <c r="AQ345" s="404" t="e">
        <f t="shared" si="456"/>
        <v>#DIV/0!</v>
      </c>
      <c r="AR345" s="404" t="e">
        <f t="shared" si="457"/>
        <v>#DIV/0!</v>
      </c>
      <c r="AS345" s="404" t="e">
        <f t="shared" si="458"/>
        <v>#DIV/0!</v>
      </c>
      <c r="AT345" s="404" t="e">
        <f t="shared" si="459"/>
        <v>#DIV/0!</v>
      </c>
      <c r="AU345" s="404" t="e">
        <f t="shared" si="460"/>
        <v>#DIV/0!</v>
      </c>
      <c r="AV345" s="404">
        <f t="shared" si="461"/>
        <v>-1</v>
      </c>
      <c r="AW345" s="404" t="e">
        <f t="shared" si="462"/>
        <v>#DIV/0!</v>
      </c>
    </row>
    <row r="346" spans="1:49" ht="30" x14ac:dyDescent="0.25">
      <c r="A346" s="341">
        <v>2350202</v>
      </c>
      <c r="B346" s="342" t="s">
        <v>170</v>
      </c>
      <c r="C346" s="368">
        <v>0</v>
      </c>
      <c r="D346" s="368">
        <v>0</v>
      </c>
      <c r="E346" s="368">
        <v>0</v>
      </c>
      <c r="F346" s="368">
        <v>1301315</v>
      </c>
      <c r="G346" s="368">
        <f t="shared" si="478"/>
        <v>1301315</v>
      </c>
      <c r="H346" s="64">
        <v>1301314.9300000668</v>
      </c>
      <c r="I346" s="210"/>
      <c r="J346" s="210">
        <f t="shared" si="475"/>
        <v>118301.35727273334</v>
      </c>
      <c r="K346" s="210"/>
      <c r="L346" s="210"/>
      <c r="M346" s="210"/>
      <c r="N346" s="210"/>
      <c r="O346" s="210"/>
      <c r="P346" s="210"/>
      <c r="Q346" s="210"/>
      <c r="R346" s="210">
        <v>1183013.6427272668</v>
      </c>
      <c r="S346" s="210"/>
      <c r="T346" s="210"/>
      <c r="U346" s="412">
        <f t="shared" si="470"/>
        <v>1301315</v>
      </c>
      <c r="V346" s="63">
        <f>SUM(I346:T346)</f>
        <v>1301315</v>
      </c>
      <c r="W346" s="396">
        <f t="shared" si="464"/>
        <v>1301315</v>
      </c>
      <c r="X346" s="396">
        <f t="shared" si="465"/>
        <v>0</v>
      </c>
      <c r="Y346" s="396"/>
      <c r="AA346" s="210">
        <v>0</v>
      </c>
      <c r="AB346" s="210">
        <v>0</v>
      </c>
      <c r="AC346" s="210">
        <v>0</v>
      </c>
      <c r="AD346" s="210">
        <v>0</v>
      </c>
      <c r="AE346" s="210">
        <v>0</v>
      </c>
      <c r="AF346" s="210">
        <v>0</v>
      </c>
      <c r="AG346" s="210">
        <v>0</v>
      </c>
      <c r="AH346" s="368">
        <v>0</v>
      </c>
      <c r="AI346" s="368">
        <v>0</v>
      </c>
      <c r="AJ346" s="368">
        <v>0</v>
      </c>
      <c r="AK346" s="210">
        <f t="shared" si="469"/>
        <v>0</v>
      </c>
      <c r="AL346" s="387"/>
      <c r="AM346" s="404" t="e">
        <f t="shared" si="452"/>
        <v>#DIV/0!</v>
      </c>
      <c r="AN346" s="404">
        <f t="shared" si="453"/>
        <v>-1</v>
      </c>
      <c r="AO346" s="404" t="e">
        <f t="shared" si="454"/>
        <v>#DIV/0!</v>
      </c>
      <c r="AP346" s="404" t="e">
        <f t="shared" si="455"/>
        <v>#DIV/0!</v>
      </c>
      <c r="AQ346" s="404" t="e">
        <f t="shared" si="456"/>
        <v>#DIV/0!</v>
      </c>
      <c r="AR346" s="404" t="e">
        <f t="shared" si="457"/>
        <v>#DIV/0!</v>
      </c>
      <c r="AS346" s="404" t="e">
        <f t="shared" si="458"/>
        <v>#DIV/0!</v>
      </c>
      <c r="AT346" s="404" t="e">
        <f t="shared" si="459"/>
        <v>#DIV/0!</v>
      </c>
      <c r="AU346" s="404" t="e">
        <f t="shared" si="460"/>
        <v>#DIV/0!</v>
      </c>
      <c r="AV346" s="404">
        <f t="shared" si="461"/>
        <v>-1</v>
      </c>
      <c r="AW346" s="404" t="e">
        <f t="shared" si="462"/>
        <v>#DIV/0!</v>
      </c>
    </row>
    <row r="347" spans="1:49" ht="30" x14ac:dyDescent="0.25">
      <c r="A347" s="341">
        <v>2350203</v>
      </c>
      <c r="B347" s="342" t="s">
        <v>171</v>
      </c>
      <c r="C347" s="368">
        <v>0</v>
      </c>
      <c r="D347" s="368">
        <v>0</v>
      </c>
      <c r="E347" s="368">
        <v>2684152425</v>
      </c>
      <c r="F347" s="368">
        <v>2684152425</v>
      </c>
      <c r="G347" s="368">
        <f t="shared" si="478"/>
        <v>0</v>
      </c>
      <c r="H347" s="64">
        <v>2684152425</v>
      </c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210"/>
      <c r="T347" s="210"/>
      <c r="U347" s="412">
        <f t="shared" si="470"/>
        <v>0</v>
      </c>
      <c r="V347" s="63">
        <f>SUM(I347:T347)</f>
        <v>0</v>
      </c>
      <c r="W347" s="396">
        <f t="shared" si="464"/>
        <v>0</v>
      </c>
      <c r="X347" s="396">
        <f t="shared" si="465"/>
        <v>0</v>
      </c>
      <c r="Y347" s="396"/>
      <c r="AA347" s="210">
        <v>0</v>
      </c>
      <c r="AB347" s="210">
        <v>0</v>
      </c>
      <c r="AC347" s="210">
        <v>0</v>
      </c>
      <c r="AD347" s="210">
        <v>0</v>
      </c>
      <c r="AE347" s="210">
        <v>0</v>
      </c>
      <c r="AF347" s="210">
        <v>0</v>
      </c>
      <c r="AG347" s="210">
        <v>0</v>
      </c>
      <c r="AH347" s="368">
        <v>0</v>
      </c>
      <c r="AI347" s="368">
        <v>0</v>
      </c>
      <c r="AJ347" s="368">
        <v>0</v>
      </c>
      <c r="AK347" s="210">
        <f t="shared" si="469"/>
        <v>0</v>
      </c>
      <c r="AL347" s="387"/>
      <c r="AM347" s="404" t="e">
        <f t="shared" si="452"/>
        <v>#DIV/0!</v>
      </c>
      <c r="AN347" s="404" t="e">
        <f t="shared" si="453"/>
        <v>#DIV/0!</v>
      </c>
      <c r="AO347" s="404" t="e">
        <f t="shared" si="454"/>
        <v>#DIV/0!</v>
      </c>
      <c r="AP347" s="404" t="e">
        <f t="shared" si="455"/>
        <v>#DIV/0!</v>
      </c>
      <c r="AQ347" s="404" t="e">
        <f t="shared" si="456"/>
        <v>#DIV/0!</v>
      </c>
      <c r="AR347" s="404" t="e">
        <f t="shared" si="457"/>
        <v>#DIV/0!</v>
      </c>
      <c r="AS347" s="404" t="e">
        <f t="shared" si="458"/>
        <v>#DIV/0!</v>
      </c>
      <c r="AT347" s="404" t="e">
        <f t="shared" si="459"/>
        <v>#DIV/0!</v>
      </c>
      <c r="AU347" s="404" t="e">
        <f t="shared" si="460"/>
        <v>#DIV/0!</v>
      </c>
      <c r="AV347" s="404" t="e">
        <f t="shared" si="461"/>
        <v>#DIV/0!</v>
      </c>
      <c r="AW347" s="404" t="e">
        <f t="shared" si="462"/>
        <v>#DIV/0!</v>
      </c>
    </row>
    <row r="348" spans="1:49" ht="30" x14ac:dyDescent="0.25">
      <c r="A348" s="341">
        <v>2350204</v>
      </c>
      <c r="B348" s="342" t="s">
        <v>172</v>
      </c>
      <c r="C348" s="368">
        <v>0</v>
      </c>
      <c r="D348" s="368">
        <v>0</v>
      </c>
      <c r="E348" s="368">
        <v>0</v>
      </c>
      <c r="F348" s="368">
        <v>2213666773</v>
      </c>
      <c r="G348" s="368">
        <f t="shared" si="478"/>
        <v>2213666773</v>
      </c>
      <c r="H348" s="64">
        <v>2213666773.1000004</v>
      </c>
      <c r="I348" s="210"/>
      <c r="J348" s="210">
        <f t="shared" si="475"/>
        <v>201242433.91818187</v>
      </c>
      <c r="K348" s="210">
        <v>201242433.91818187</v>
      </c>
      <c r="L348" s="210">
        <v>201242433.91818187</v>
      </c>
      <c r="M348" s="210">
        <v>201242433.91818187</v>
      </c>
      <c r="N348" s="210">
        <v>201242433.91818187</v>
      </c>
      <c r="O348" s="210">
        <v>201242433.91818187</v>
      </c>
      <c r="P348" s="210">
        <v>201242433.91818187</v>
      </c>
      <c r="Q348" s="210">
        <v>201242433.91818187</v>
      </c>
      <c r="R348" s="210">
        <v>201242433.91818187</v>
      </c>
      <c r="S348" s="210">
        <v>201242433.91818187</v>
      </c>
      <c r="T348" s="210">
        <v>201242433.91818187</v>
      </c>
      <c r="U348" s="412">
        <f t="shared" si="470"/>
        <v>1811181905.2636368</v>
      </c>
      <c r="V348" s="63">
        <f>SUM(I348:T348)</f>
        <v>2213666773.1000004</v>
      </c>
      <c r="W348" s="396">
        <f t="shared" si="464"/>
        <v>2213666773</v>
      </c>
      <c r="X348" s="396">
        <f t="shared" si="465"/>
        <v>-0.10000038146972656</v>
      </c>
      <c r="Y348" s="396"/>
      <c r="AA348" s="210">
        <v>0</v>
      </c>
      <c r="AB348" s="210">
        <v>0</v>
      </c>
      <c r="AC348" s="210">
        <v>0</v>
      </c>
      <c r="AD348" s="210">
        <v>0</v>
      </c>
      <c r="AE348" s="210">
        <v>0</v>
      </c>
      <c r="AF348" s="210">
        <v>0</v>
      </c>
      <c r="AG348" s="210">
        <v>0</v>
      </c>
      <c r="AH348" s="368">
        <v>0</v>
      </c>
      <c r="AI348" s="368">
        <v>5500000</v>
      </c>
      <c r="AJ348" s="368">
        <v>0</v>
      </c>
      <c r="AK348" s="210">
        <f t="shared" si="469"/>
        <v>5500000</v>
      </c>
      <c r="AL348" s="386"/>
      <c r="AM348" s="404" t="e">
        <f t="shared" si="452"/>
        <v>#DIV/0!</v>
      </c>
      <c r="AN348" s="404">
        <f t="shared" si="453"/>
        <v>-1</v>
      </c>
      <c r="AO348" s="404">
        <f t="shared" si="454"/>
        <v>-1</v>
      </c>
      <c r="AP348" s="404">
        <f t="shared" si="455"/>
        <v>-1</v>
      </c>
      <c r="AQ348" s="404">
        <f t="shared" si="456"/>
        <v>-1</v>
      </c>
      <c r="AR348" s="404">
        <f t="shared" si="457"/>
        <v>-1</v>
      </c>
      <c r="AS348" s="404">
        <f t="shared" si="458"/>
        <v>-1</v>
      </c>
      <c r="AT348" s="404">
        <f t="shared" si="459"/>
        <v>-1</v>
      </c>
      <c r="AU348" s="404">
        <f t="shared" si="460"/>
        <v>-0.9726697799618339</v>
      </c>
      <c r="AV348" s="404">
        <f t="shared" si="461"/>
        <v>-1</v>
      </c>
      <c r="AW348" s="404">
        <f t="shared" si="462"/>
        <v>-0.9726697799618339</v>
      </c>
    </row>
    <row r="349" spans="1:49" x14ac:dyDescent="0.25">
      <c r="A349" s="339">
        <v>23503</v>
      </c>
      <c r="B349" s="340" t="s">
        <v>795</v>
      </c>
      <c r="C349" s="367">
        <f>SUM(C350:C360)</f>
        <v>0</v>
      </c>
      <c r="D349" s="367">
        <f t="shared" ref="D349:G349" si="479">SUM(D350:D360)</f>
        <v>0</v>
      </c>
      <c r="E349" s="367">
        <f t="shared" si="479"/>
        <v>2182569021</v>
      </c>
      <c r="F349" s="367">
        <f t="shared" si="479"/>
        <v>3325715838</v>
      </c>
      <c r="G349" s="367">
        <f t="shared" si="479"/>
        <v>1143146817</v>
      </c>
      <c r="H349" s="57">
        <f t="shared" ref="H349:V349" si="480">SUM(H350:H360)</f>
        <v>3325715837.4299998</v>
      </c>
      <c r="I349" s="208">
        <f t="shared" si="480"/>
        <v>0</v>
      </c>
      <c r="J349" s="208">
        <f t="shared" si="480"/>
        <v>103922437.85727271</v>
      </c>
      <c r="K349" s="208">
        <f t="shared" si="480"/>
        <v>103922437.85727271</v>
      </c>
      <c r="L349" s="208">
        <f t="shared" si="480"/>
        <v>103922437.85727271</v>
      </c>
      <c r="M349" s="208">
        <f t="shared" si="480"/>
        <v>103922437.85727271</v>
      </c>
      <c r="N349" s="208">
        <f t="shared" si="480"/>
        <v>103922437.85727271</v>
      </c>
      <c r="O349" s="208">
        <f t="shared" si="480"/>
        <v>103922437.85727271</v>
      </c>
      <c r="P349" s="208">
        <f t="shared" si="480"/>
        <v>103922437.85727271</v>
      </c>
      <c r="Q349" s="208">
        <f t="shared" si="480"/>
        <v>103922437.85727271</v>
      </c>
      <c r="R349" s="208">
        <f t="shared" si="480"/>
        <v>103922437.85727271</v>
      </c>
      <c r="S349" s="208">
        <f t="shared" si="480"/>
        <v>103922437.85727271</v>
      </c>
      <c r="T349" s="208">
        <f t="shared" si="480"/>
        <v>103922437.85727271</v>
      </c>
      <c r="U349" s="413">
        <f t="shared" si="470"/>
        <v>935301940.71545458</v>
      </c>
      <c r="V349" s="57">
        <f t="shared" si="480"/>
        <v>1143146816.4300001</v>
      </c>
      <c r="W349" s="396">
        <f t="shared" si="464"/>
        <v>1143146817</v>
      </c>
      <c r="X349" s="396">
        <f t="shared" si="465"/>
        <v>0.56999993324279785</v>
      </c>
      <c r="Y349" s="396"/>
      <c r="AA349" s="208">
        <v>0</v>
      </c>
      <c r="AB349" s="209">
        <v>14313149</v>
      </c>
      <c r="AC349" s="209">
        <v>0</v>
      </c>
      <c r="AD349" s="209">
        <v>0</v>
      </c>
      <c r="AE349" s="209">
        <v>0</v>
      </c>
      <c r="AF349" s="209">
        <v>0</v>
      </c>
      <c r="AG349" s="209">
        <v>8044203.5</v>
      </c>
      <c r="AH349" s="367">
        <v>15560541</v>
      </c>
      <c r="AI349" s="367">
        <v>4000000</v>
      </c>
      <c r="AJ349" s="367">
        <v>4000000</v>
      </c>
      <c r="AK349" s="209">
        <f t="shared" si="469"/>
        <v>45917893.5</v>
      </c>
      <c r="AL349" s="387"/>
      <c r="AM349" s="405" t="e">
        <f t="shared" si="452"/>
        <v>#DIV/0!</v>
      </c>
      <c r="AN349" s="405">
        <f t="shared" si="453"/>
        <v>-0.86227085030801809</v>
      </c>
      <c r="AO349" s="405">
        <f t="shared" si="454"/>
        <v>-1</v>
      </c>
      <c r="AP349" s="405">
        <f t="shared" si="455"/>
        <v>-1</v>
      </c>
      <c r="AQ349" s="405">
        <f t="shared" si="456"/>
        <v>-1</v>
      </c>
      <c r="AR349" s="405">
        <f t="shared" si="457"/>
        <v>-1</v>
      </c>
      <c r="AS349" s="405">
        <f t="shared" si="458"/>
        <v>-0.92259416093521662</v>
      </c>
      <c r="AT349" s="405">
        <f t="shared" si="459"/>
        <v>-0.85026774466770227</v>
      </c>
      <c r="AU349" s="405">
        <f t="shared" si="460"/>
        <v>-0.96150975590571108</v>
      </c>
      <c r="AV349" s="405">
        <f t="shared" si="461"/>
        <v>-0.96150975590571108</v>
      </c>
      <c r="AW349" s="405">
        <f t="shared" si="462"/>
        <v>-0.55815226772235915</v>
      </c>
    </row>
    <row r="350" spans="1:49" ht="30" x14ac:dyDescent="0.25">
      <c r="A350" s="341">
        <v>2350301</v>
      </c>
      <c r="B350" s="342" t="s">
        <v>174</v>
      </c>
      <c r="C350" s="368">
        <v>0</v>
      </c>
      <c r="D350" s="368">
        <v>0</v>
      </c>
      <c r="E350" s="368">
        <v>0</v>
      </c>
      <c r="F350" s="368">
        <v>35022827</v>
      </c>
      <c r="G350" s="368">
        <f t="shared" ref="G350:G360" si="481">+C350+D350-E350+F350</f>
        <v>35022827</v>
      </c>
      <c r="H350" s="65">
        <v>35022827</v>
      </c>
      <c r="I350" s="210"/>
      <c r="J350" s="210">
        <f t="shared" si="475"/>
        <v>3183893.3636363638</v>
      </c>
      <c r="K350" s="210">
        <v>3183893.3636363638</v>
      </c>
      <c r="L350" s="210">
        <v>3183893.3636363638</v>
      </c>
      <c r="M350" s="210">
        <v>3183893.3636363638</v>
      </c>
      <c r="N350" s="210">
        <v>3183893.3636363638</v>
      </c>
      <c r="O350" s="210">
        <v>3183893.3636363638</v>
      </c>
      <c r="P350" s="210">
        <v>3183893.3636363638</v>
      </c>
      <c r="Q350" s="210">
        <v>3183893.3636363638</v>
      </c>
      <c r="R350" s="210">
        <v>3183893.3636363638</v>
      </c>
      <c r="S350" s="210">
        <v>3183893.3636363638</v>
      </c>
      <c r="T350" s="210">
        <v>3183893.3636363638</v>
      </c>
      <c r="U350" s="412">
        <f t="shared" si="470"/>
        <v>28655040.272727273</v>
      </c>
      <c r="V350" s="63">
        <f t="shared" ref="V350:V360" si="482">SUM(I350:T350)</f>
        <v>35022827</v>
      </c>
      <c r="W350" s="396">
        <f t="shared" si="464"/>
        <v>35022827</v>
      </c>
      <c r="X350" s="396">
        <f t="shared" si="465"/>
        <v>0</v>
      </c>
      <c r="Y350" s="396"/>
      <c r="AA350" s="210">
        <v>0</v>
      </c>
      <c r="AB350" s="210">
        <v>0</v>
      </c>
      <c r="AC350" s="210">
        <v>0</v>
      </c>
      <c r="AD350" s="210">
        <v>0</v>
      </c>
      <c r="AE350" s="210">
        <v>0</v>
      </c>
      <c r="AF350" s="210">
        <v>0</v>
      </c>
      <c r="AG350" s="210">
        <v>2886652.5</v>
      </c>
      <c r="AH350" s="368">
        <v>15560541</v>
      </c>
      <c r="AI350" s="368">
        <v>4000000</v>
      </c>
      <c r="AJ350" s="368">
        <v>4000000</v>
      </c>
      <c r="AK350" s="210">
        <f t="shared" si="469"/>
        <v>26447193.5</v>
      </c>
      <c r="AL350" s="387"/>
      <c r="AM350" s="404" t="e">
        <f t="shared" si="452"/>
        <v>#DIV/0!</v>
      </c>
      <c r="AN350" s="404">
        <f t="shared" si="453"/>
        <v>-1</v>
      </c>
      <c r="AO350" s="404">
        <f t="shared" si="454"/>
        <v>-1</v>
      </c>
      <c r="AP350" s="404">
        <f t="shared" si="455"/>
        <v>-1</v>
      </c>
      <c r="AQ350" s="404">
        <f t="shared" si="456"/>
        <v>-1</v>
      </c>
      <c r="AR350" s="404">
        <f t="shared" si="457"/>
        <v>-1</v>
      </c>
      <c r="AS350" s="404">
        <f t="shared" si="458"/>
        <v>-9.3357669270958663E-2</v>
      </c>
      <c r="AT350" s="404">
        <f t="shared" si="459"/>
        <v>3.8872682664937357</v>
      </c>
      <c r="AU350" s="404">
        <f t="shared" si="460"/>
        <v>0.25632348296726581</v>
      </c>
      <c r="AV350" s="404">
        <f t="shared" si="461"/>
        <v>0.25632348296726581</v>
      </c>
      <c r="AW350" s="404">
        <f t="shared" si="462"/>
        <v>7.306557563157309</v>
      </c>
    </row>
    <row r="351" spans="1:49" ht="30" x14ac:dyDescent="0.25">
      <c r="A351" s="341">
        <v>2350302</v>
      </c>
      <c r="B351" s="342" t="s">
        <v>175</v>
      </c>
      <c r="C351" s="368">
        <v>0</v>
      </c>
      <c r="D351" s="368">
        <v>0</v>
      </c>
      <c r="E351" s="368">
        <v>0</v>
      </c>
      <c r="F351" s="368">
        <v>70423765</v>
      </c>
      <c r="G351" s="368">
        <f t="shared" si="481"/>
        <v>70423765</v>
      </c>
      <c r="H351" s="65">
        <f>72253960-1830195.37</f>
        <v>70423764.629999995</v>
      </c>
      <c r="I351" s="210"/>
      <c r="J351" s="210">
        <f t="shared" si="475"/>
        <v>6402160.4209090909</v>
      </c>
      <c r="K351" s="210">
        <v>6402160.4209090909</v>
      </c>
      <c r="L351" s="210">
        <v>6402160.4209090909</v>
      </c>
      <c r="M351" s="210">
        <v>6402160.4209090909</v>
      </c>
      <c r="N351" s="210">
        <v>6402160.4209090909</v>
      </c>
      <c r="O351" s="210">
        <v>6402160.4209090909</v>
      </c>
      <c r="P351" s="210">
        <v>6402160.4209090909</v>
      </c>
      <c r="Q351" s="210">
        <v>6402160.4209090909</v>
      </c>
      <c r="R351" s="210">
        <v>6402160.4209090909</v>
      </c>
      <c r="S351" s="210">
        <v>6402160.4209090909</v>
      </c>
      <c r="T351" s="210">
        <v>6402160.4209090909</v>
      </c>
      <c r="U351" s="412">
        <f t="shared" si="470"/>
        <v>57619443.788181819</v>
      </c>
      <c r="V351" s="63">
        <f t="shared" si="482"/>
        <v>70423764.629999995</v>
      </c>
      <c r="W351" s="396">
        <f t="shared" si="464"/>
        <v>70423765</v>
      </c>
      <c r="X351" s="396">
        <f t="shared" si="465"/>
        <v>0.37000000476837158</v>
      </c>
      <c r="Y351" s="396"/>
      <c r="AA351" s="210">
        <v>0</v>
      </c>
      <c r="AB351" s="210">
        <v>0</v>
      </c>
      <c r="AC351" s="210">
        <v>0</v>
      </c>
      <c r="AD351" s="210">
        <v>0</v>
      </c>
      <c r="AE351" s="210">
        <v>0</v>
      </c>
      <c r="AF351" s="210">
        <v>0</v>
      </c>
      <c r="AG351" s="210">
        <v>0</v>
      </c>
      <c r="AH351" s="368">
        <v>0</v>
      </c>
      <c r="AI351" s="368">
        <v>0</v>
      </c>
      <c r="AJ351" s="368">
        <v>0</v>
      </c>
      <c r="AK351" s="210">
        <f t="shared" si="469"/>
        <v>0</v>
      </c>
      <c r="AL351" s="387"/>
      <c r="AM351" s="404" t="e">
        <f t="shared" si="452"/>
        <v>#DIV/0!</v>
      </c>
      <c r="AN351" s="404">
        <f t="shared" si="453"/>
        <v>-1</v>
      </c>
      <c r="AO351" s="404">
        <f t="shared" si="454"/>
        <v>-1</v>
      </c>
      <c r="AP351" s="404">
        <f t="shared" si="455"/>
        <v>-1</v>
      </c>
      <c r="AQ351" s="404">
        <f t="shared" si="456"/>
        <v>-1</v>
      </c>
      <c r="AR351" s="404">
        <f t="shared" si="457"/>
        <v>-1</v>
      </c>
      <c r="AS351" s="404">
        <f t="shared" si="458"/>
        <v>-1</v>
      </c>
      <c r="AT351" s="404">
        <f t="shared" si="459"/>
        <v>-1</v>
      </c>
      <c r="AU351" s="404">
        <f t="shared" si="460"/>
        <v>-1</v>
      </c>
      <c r="AV351" s="404">
        <f t="shared" si="461"/>
        <v>-1</v>
      </c>
      <c r="AW351" s="404">
        <f t="shared" si="462"/>
        <v>-1</v>
      </c>
    </row>
    <row r="352" spans="1:49" ht="30" x14ac:dyDescent="0.25">
      <c r="A352" s="341">
        <v>2350303</v>
      </c>
      <c r="B352" s="342" t="s">
        <v>176</v>
      </c>
      <c r="C352" s="368">
        <v>0</v>
      </c>
      <c r="D352" s="368">
        <v>0</v>
      </c>
      <c r="E352" s="368">
        <v>0</v>
      </c>
      <c r="F352" s="368">
        <v>749700000</v>
      </c>
      <c r="G352" s="368">
        <f t="shared" si="481"/>
        <v>749700000</v>
      </c>
      <c r="H352" s="65">
        <v>749700000</v>
      </c>
      <c r="I352" s="210"/>
      <c r="J352" s="210">
        <f t="shared" si="475"/>
        <v>68154545.454545453</v>
      </c>
      <c r="K352" s="210">
        <v>68154545.454545453</v>
      </c>
      <c r="L352" s="210">
        <v>68154545.454545453</v>
      </c>
      <c r="M352" s="210">
        <v>68154545.454545453</v>
      </c>
      <c r="N352" s="210">
        <v>68154545.454545453</v>
      </c>
      <c r="O352" s="210">
        <v>68154545.454545453</v>
      </c>
      <c r="P352" s="210">
        <v>68154545.454545453</v>
      </c>
      <c r="Q352" s="210">
        <v>68154545.454545453</v>
      </c>
      <c r="R352" s="210">
        <v>68154545.454545453</v>
      </c>
      <c r="S352" s="210">
        <v>68154545.454545453</v>
      </c>
      <c r="T352" s="210">
        <v>68154545.454545453</v>
      </c>
      <c r="U352" s="412">
        <f t="shared" si="470"/>
        <v>613390909.09090912</v>
      </c>
      <c r="V352" s="63">
        <f t="shared" si="482"/>
        <v>749700000.00000012</v>
      </c>
      <c r="W352" s="396">
        <f t="shared" si="464"/>
        <v>749700000</v>
      </c>
      <c r="X352" s="396">
        <f t="shared" si="465"/>
        <v>0</v>
      </c>
      <c r="Y352" s="396"/>
      <c r="AA352" s="210">
        <v>0</v>
      </c>
      <c r="AB352" s="210">
        <v>0</v>
      </c>
      <c r="AC352" s="210">
        <v>0</v>
      </c>
      <c r="AD352" s="210">
        <v>0</v>
      </c>
      <c r="AE352" s="210">
        <v>0</v>
      </c>
      <c r="AF352" s="210">
        <v>0</v>
      </c>
      <c r="AG352" s="210">
        <v>0</v>
      </c>
      <c r="AH352" s="368">
        <v>0</v>
      </c>
      <c r="AI352" s="368">
        <v>0</v>
      </c>
      <c r="AJ352" s="368">
        <v>0</v>
      </c>
      <c r="AK352" s="210">
        <f t="shared" si="469"/>
        <v>0</v>
      </c>
      <c r="AL352" s="387"/>
      <c r="AM352" s="404" t="e">
        <f t="shared" si="452"/>
        <v>#DIV/0!</v>
      </c>
      <c r="AN352" s="404">
        <f t="shared" si="453"/>
        <v>-1</v>
      </c>
      <c r="AO352" s="404">
        <f t="shared" si="454"/>
        <v>-1</v>
      </c>
      <c r="AP352" s="404">
        <f t="shared" si="455"/>
        <v>-1</v>
      </c>
      <c r="AQ352" s="404">
        <f t="shared" si="456"/>
        <v>-1</v>
      </c>
      <c r="AR352" s="404">
        <f t="shared" si="457"/>
        <v>-1</v>
      </c>
      <c r="AS352" s="404">
        <f t="shared" si="458"/>
        <v>-1</v>
      </c>
      <c r="AT352" s="404">
        <f t="shared" si="459"/>
        <v>-1</v>
      </c>
      <c r="AU352" s="404">
        <f t="shared" si="460"/>
        <v>-1</v>
      </c>
      <c r="AV352" s="404">
        <f t="shared" si="461"/>
        <v>-1</v>
      </c>
      <c r="AW352" s="404">
        <f t="shared" si="462"/>
        <v>-1</v>
      </c>
    </row>
    <row r="353" spans="1:49" ht="30" x14ac:dyDescent="0.25">
      <c r="A353" s="341">
        <v>2350309</v>
      </c>
      <c r="B353" s="342" t="s">
        <v>177</v>
      </c>
      <c r="C353" s="368">
        <v>0</v>
      </c>
      <c r="D353" s="368">
        <v>0</v>
      </c>
      <c r="E353" s="368">
        <v>0</v>
      </c>
      <c r="F353" s="368">
        <v>31916686</v>
      </c>
      <c r="G353" s="368">
        <f t="shared" si="481"/>
        <v>31916686</v>
      </c>
      <c r="H353" s="65">
        <v>31916686</v>
      </c>
      <c r="I353" s="210"/>
      <c r="J353" s="210">
        <f t="shared" si="475"/>
        <v>2901516.9090909092</v>
      </c>
      <c r="K353" s="210">
        <v>2901516.9090909092</v>
      </c>
      <c r="L353" s="210">
        <v>2901516.9090909092</v>
      </c>
      <c r="M353" s="210">
        <v>2901516.9090909092</v>
      </c>
      <c r="N353" s="210">
        <v>2901516.9090909092</v>
      </c>
      <c r="O353" s="210">
        <v>2901516.9090909092</v>
      </c>
      <c r="P353" s="210">
        <v>2901516.9090909092</v>
      </c>
      <c r="Q353" s="210">
        <v>2901516.9090909092</v>
      </c>
      <c r="R353" s="210">
        <v>2901516.9090909092</v>
      </c>
      <c r="S353" s="210">
        <v>2901516.9090909092</v>
      </c>
      <c r="T353" s="210">
        <v>2901516.9090909092</v>
      </c>
      <c r="U353" s="412">
        <f t="shared" si="470"/>
        <v>26113652.181818187</v>
      </c>
      <c r="V353" s="63">
        <f t="shared" si="482"/>
        <v>31916686.000000007</v>
      </c>
      <c r="W353" s="396">
        <f t="shared" si="464"/>
        <v>31916686</v>
      </c>
      <c r="X353" s="396">
        <f t="shared" si="465"/>
        <v>0</v>
      </c>
      <c r="Y353" s="396"/>
      <c r="AA353" s="210">
        <v>0</v>
      </c>
      <c r="AB353" s="210">
        <v>0</v>
      </c>
      <c r="AC353" s="210">
        <v>0</v>
      </c>
      <c r="AD353" s="210">
        <v>0</v>
      </c>
      <c r="AE353" s="210">
        <v>0</v>
      </c>
      <c r="AF353" s="210">
        <v>0</v>
      </c>
      <c r="AG353" s="210">
        <v>0</v>
      </c>
      <c r="AH353" s="368">
        <v>0</v>
      </c>
      <c r="AI353" s="368">
        <v>0</v>
      </c>
      <c r="AJ353" s="368">
        <v>0</v>
      </c>
      <c r="AK353" s="210">
        <f t="shared" si="469"/>
        <v>0</v>
      </c>
      <c r="AL353" s="387"/>
      <c r="AM353" s="404" t="e">
        <f t="shared" si="452"/>
        <v>#DIV/0!</v>
      </c>
      <c r="AN353" s="404">
        <f t="shared" si="453"/>
        <v>-1</v>
      </c>
      <c r="AO353" s="404">
        <f t="shared" si="454"/>
        <v>-1</v>
      </c>
      <c r="AP353" s="404">
        <f t="shared" si="455"/>
        <v>-1</v>
      </c>
      <c r="AQ353" s="404">
        <f t="shared" si="456"/>
        <v>-1</v>
      </c>
      <c r="AR353" s="404">
        <f t="shared" si="457"/>
        <v>-1</v>
      </c>
      <c r="AS353" s="404">
        <f t="shared" si="458"/>
        <v>-1</v>
      </c>
      <c r="AT353" s="404">
        <f t="shared" si="459"/>
        <v>-1</v>
      </c>
      <c r="AU353" s="404">
        <f t="shared" si="460"/>
        <v>-1</v>
      </c>
      <c r="AV353" s="404">
        <f t="shared" si="461"/>
        <v>-1</v>
      </c>
      <c r="AW353" s="404">
        <f t="shared" si="462"/>
        <v>-1</v>
      </c>
    </row>
    <row r="354" spans="1:49" x14ac:dyDescent="0.25">
      <c r="A354" s="364">
        <v>2350315</v>
      </c>
      <c r="B354" s="342" t="s">
        <v>178</v>
      </c>
      <c r="C354" s="368">
        <v>0</v>
      </c>
      <c r="D354" s="368">
        <v>0</v>
      </c>
      <c r="E354" s="368">
        <v>0</v>
      </c>
      <c r="F354" s="368">
        <v>2892728</v>
      </c>
      <c r="G354" s="368">
        <f t="shared" si="481"/>
        <v>2892728</v>
      </c>
      <c r="H354" s="65">
        <v>2892728</v>
      </c>
      <c r="I354" s="210"/>
      <c r="J354" s="210">
        <f t="shared" si="475"/>
        <v>262975.27272727271</v>
      </c>
      <c r="K354" s="210">
        <v>262975.27272727271</v>
      </c>
      <c r="L354" s="210">
        <v>262975.27272727271</v>
      </c>
      <c r="M354" s="210">
        <v>262975.27272727271</v>
      </c>
      <c r="N354" s="210">
        <v>262975.27272727271</v>
      </c>
      <c r="O354" s="210">
        <v>262975.27272727271</v>
      </c>
      <c r="P354" s="210">
        <v>262975.27272727271</v>
      </c>
      <c r="Q354" s="210">
        <v>262975.27272727271</v>
      </c>
      <c r="R354" s="210">
        <v>262975.27272727271</v>
      </c>
      <c r="S354" s="210">
        <v>262975.27272727271</v>
      </c>
      <c r="T354" s="210">
        <v>262975.27272727271</v>
      </c>
      <c r="U354" s="412">
        <f t="shared" si="470"/>
        <v>2366777.4545454541</v>
      </c>
      <c r="V354" s="63">
        <f t="shared" si="482"/>
        <v>2892727.9999999991</v>
      </c>
      <c r="W354" s="396">
        <f t="shared" si="464"/>
        <v>2892728</v>
      </c>
      <c r="X354" s="396">
        <f t="shared" si="465"/>
        <v>0</v>
      </c>
      <c r="Y354" s="396"/>
      <c r="AA354" s="210">
        <v>0</v>
      </c>
      <c r="AB354" s="210">
        <v>0</v>
      </c>
      <c r="AC354" s="210">
        <v>0</v>
      </c>
      <c r="AD354" s="210">
        <v>0</v>
      </c>
      <c r="AE354" s="210">
        <v>0</v>
      </c>
      <c r="AF354" s="210">
        <v>0</v>
      </c>
      <c r="AG354" s="210">
        <v>0</v>
      </c>
      <c r="AH354" s="368">
        <v>0</v>
      </c>
      <c r="AI354" s="368">
        <v>0</v>
      </c>
      <c r="AJ354" s="368">
        <v>0</v>
      </c>
      <c r="AK354" s="210">
        <f t="shared" si="469"/>
        <v>0</v>
      </c>
      <c r="AL354" s="387"/>
      <c r="AM354" s="404" t="e">
        <f t="shared" si="452"/>
        <v>#DIV/0!</v>
      </c>
      <c r="AN354" s="404">
        <f t="shared" si="453"/>
        <v>-1</v>
      </c>
      <c r="AO354" s="404">
        <f t="shared" si="454"/>
        <v>-1</v>
      </c>
      <c r="AP354" s="404">
        <f t="shared" si="455"/>
        <v>-1</v>
      </c>
      <c r="AQ354" s="404">
        <f t="shared" si="456"/>
        <v>-1</v>
      </c>
      <c r="AR354" s="404">
        <f t="shared" si="457"/>
        <v>-1</v>
      </c>
      <c r="AS354" s="404">
        <f t="shared" si="458"/>
        <v>-1</v>
      </c>
      <c r="AT354" s="404">
        <f t="shared" si="459"/>
        <v>-1</v>
      </c>
      <c r="AU354" s="404">
        <f t="shared" si="460"/>
        <v>-1</v>
      </c>
      <c r="AV354" s="404">
        <f t="shared" si="461"/>
        <v>-1</v>
      </c>
      <c r="AW354" s="404">
        <f t="shared" si="462"/>
        <v>-1</v>
      </c>
    </row>
    <row r="355" spans="1:49" ht="30" x14ac:dyDescent="0.25">
      <c r="A355" s="341">
        <v>2350321</v>
      </c>
      <c r="B355" s="342" t="s">
        <v>179</v>
      </c>
      <c r="C355" s="368">
        <v>0</v>
      </c>
      <c r="D355" s="368">
        <v>0</v>
      </c>
      <c r="E355" s="368">
        <v>0</v>
      </c>
      <c r="F355" s="368">
        <v>19873160</v>
      </c>
      <c r="G355" s="368">
        <f t="shared" si="481"/>
        <v>19873160</v>
      </c>
      <c r="H355" s="65">
        <v>19873159.799999952</v>
      </c>
      <c r="I355" s="210"/>
      <c r="J355" s="210">
        <f t="shared" si="475"/>
        <v>1806650.8909090867</v>
      </c>
      <c r="K355" s="210">
        <v>1806650.8909090867</v>
      </c>
      <c r="L355" s="210">
        <v>1806650.8909090867</v>
      </c>
      <c r="M355" s="210">
        <v>1806650.8909090867</v>
      </c>
      <c r="N355" s="210">
        <v>1806650.8909090867</v>
      </c>
      <c r="O355" s="210">
        <v>1806650.8909090867</v>
      </c>
      <c r="P355" s="210">
        <v>1806650.8909090867</v>
      </c>
      <c r="Q355" s="210">
        <v>1806650.8909090867</v>
      </c>
      <c r="R355" s="210">
        <v>1806650.8909090867</v>
      </c>
      <c r="S355" s="210">
        <v>1806650.8909090867</v>
      </c>
      <c r="T355" s="210">
        <v>1806650.8909090867</v>
      </c>
      <c r="U355" s="412">
        <f t="shared" si="470"/>
        <v>16259858.01818178</v>
      </c>
      <c r="V355" s="63">
        <f t="shared" si="482"/>
        <v>19873159.799999952</v>
      </c>
      <c r="W355" s="396">
        <f t="shared" si="464"/>
        <v>19873160</v>
      </c>
      <c r="X355" s="396">
        <f t="shared" si="465"/>
        <v>0.20000004768371582</v>
      </c>
      <c r="Y355" s="396"/>
      <c r="AA355" s="210">
        <v>0</v>
      </c>
      <c r="AB355" s="210">
        <v>0</v>
      </c>
      <c r="AC355" s="210">
        <v>0</v>
      </c>
      <c r="AD355" s="210">
        <v>0</v>
      </c>
      <c r="AE355" s="210">
        <v>0</v>
      </c>
      <c r="AF355" s="210">
        <v>0</v>
      </c>
      <c r="AG355" s="210">
        <v>0</v>
      </c>
      <c r="AH355" s="368">
        <v>0</v>
      </c>
      <c r="AI355" s="368">
        <v>0</v>
      </c>
      <c r="AJ355" s="368">
        <v>0</v>
      </c>
      <c r="AK355" s="210">
        <f t="shared" si="469"/>
        <v>0</v>
      </c>
      <c r="AL355" s="387"/>
      <c r="AM355" s="404" t="e">
        <f t="shared" si="452"/>
        <v>#DIV/0!</v>
      </c>
      <c r="AN355" s="404">
        <f t="shared" si="453"/>
        <v>-1</v>
      </c>
      <c r="AO355" s="404">
        <f t="shared" si="454"/>
        <v>-1</v>
      </c>
      <c r="AP355" s="404">
        <f t="shared" si="455"/>
        <v>-1</v>
      </c>
      <c r="AQ355" s="404">
        <f t="shared" si="456"/>
        <v>-1</v>
      </c>
      <c r="AR355" s="404">
        <f t="shared" si="457"/>
        <v>-1</v>
      </c>
      <c r="AS355" s="404">
        <f t="shared" si="458"/>
        <v>-1</v>
      </c>
      <c r="AT355" s="404">
        <f t="shared" si="459"/>
        <v>-1</v>
      </c>
      <c r="AU355" s="404">
        <f t="shared" si="460"/>
        <v>-1</v>
      </c>
      <c r="AV355" s="404">
        <f t="shared" si="461"/>
        <v>-1</v>
      </c>
      <c r="AW355" s="404">
        <f t="shared" si="462"/>
        <v>-1</v>
      </c>
    </row>
    <row r="356" spans="1:49" ht="30" x14ac:dyDescent="0.25">
      <c r="A356" s="341">
        <v>2350324</v>
      </c>
      <c r="B356" s="342" t="s">
        <v>180</v>
      </c>
      <c r="C356" s="368">
        <v>0</v>
      </c>
      <c r="D356" s="368">
        <v>0</v>
      </c>
      <c r="E356" s="368">
        <v>0</v>
      </c>
      <c r="F356" s="368">
        <v>40398042</v>
      </c>
      <c r="G356" s="368">
        <f t="shared" si="481"/>
        <v>40398042</v>
      </c>
      <c r="H356" s="64">
        <v>40398042</v>
      </c>
      <c r="I356" s="210"/>
      <c r="J356" s="210">
        <f t="shared" si="475"/>
        <v>3672549.2727272729</v>
      </c>
      <c r="K356" s="210">
        <v>3672549.2727272729</v>
      </c>
      <c r="L356" s="210">
        <v>3672549.2727272729</v>
      </c>
      <c r="M356" s="210">
        <v>3672549.2727272729</v>
      </c>
      <c r="N356" s="210">
        <v>3672549.2727272729</v>
      </c>
      <c r="O356" s="210">
        <v>3672549.2727272729</v>
      </c>
      <c r="P356" s="210">
        <v>3672549.2727272729</v>
      </c>
      <c r="Q356" s="210">
        <v>3672549.2727272729</v>
      </c>
      <c r="R356" s="210">
        <v>3672549.2727272729</v>
      </c>
      <c r="S356" s="210">
        <v>3672549.2727272729</v>
      </c>
      <c r="T356" s="210">
        <v>3672549.2727272729</v>
      </c>
      <c r="U356" s="412">
        <f t="shared" si="470"/>
        <v>33052943.454545457</v>
      </c>
      <c r="V356" s="63">
        <f t="shared" si="482"/>
        <v>40398042</v>
      </c>
      <c r="W356" s="396">
        <f t="shared" si="464"/>
        <v>40398042</v>
      </c>
      <c r="X356" s="396">
        <f t="shared" si="465"/>
        <v>0</v>
      </c>
      <c r="Y356" s="396"/>
      <c r="AA356" s="210">
        <v>0</v>
      </c>
      <c r="AB356" s="210">
        <v>0</v>
      </c>
      <c r="AC356" s="210">
        <v>0</v>
      </c>
      <c r="AD356" s="210">
        <v>0</v>
      </c>
      <c r="AE356" s="210">
        <v>0</v>
      </c>
      <c r="AF356" s="210">
        <v>0</v>
      </c>
      <c r="AG356" s="210">
        <v>0</v>
      </c>
      <c r="AH356" s="368">
        <v>0</v>
      </c>
      <c r="AI356" s="368">
        <v>0</v>
      </c>
      <c r="AJ356" s="368">
        <v>0</v>
      </c>
      <c r="AK356" s="210">
        <f t="shared" si="469"/>
        <v>0</v>
      </c>
      <c r="AL356" s="387"/>
      <c r="AM356" s="404" t="e">
        <f t="shared" si="452"/>
        <v>#DIV/0!</v>
      </c>
      <c r="AN356" s="404">
        <f t="shared" si="453"/>
        <v>-1</v>
      </c>
      <c r="AO356" s="404">
        <f t="shared" si="454"/>
        <v>-1</v>
      </c>
      <c r="AP356" s="404">
        <f t="shared" si="455"/>
        <v>-1</v>
      </c>
      <c r="AQ356" s="404">
        <f t="shared" si="456"/>
        <v>-1</v>
      </c>
      <c r="AR356" s="404">
        <f t="shared" si="457"/>
        <v>-1</v>
      </c>
      <c r="AS356" s="404">
        <f t="shared" si="458"/>
        <v>-1</v>
      </c>
      <c r="AT356" s="404">
        <f t="shared" si="459"/>
        <v>-1</v>
      </c>
      <c r="AU356" s="404">
        <f t="shared" si="460"/>
        <v>-1</v>
      </c>
      <c r="AV356" s="404">
        <f t="shared" si="461"/>
        <v>-1</v>
      </c>
      <c r="AW356" s="404">
        <f t="shared" si="462"/>
        <v>-1</v>
      </c>
    </row>
    <row r="357" spans="1:49" ht="30" x14ac:dyDescent="0.25">
      <c r="A357" s="341">
        <v>2350325</v>
      </c>
      <c r="B357" s="342" t="s">
        <v>181</v>
      </c>
      <c r="C357" s="368">
        <v>0</v>
      </c>
      <c r="D357" s="368">
        <v>0</v>
      </c>
      <c r="E357" s="368">
        <v>2182569021</v>
      </c>
      <c r="F357" s="368">
        <v>2182569021</v>
      </c>
      <c r="G357" s="368">
        <f t="shared" si="481"/>
        <v>0</v>
      </c>
      <c r="H357" s="65">
        <v>2182569021</v>
      </c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210"/>
      <c r="T357" s="210"/>
      <c r="U357" s="412">
        <f t="shared" si="470"/>
        <v>0</v>
      </c>
      <c r="V357" s="63">
        <f t="shared" si="482"/>
        <v>0</v>
      </c>
      <c r="W357" s="396">
        <f t="shared" si="464"/>
        <v>0</v>
      </c>
      <c r="X357" s="396">
        <f t="shared" si="465"/>
        <v>0</v>
      </c>
      <c r="Y357" s="396"/>
      <c r="AA357" s="210">
        <v>0</v>
      </c>
      <c r="AB357" s="210">
        <v>0</v>
      </c>
      <c r="AC357" s="210">
        <v>0</v>
      </c>
      <c r="AD357" s="210">
        <v>0</v>
      </c>
      <c r="AE357" s="210">
        <v>0</v>
      </c>
      <c r="AF357" s="210">
        <v>0</v>
      </c>
      <c r="AG357" s="210">
        <v>0</v>
      </c>
      <c r="AH357" s="368">
        <v>0</v>
      </c>
      <c r="AI357" s="368">
        <v>0</v>
      </c>
      <c r="AJ357" s="368">
        <v>0</v>
      </c>
      <c r="AK357" s="210">
        <f t="shared" si="469"/>
        <v>0</v>
      </c>
      <c r="AL357" s="387"/>
      <c r="AM357" s="404" t="e">
        <f t="shared" si="452"/>
        <v>#DIV/0!</v>
      </c>
      <c r="AN357" s="404" t="e">
        <f t="shared" si="453"/>
        <v>#DIV/0!</v>
      </c>
      <c r="AO357" s="404" t="e">
        <f t="shared" si="454"/>
        <v>#DIV/0!</v>
      </c>
      <c r="AP357" s="404" t="e">
        <f t="shared" si="455"/>
        <v>#DIV/0!</v>
      </c>
      <c r="AQ357" s="404" t="e">
        <f t="shared" si="456"/>
        <v>#DIV/0!</v>
      </c>
      <c r="AR357" s="404" t="e">
        <f t="shared" si="457"/>
        <v>#DIV/0!</v>
      </c>
      <c r="AS357" s="404" t="e">
        <f t="shared" si="458"/>
        <v>#DIV/0!</v>
      </c>
      <c r="AT357" s="404" t="e">
        <f t="shared" si="459"/>
        <v>#DIV/0!</v>
      </c>
      <c r="AU357" s="404" t="e">
        <f t="shared" si="460"/>
        <v>#DIV/0!</v>
      </c>
      <c r="AV357" s="404" t="e">
        <f t="shared" si="461"/>
        <v>#DIV/0!</v>
      </c>
      <c r="AW357" s="404" t="e">
        <f t="shared" si="462"/>
        <v>#DIV/0!</v>
      </c>
    </row>
    <row r="358" spans="1:49" x14ac:dyDescent="0.25">
      <c r="A358" s="341">
        <v>2350326</v>
      </c>
      <c r="B358" s="342" t="s">
        <v>182</v>
      </c>
      <c r="C358" s="368">
        <v>0</v>
      </c>
      <c r="D358" s="368">
        <v>0</v>
      </c>
      <c r="E358" s="368">
        <v>0</v>
      </c>
      <c r="F358" s="368">
        <v>19470700</v>
      </c>
      <c r="G358" s="368">
        <f t="shared" si="481"/>
        <v>19470700</v>
      </c>
      <c r="H358" s="65">
        <v>19470700</v>
      </c>
      <c r="I358" s="210"/>
      <c r="J358" s="210">
        <f t="shared" si="475"/>
        <v>1770063.6363636365</v>
      </c>
      <c r="K358" s="210">
        <v>1770063.6363636365</v>
      </c>
      <c r="L358" s="210">
        <v>1770063.6363636365</v>
      </c>
      <c r="M358" s="210">
        <v>1770063.6363636365</v>
      </c>
      <c r="N358" s="210">
        <v>1770063.6363636365</v>
      </c>
      <c r="O358" s="210">
        <v>1770063.6363636365</v>
      </c>
      <c r="P358" s="210">
        <v>1770063.6363636365</v>
      </c>
      <c r="Q358" s="210">
        <v>1770063.6363636365</v>
      </c>
      <c r="R358" s="210">
        <v>1770063.6363636365</v>
      </c>
      <c r="S358" s="210">
        <v>1770063.6363636365</v>
      </c>
      <c r="T358" s="210">
        <v>1770063.6363636365</v>
      </c>
      <c r="U358" s="412">
        <f t="shared" si="470"/>
        <v>15930572.727272728</v>
      </c>
      <c r="V358" s="63">
        <f t="shared" si="482"/>
        <v>19470700</v>
      </c>
      <c r="W358" s="396">
        <f t="shared" si="464"/>
        <v>19470700</v>
      </c>
      <c r="X358" s="396">
        <f t="shared" si="465"/>
        <v>0</v>
      </c>
      <c r="Y358" s="396"/>
      <c r="AA358" s="210">
        <v>0</v>
      </c>
      <c r="AB358" s="210">
        <v>14313149</v>
      </c>
      <c r="AC358" s="210">
        <v>0</v>
      </c>
      <c r="AD358" s="210">
        <v>0</v>
      </c>
      <c r="AE358" s="210">
        <v>0</v>
      </c>
      <c r="AF358" s="210">
        <v>0</v>
      </c>
      <c r="AG358" s="210">
        <v>5157551</v>
      </c>
      <c r="AH358" s="368">
        <v>0</v>
      </c>
      <c r="AI358" s="368">
        <v>0</v>
      </c>
      <c r="AJ358" s="368">
        <v>0</v>
      </c>
      <c r="AK358" s="210">
        <f t="shared" si="469"/>
        <v>19470700</v>
      </c>
      <c r="AL358" s="387"/>
      <c r="AM358" s="404" t="e">
        <f t="shared" si="452"/>
        <v>#DIV/0!</v>
      </c>
      <c r="AN358" s="404">
        <f t="shared" si="453"/>
        <v>7.086234136420364</v>
      </c>
      <c r="AO358" s="404">
        <f t="shared" si="454"/>
        <v>-1</v>
      </c>
      <c r="AP358" s="404">
        <f t="shared" si="455"/>
        <v>-1</v>
      </c>
      <c r="AQ358" s="404">
        <f t="shared" si="456"/>
        <v>-1</v>
      </c>
      <c r="AR358" s="404">
        <f t="shared" si="457"/>
        <v>-1</v>
      </c>
      <c r="AS358" s="404">
        <f t="shared" si="458"/>
        <v>1.9137658635796346</v>
      </c>
      <c r="AT358" s="404">
        <f t="shared" si="459"/>
        <v>-1</v>
      </c>
      <c r="AU358" s="404">
        <f t="shared" si="460"/>
        <v>-1</v>
      </c>
      <c r="AV358" s="404">
        <f t="shared" si="461"/>
        <v>-1</v>
      </c>
      <c r="AW358" s="404">
        <f t="shared" si="462"/>
        <v>10</v>
      </c>
    </row>
    <row r="359" spans="1:49" ht="30" x14ac:dyDescent="0.25">
      <c r="A359" s="341">
        <v>2350328</v>
      </c>
      <c r="B359" s="342" t="s">
        <v>183</v>
      </c>
      <c r="C359" s="368">
        <v>0</v>
      </c>
      <c r="D359" s="368">
        <v>0</v>
      </c>
      <c r="E359" s="368">
        <v>0</v>
      </c>
      <c r="F359" s="368">
        <v>91883149</v>
      </c>
      <c r="G359" s="368">
        <f t="shared" si="481"/>
        <v>91883149</v>
      </c>
      <c r="H359" s="65">
        <v>91883149</v>
      </c>
      <c r="I359" s="210"/>
      <c r="J359" s="210">
        <f t="shared" si="475"/>
        <v>8353013.5454545459</v>
      </c>
      <c r="K359" s="210">
        <v>8353013.5454545459</v>
      </c>
      <c r="L359" s="210">
        <v>8353013.5454545459</v>
      </c>
      <c r="M359" s="210">
        <v>8353013.5454545459</v>
      </c>
      <c r="N359" s="210">
        <v>8353013.5454545459</v>
      </c>
      <c r="O359" s="210">
        <v>8353013.5454545459</v>
      </c>
      <c r="P359" s="210">
        <v>8353013.5454545459</v>
      </c>
      <c r="Q359" s="210">
        <v>8353013.5454545459</v>
      </c>
      <c r="R359" s="210">
        <v>8353013.5454545459</v>
      </c>
      <c r="S359" s="210">
        <v>8353013.5454545459</v>
      </c>
      <c r="T359" s="210">
        <v>8353013.5454545459</v>
      </c>
      <c r="U359" s="412">
        <f t="shared" si="470"/>
        <v>75177121.909090906</v>
      </c>
      <c r="V359" s="63">
        <f t="shared" si="482"/>
        <v>91883149</v>
      </c>
      <c r="W359" s="396">
        <f t="shared" si="464"/>
        <v>91883149</v>
      </c>
      <c r="X359" s="396">
        <f t="shared" si="465"/>
        <v>0</v>
      </c>
      <c r="Y359" s="396"/>
      <c r="AA359" s="210">
        <v>0</v>
      </c>
      <c r="AB359" s="210">
        <v>0</v>
      </c>
      <c r="AC359" s="210">
        <v>0</v>
      </c>
      <c r="AD359" s="210">
        <v>0</v>
      </c>
      <c r="AE359" s="210">
        <v>0</v>
      </c>
      <c r="AF359" s="210">
        <v>0</v>
      </c>
      <c r="AG359" s="210">
        <v>0</v>
      </c>
      <c r="AH359" s="368">
        <v>0</v>
      </c>
      <c r="AI359" s="368">
        <v>0</v>
      </c>
      <c r="AJ359" s="368">
        <v>0</v>
      </c>
      <c r="AK359" s="210">
        <f t="shared" si="469"/>
        <v>0</v>
      </c>
      <c r="AL359" s="387"/>
      <c r="AM359" s="404" t="e">
        <f t="shared" si="452"/>
        <v>#DIV/0!</v>
      </c>
      <c r="AN359" s="404">
        <f t="shared" si="453"/>
        <v>-1</v>
      </c>
      <c r="AO359" s="404">
        <f t="shared" si="454"/>
        <v>-1</v>
      </c>
      <c r="AP359" s="404">
        <f t="shared" si="455"/>
        <v>-1</v>
      </c>
      <c r="AQ359" s="404">
        <f t="shared" si="456"/>
        <v>-1</v>
      </c>
      <c r="AR359" s="404">
        <f t="shared" si="457"/>
        <v>-1</v>
      </c>
      <c r="AS359" s="404">
        <f t="shared" si="458"/>
        <v>-1</v>
      </c>
      <c r="AT359" s="404">
        <f t="shared" si="459"/>
        <v>-1</v>
      </c>
      <c r="AU359" s="404">
        <f t="shared" si="460"/>
        <v>-1</v>
      </c>
      <c r="AV359" s="404">
        <f t="shared" si="461"/>
        <v>-1</v>
      </c>
      <c r="AW359" s="404">
        <f t="shared" si="462"/>
        <v>-1</v>
      </c>
    </row>
    <row r="360" spans="1:49" ht="30" x14ac:dyDescent="0.25">
      <c r="A360" s="341">
        <v>2350330</v>
      </c>
      <c r="B360" s="342" t="s">
        <v>184</v>
      </c>
      <c r="C360" s="368">
        <v>0</v>
      </c>
      <c r="D360" s="368">
        <v>0</v>
      </c>
      <c r="E360" s="368">
        <v>0</v>
      </c>
      <c r="F360" s="368">
        <v>81565760</v>
      </c>
      <c r="G360" s="368">
        <f t="shared" si="481"/>
        <v>81565760</v>
      </c>
      <c r="H360" s="65">
        <v>81565760</v>
      </c>
      <c r="I360" s="210"/>
      <c r="J360" s="210">
        <f t="shared" si="475"/>
        <v>7415069.0909090908</v>
      </c>
      <c r="K360" s="210">
        <v>7415069.0909090908</v>
      </c>
      <c r="L360" s="210">
        <v>7415069.0909090908</v>
      </c>
      <c r="M360" s="210">
        <v>7415069.0909090908</v>
      </c>
      <c r="N360" s="210">
        <v>7415069.0909090908</v>
      </c>
      <c r="O360" s="210">
        <v>7415069.0909090908</v>
      </c>
      <c r="P360" s="210">
        <v>7415069.0909090908</v>
      </c>
      <c r="Q360" s="210">
        <v>7415069.0909090908</v>
      </c>
      <c r="R360" s="210">
        <v>7415069.0909090908</v>
      </c>
      <c r="S360" s="210">
        <v>7415069.0909090908</v>
      </c>
      <c r="T360" s="210">
        <v>7415069.0909090908</v>
      </c>
      <c r="U360" s="412">
        <f t="shared" si="470"/>
        <v>66735621.818181828</v>
      </c>
      <c r="V360" s="63">
        <f t="shared" si="482"/>
        <v>81565760.000000015</v>
      </c>
      <c r="W360" s="396">
        <f t="shared" si="464"/>
        <v>81565760</v>
      </c>
      <c r="X360" s="396">
        <f t="shared" si="465"/>
        <v>0</v>
      </c>
      <c r="Y360" s="396"/>
      <c r="AA360" s="210">
        <v>0</v>
      </c>
      <c r="AB360" s="210">
        <v>0</v>
      </c>
      <c r="AC360" s="210">
        <v>0</v>
      </c>
      <c r="AD360" s="210">
        <v>0</v>
      </c>
      <c r="AE360" s="210">
        <v>0</v>
      </c>
      <c r="AF360" s="210">
        <v>0</v>
      </c>
      <c r="AG360" s="210">
        <v>0</v>
      </c>
      <c r="AH360" s="368">
        <v>0</v>
      </c>
      <c r="AI360" s="368">
        <v>0</v>
      </c>
      <c r="AJ360" s="368">
        <v>0</v>
      </c>
      <c r="AK360" s="210">
        <f t="shared" si="469"/>
        <v>0</v>
      </c>
      <c r="AL360" s="386"/>
      <c r="AM360" s="404" t="e">
        <f t="shared" si="452"/>
        <v>#DIV/0!</v>
      </c>
      <c r="AN360" s="404">
        <f t="shared" si="453"/>
        <v>-1</v>
      </c>
      <c r="AO360" s="404">
        <f t="shared" si="454"/>
        <v>-1</v>
      </c>
      <c r="AP360" s="404">
        <f t="shared" si="455"/>
        <v>-1</v>
      </c>
      <c r="AQ360" s="404">
        <f t="shared" si="456"/>
        <v>-1</v>
      </c>
      <c r="AR360" s="404">
        <f t="shared" si="457"/>
        <v>-1</v>
      </c>
      <c r="AS360" s="404">
        <f t="shared" si="458"/>
        <v>-1</v>
      </c>
      <c r="AT360" s="404">
        <f t="shared" si="459"/>
        <v>-1</v>
      </c>
      <c r="AU360" s="404">
        <f t="shared" si="460"/>
        <v>-1</v>
      </c>
      <c r="AV360" s="404">
        <f t="shared" si="461"/>
        <v>-1</v>
      </c>
      <c r="AW360" s="404">
        <f t="shared" si="462"/>
        <v>-1</v>
      </c>
    </row>
    <row r="361" spans="1:49" x14ac:dyDescent="0.25">
      <c r="A361" s="339">
        <v>23504</v>
      </c>
      <c r="B361" s="340" t="s">
        <v>185</v>
      </c>
      <c r="C361" s="367">
        <f>SUM(C362:C372)</f>
        <v>0</v>
      </c>
      <c r="D361" s="367">
        <f t="shared" ref="D361:G361" si="483">SUM(D362:D372)</f>
        <v>0</v>
      </c>
      <c r="E361" s="367">
        <f t="shared" si="483"/>
        <v>0</v>
      </c>
      <c r="F361" s="367">
        <f t="shared" si="483"/>
        <v>161960107</v>
      </c>
      <c r="G361" s="367">
        <f t="shared" si="483"/>
        <v>161960107</v>
      </c>
      <c r="H361" s="57">
        <f>SUM(H362:H372)</f>
        <v>161960107.43000007</v>
      </c>
      <c r="I361" s="208">
        <f t="shared" ref="I361:V361" si="484">SUM(I362:I372)</f>
        <v>0</v>
      </c>
      <c r="J361" s="208">
        <f t="shared" si="484"/>
        <v>14723646.130000005</v>
      </c>
      <c r="K361" s="208">
        <f t="shared" si="484"/>
        <v>14723646.130000005</v>
      </c>
      <c r="L361" s="208">
        <f t="shared" si="484"/>
        <v>14723646.130000005</v>
      </c>
      <c r="M361" s="208">
        <f t="shared" si="484"/>
        <v>14723646.130000005</v>
      </c>
      <c r="N361" s="208">
        <f t="shared" si="484"/>
        <v>14723646.130000005</v>
      </c>
      <c r="O361" s="208">
        <f t="shared" si="484"/>
        <v>14723646.130000005</v>
      </c>
      <c r="P361" s="208">
        <f t="shared" si="484"/>
        <v>14723646.130000005</v>
      </c>
      <c r="Q361" s="208">
        <f t="shared" si="484"/>
        <v>14723646.130000005</v>
      </c>
      <c r="R361" s="208">
        <f t="shared" si="484"/>
        <v>14723646.130000005</v>
      </c>
      <c r="S361" s="208">
        <f t="shared" si="484"/>
        <v>14723646.130000005</v>
      </c>
      <c r="T361" s="208">
        <f t="shared" si="484"/>
        <v>14723646.130000005</v>
      </c>
      <c r="U361" s="413">
        <f t="shared" si="470"/>
        <v>132512815.17000006</v>
      </c>
      <c r="V361" s="57">
        <f t="shared" si="484"/>
        <v>161960107.43000004</v>
      </c>
      <c r="W361" s="396">
        <f t="shared" si="464"/>
        <v>161960107</v>
      </c>
      <c r="X361" s="396">
        <f t="shared" si="465"/>
        <v>-0.43000003695487976</v>
      </c>
      <c r="Y361" s="396"/>
      <c r="AA361" s="208">
        <v>0</v>
      </c>
      <c r="AB361" s="209">
        <v>0</v>
      </c>
      <c r="AC361" s="209">
        <v>0</v>
      </c>
      <c r="AD361" s="209">
        <v>0</v>
      </c>
      <c r="AE361" s="209">
        <v>0</v>
      </c>
      <c r="AF361" s="209">
        <v>17880617.699999999</v>
      </c>
      <c r="AG361" s="209">
        <v>47964904.299999997</v>
      </c>
      <c r="AH361" s="367">
        <v>0</v>
      </c>
      <c r="AI361" s="367">
        <v>0</v>
      </c>
      <c r="AJ361" s="367">
        <v>0</v>
      </c>
      <c r="AK361" s="209">
        <f t="shared" si="469"/>
        <v>65845522</v>
      </c>
      <c r="AL361" s="387"/>
      <c r="AM361" s="405" t="e">
        <f t="shared" si="452"/>
        <v>#DIV/0!</v>
      </c>
      <c r="AN361" s="405">
        <f t="shared" si="453"/>
        <v>-1</v>
      </c>
      <c r="AO361" s="405">
        <f t="shared" si="454"/>
        <v>-1</v>
      </c>
      <c r="AP361" s="405">
        <f t="shared" si="455"/>
        <v>-1</v>
      </c>
      <c r="AQ361" s="405">
        <f t="shared" si="456"/>
        <v>-1</v>
      </c>
      <c r="AR361" s="405">
        <f t="shared" si="457"/>
        <v>0.21441506690163803</v>
      </c>
      <c r="AS361" s="405">
        <f t="shared" si="458"/>
        <v>2.2576784226204425</v>
      </c>
      <c r="AT361" s="405">
        <f t="shared" si="459"/>
        <v>-1</v>
      </c>
      <c r="AU361" s="405">
        <f t="shared" si="460"/>
        <v>-1</v>
      </c>
      <c r="AV361" s="405">
        <f t="shared" si="461"/>
        <v>-1</v>
      </c>
      <c r="AW361" s="405">
        <f t="shared" si="462"/>
        <v>3.4720934895220807</v>
      </c>
    </row>
    <row r="362" spans="1:49" ht="30" x14ac:dyDescent="0.25">
      <c r="A362" s="364">
        <v>2350401</v>
      </c>
      <c r="B362" s="342" t="s">
        <v>186</v>
      </c>
      <c r="C362" s="368">
        <v>0</v>
      </c>
      <c r="D362" s="368">
        <v>0</v>
      </c>
      <c r="E362" s="368">
        <v>0</v>
      </c>
      <c r="F362" s="368">
        <v>8521352</v>
      </c>
      <c r="G362" s="368">
        <f t="shared" ref="G362:G372" si="485">+C362+D362-E362+F362</f>
        <v>8521352</v>
      </c>
      <c r="H362" s="64">
        <v>8521351.6000000238</v>
      </c>
      <c r="I362" s="210"/>
      <c r="J362" s="210">
        <f t="shared" si="475"/>
        <v>774668.32727272948</v>
      </c>
      <c r="K362" s="210">
        <v>774668.32727272948</v>
      </c>
      <c r="L362" s="210">
        <v>774668.32727272948</v>
      </c>
      <c r="M362" s="210">
        <v>774668.32727272948</v>
      </c>
      <c r="N362" s="210">
        <v>774668.32727272948</v>
      </c>
      <c r="O362" s="210">
        <v>774668.32727272948</v>
      </c>
      <c r="P362" s="210">
        <v>774668.32727272948</v>
      </c>
      <c r="Q362" s="210">
        <v>774668.32727272948</v>
      </c>
      <c r="R362" s="210">
        <v>774668.32727272948</v>
      </c>
      <c r="S362" s="210">
        <v>774668.32727272948</v>
      </c>
      <c r="T362" s="210">
        <v>774668.32727272948</v>
      </c>
      <c r="U362" s="412">
        <f t="shared" si="470"/>
        <v>6972014.9454545658</v>
      </c>
      <c r="V362" s="63">
        <f t="shared" ref="V362:V372" si="486">SUM(I362:T362)</f>
        <v>8521351.6000000257</v>
      </c>
      <c r="W362" s="396">
        <f t="shared" si="464"/>
        <v>8521352</v>
      </c>
      <c r="X362" s="396">
        <f t="shared" si="465"/>
        <v>0.39999997429549694</v>
      </c>
      <c r="Y362" s="396"/>
      <c r="AA362" s="210">
        <v>0</v>
      </c>
      <c r="AB362" s="210">
        <v>0</v>
      </c>
      <c r="AC362" s="210">
        <v>0</v>
      </c>
      <c r="AD362" s="210">
        <v>0</v>
      </c>
      <c r="AE362" s="210">
        <v>0</v>
      </c>
      <c r="AF362" s="210">
        <v>0</v>
      </c>
      <c r="AG362" s="210">
        <v>0</v>
      </c>
      <c r="AH362" s="368">
        <v>0</v>
      </c>
      <c r="AI362" s="368">
        <v>0</v>
      </c>
      <c r="AJ362" s="368">
        <v>0</v>
      </c>
      <c r="AK362" s="210">
        <f t="shared" si="469"/>
        <v>0</v>
      </c>
      <c r="AL362" s="387"/>
      <c r="AM362" s="404" t="e">
        <f t="shared" si="452"/>
        <v>#DIV/0!</v>
      </c>
      <c r="AN362" s="404">
        <f t="shared" si="453"/>
        <v>-1</v>
      </c>
      <c r="AO362" s="404">
        <f t="shared" si="454"/>
        <v>-1</v>
      </c>
      <c r="AP362" s="404">
        <f t="shared" si="455"/>
        <v>-1</v>
      </c>
      <c r="AQ362" s="404">
        <f t="shared" si="456"/>
        <v>-1</v>
      </c>
      <c r="AR362" s="404">
        <f t="shared" si="457"/>
        <v>-1</v>
      </c>
      <c r="AS362" s="404">
        <f t="shared" si="458"/>
        <v>-1</v>
      </c>
      <c r="AT362" s="404">
        <f t="shared" si="459"/>
        <v>-1</v>
      </c>
      <c r="AU362" s="404">
        <f t="shared" si="460"/>
        <v>-1</v>
      </c>
      <c r="AV362" s="404">
        <f t="shared" si="461"/>
        <v>-1</v>
      </c>
      <c r="AW362" s="404">
        <f t="shared" si="462"/>
        <v>-1</v>
      </c>
    </row>
    <row r="363" spans="1:49" ht="30" x14ac:dyDescent="0.25">
      <c r="A363" s="341">
        <v>2350402</v>
      </c>
      <c r="B363" s="342" t="s">
        <v>187</v>
      </c>
      <c r="C363" s="368">
        <v>0</v>
      </c>
      <c r="D363" s="368">
        <v>0</v>
      </c>
      <c r="E363" s="368">
        <v>0</v>
      </c>
      <c r="F363" s="368">
        <v>1126955</v>
      </c>
      <c r="G363" s="368">
        <f t="shared" si="485"/>
        <v>1126955</v>
      </c>
      <c r="H363" s="64">
        <v>1126955</v>
      </c>
      <c r="I363" s="210"/>
      <c r="J363" s="210">
        <f t="shared" si="475"/>
        <v>102450.45454545454</v>
      </c>
      <c r="K363" s="210">
        <v>102450.45454545454</v>
      </c>
      <c r="L363" s="210">
        <v>102450.45454545454</v>
      </c>
      <c r="M363" s="210">
        <v>102450.45454545454</v>
      </c>
      <c r="N363" s="210">
        <v>102450.45454545454</v>
      </c>
      <c r="O363" s="210">
        <v>102450.45454545454</v>
      </c>
      <c r="P363" s="210">
        <v>102450.45454545454</v>
      </c>
      <c r="Q363" s="210">
        <v>102450.45454545454</v>
      </c>
      <c r="R363" s="210">
        <v>102450.45454545454</v>
      </c>
      <c r="S363" s="210">
        <v>102450.45454545454</v>
      </c>
      <c r="T363" s="210">
        <v>102450.45454545454</v>
      </c>
      <c r="U363" s="412">
        <f t="shared" si="470"/>
        <v>922054.09090909106</v>
      </c>
      <c r="V363" s="63">
        <f t="shared" si="486"/>
        <v>1126955.0000000002</v>
      </c>
      <c r="W363" s="396">
        <f t="shared" si="464"/>
        <v>1126955</v>
      </c>
      <c r="X363" s="396">
        <f t="shared" si="465"/>
        <v>0</v>
      </c>
      <c r="Y363" s="396"/>
      <c r="AA363" s="210">
        <v>0</v>
      </c>
      <c r="AB363" s="210">
        <v>0</v>
      </c>
      <c r="AC363" s="210">
        <v>0</v>
      </c>
      <c r="AD363" s="210">
        <v>0</v>
      </c>
      <c r="AE363" s="210">
        <v>0</v>
      </c>
      <c r="AF363" s="210">
        <v>0</v>
      </c>
      <c r="AG363" s="210">
        <v>1126955</v>
      </c>
      <c r="AH363" s="368">
        <v>0</v>
      </c>
      <c r="AI363" s="368">
        <v>0</v>
      </c>
      <c r="AJ363" s="368">
        <v>0</v>
      </c>
      <c r="AK363" s="210">
        <f t="shared" si="469"/>
        <v>1126955</v>
      </c>
      <c r="AL363" s="387"/>
      <c r="AM363" s="404" t="e">
        <f t="shared" si="452"/>
        <v>#DIV/0!</v>
      </c>
      <c r="AN363" s="404">
        <f t="shared" si="453"/>
        <v>-1</v>
      </c>
      <c r="AO363" s="404">
        <f t="shared" si="454"/>
        <v>-1</v>
      </c>
      <c r="AP363" s="404">
        <f t="shared" si="455"/>
        <v>-1</v>
      </c>
      <c r="AQ363" s="404">
        <f t="shared" si="456"/>
        <v>-1</v>
      </c>
      <c r="AR363" s="404">
        <f t="shared" si="457"/>
        <v>-1</v>
      </c>
      <c r="AS363" s="404">
        <f t="shared" si="458"/>
        <v>10</v>
      </c>
      <c r="AT363" s="404">
        <f t="shared" si="459"/>
        <v>-1</v>
      </c>
      <c r="AU363" s="404">
        <f t="shared" si="460"/>
        <v>-1</v>
      </c>
      <c r="AV363" s="404">
        <f t="shared" si="461"/>
        <v>-1</v>
      </c>
      <c r="AW363" s="404">
        <f t="shared" si="462"/>
        <v>10</v>
      </c>
    </row>
    <row r="364" spans="1:49" x14ac:dyDescent="0.25">
      <c r="A364" s="341">
        <v>2350403</v>
      </c>
      <c r="B364" s="342" t="s">
        <v>188</v>
      </c>
      <c r="C364" s="368">
        <v>0</v>
      </c>
      <c r="D364" s="368">
        <v>0</v>
      </c>
      <c r="E364" s="368">
        <v>0</v>
      </c>
      <c r="F364" s="368">
        <v>4977319</v>
      </c>
      <c r="G364" s="368">
        <f t="shared" si="485"/>
        <v>4977319</v>
      </c>
      <c r="H364" s="64">
        <v>4977319</v>
      </c>
      <c r="I364" s="210"/>
      <c r="J364" s="210">
        <f t="shared" si="475"/>
        <v>452483.54545454547</v>
      </c>
      <c r="K364" s="210">
        <v>452483.54545454547</v>
      </c>
      <c r="L364" s="210">
        <v>452483.54545454547</v>
      </c>
      <c r="M364" s="210">
        <v>452483.54545454547</v>
      </c>
      <c r="N364" s="210">
        <v>452483.54545454547</v>
      </c>
      <c r="O364" s="210">
        <v>452483.54545454547</v>
      </c>
      <c r="P364" s="210">
        <v>452483.54545454547</v>
      </c>
      <c r="Q364" s="210">
        <v>452483.54545454547</v>
      </c>
      <c r="R364" s="210">
        <v>452483.54545454547</v>
      </c>
      <c r="S364" s="210">
        <v>452483.54545454547</v>
      </c>
      <c r="T364" s="210">
        <v>452483.54545454547</v>
      </c>
      <c r="U364" s="412">
        <f t="shared" si="470"/>
        <v>4072351.9090909092</v>
      </c>
      <c r="V364" s="63">
        <f t="shared" si="486"/>
        <v>4977319.0000000009</v>
      </c>
      <c r="W364" s="396">
        <f t="shared" si="464"/>
        <v>4977319</v>
      </c>
      <c r="X364" s="396">
        <f t="shared" si="465"/>
        <v>0</v>
      </c>
      <c r="Y364" s="396"/>
      <c r="AA364" s="210">
        <v>0</v>
      </c>
      <c r="AB364" s="210">
        <v>0</v>
      </c>
      <c r="AC364" s="210">
        <v>0</v>
      </c>
      <c r="AD364" s="210">
        <v>0</v>
      </c>
      <c r="AE364" s="210">
        <v>0</v>
      </c>
      <c r="AF364" s="210">
        <v>0</v>
      </c>
      <c r="AG364" s="210">
        <v>4977319</v>
      </c>
      <c r="AH364" s="368">
        <v>0</v>
      </c>
      <c r="AI364" s="368">
        <v>0</v>
      </c>
      <c r="AJ364" s="368">
        <v>0</v>
      </c>
      <c r="AK364" s="210">
        <f t="shared" si="469"/>
        <v>4977319</v>
      </c>
      <c r="AL364" s="387"/>
      <c r="AM364" s="404" t="e">
        <f t="shared" si="452"/>
        <v>#DIV/0!</v>
      </c>
      <c r="AN364" s="404">
        <f t="shared" si="453"/>
        <v>-1</v>
      </c>
      <c r="AO364" s="404">
        <f t="shared" si="454"/>
        <v>-1</v>
      </c>
      <c r="AP364" s="404">
        <f t="shared" si="455"/>
        <v>-1</v>
      </c>
      <c r="AQ364" s="404">
        <f t="shared" si="456"/>
        <v>-1</v>
      </c>
      <c r="AR364" s="404">
        <f t="shared" si="457"/>
        <v>-1</v>
      </c>
      <c r="AS364" s="404">
        <f t="shared" si="458"/>
        <v>9.9999999999999982</v>
      </c>
      <c r="AT364" s="404">
        <f t="shared" si="459"/>
        <v>-1</v>
      </c>
      <c r="AU364" s="404">
        <f t="shared" si="460"/>
        <v>-1</v>
      </c>
      <c r="AV364" s="404">
        <f t="shared" si="461"/>
        <v>-1</v>
      </c>
      <c r="AW364" s="404">
        <f t="shared" si="462"/>
        <v>9.9999999999999982</v>
      </c>
    </row>
    <row r="365" spans="1:49" x14ac:dyDescent="0.25">
      <c r="A365" s="364">
        <v>2350404</v>
      </c>
      <c r="B365" s="342" t="s">
        <v>189</v>
      </c>
      <c r="C365" s="368">
        <v>0</v>
      </c>
      <c r="D365" s="368">
        <v>0</v>
      </c>
      <c r="E365" s="368">
        <v>0</v>
      </c>
      <c r="F365" s="368">
        <v>5000</v>
      </c>
      <c r="G365" s="368">
        <f t="shared" si="485"/>
        <v>5000</v>
      </c>
      <c r="H365" s="64">
        <v>5000</v>
      </c>
      <c r="I365" s="210"/>
      <c r="J365" s="210">
        <f t="shared" si="475"/>
        <v>454.54545454545456</v>
      </c>
      <c r="K365" s="210">
        <v>454.54545454545456</v>
      </c>
      <c r="L365" s="210">
        <v>454.54545454545456</v>
      </c>
      <c r="M365" s="210">
        <v>454.54545454545456</v>
      </c>
      <c r="N365" s="210">
        <v>454.54545454545456</v>
      </c>
      <c r="O365" s="210">
        <v>454.54545454545456</v>
      </c>
      <c r="P365" s="210">
        <v>454.54545454545456</v>
      </c>
      <c r="Q365" s="210">
        <v>454.54545454545456</v>
      </c>
      <c r="R365" s="210">
        <v>454.54545454545456</v>
      </c>
      <c r="S365" s="210">
        <v>454.54545454545456</v>
      </c>
      <c r="T365" s="210">
        <v>454.54545454545456</v>
      </c>
      <c r="U365" s="412">
        <f t="shared" si="470"/>
        <v>4090.909090909091</v>
      </c>
      <c r="V365" s="63">
        <f t="shared" si="486"/>
        <v>5000.0000000000009</v>
      </c>
      <c r="W365" s="396">
        <f t="shared" si="464"/>
        <v>5000</v>
      </c>
      <c r="X365" s="396">
        <f t="shared" si="465"/>
        <v>0</v>
      </c>
      <c r="Y365" s="396"/>
      <c r="AA365" s="210">
        <v>0</v>
      </c>
      <c r="AB365" s="210">
        <v>0</v>
      </c>
      <c r="AC365" s="210">
        <v>0</v>
      </c>
      <c r="AD365" s="210">
        <v>0</v>
      </c>
      <c r="AE365" s="210">
        <v>0</v>
      </c>
      <c r="AF365" s="210">
        <v>0</v>
      </c>
      <c r="AG365" s="210">
        <v>0</v>
      </c>
      <c r="AH365" s="368">
        <v>0</v>
      </c>
      <c r="AI365" s="368">
        <v>0</v>
      </c>
      <c r="AJ365" s="368">
        <v>0</v>
      </c>
      <c r="AK365" s="210">
        <f t="shared" si="469"/>
        <v>0</v>
      </c>
      <c r="AL365" s="387"/>
      <c r="AM365" s="404" t="e">
        <f t="shared" si="452"/>
        <v>#DIV/0!</v>
      </c>
      <c r="AN365" s="404">
        <f t="shared" si="453"/>
        <v>-1</v>
      </c>
      <c r="AO365" s="404">
        <f t="shared" si="454"/>
        <v>-1</v>
      </c>
      <c r="AP365" s="404">
        <f t="shared" si="455"/>
        <v>-1</v>
      </c>
      <c r="AQ365" s="404">
        <f t="shared" si="456"/>
        <v>-1</v>
      </c>
      <c r="AR365" s="404">
        <f t="shared" si="457"/>
        <v>-1</v>
      </c>
      <c r="AS365" s="404">
        <f t="shared" si="458"/>
        <v>-1</v>
      </c>
      <c r="AT365" s="404">
        <f t="shared" si="459"/>
        <v>-1</v>
      </c>
      <c r="AU365" s="404">
        <f t="shared" si="460"/>
        <v>-1</v>
      </c>
      <c r="AV365" s="404">
        <f t="shared" si="461"/>
        <v>-1</v>
      </c>
      <c r="AW365" s="404">
        <f t="shared" si="462"/>
        <v>-1</v>
      </c>
    </row>
    <row r="366" spans="1:49" ht="30" x14ac:dyDescent="0.25">
      <c r="A366" s="364">
        <v>2350405</v>
      </c>
      <c r="B366" s="342" t="s">
        <v>190</v>
      </c>
      <c r="C366" s="368">
        <v>0</v>
      </c>
      <c r="D366" s="368">
        <v>0</v>
      </c>
      <c r="E366" s="368">
        <v>0</v>
      </c>
      <c r="F366" s="368">
        <v>1462335</v>
      </c>
      <c r="G366" s="368">
        <f t="shared" si="485"/>
        <v>1462335</v>
      </c>
      <c r="H366" s="64">
        <v>1462335.2400000021</v>
      </c>
      <c r="I366" s="210"/>
      <c r="J366" s="210">
        <f t="shared" si="475"/>
        <v>132939.56727272747</v>
      </c>
      <c r="K366" s="210">
        <v>132939.56727272747</v>
      </c>
      <c r="L366" s="210">
        <v>132939.56727272747</v>
      </c>
      <c r="M366" s="210">
        <v>132939.56727272747</v>
      </c>
      <c r="N366" s="210">
        <v>132939.56727272747</v>
      </c>
      <c r="O366" s="210">
        <v>132939.56727272747</v>
      </c>
      <c r="P366" s="210">
        <v>132939.56727272747</v>
      </c>
      <c r="Q366" s="210">
        <v>132939.56727272747</v>
      </c>
      <c r="R366" s="210">
        <v>132939.56727272747</v>
      </c>
      <c r="S366" s="210">
        <v>132939.56727272747</v>
      </c>
      <c r="T366" s="210">
        <v>132939.56727272747</v>
      </c>
      <c r="U366" s="412">
        <f t="shared" si="470"/>
        <v>1196456.1054545471</v>
      </c>
      <c r="V366" s="63">
        <f t="shared" si="486"/>
        <v>1462335.2400000019</v>
      </c>
      <c r="W366" s="396">
        <f t="shared" si="464"/>
        <v>1462335</v>
      </c>
      <c r="X366" s="396">
        <f t="shared" si="465"/>
        <v>-0.24000000185333192</v>
      </c>
      <c r="Y366" s="396"/>
      <c r="AA366" s="210">
        <v>0</v>
      </c>
      <c r="AB366" s="210">
        <v>0</v>
      </c>
      <c r="AC366" s="210">
        <v>0</v>
      </c>
      <c r="AD366" s="210">
        <v>0</v>
      </c>
      <c r="AE366" s="210">
        <v>0</v>
      </c>
      <c r="AF366" s="210">
        <v>0</v>
      </c>
      <c r="AG366" s="210">
        <v>0</v>
      </c>
      <c r="AH366" s="368">
        <v>0</v>
      </c>
      <c r="AI366" s="368">
        <v>0</v>
      </c>
      <c r="AJ366" s="368">
        <v>0</v>
      </c>
      <c r="AK366" s="210">
        <f t="shared" si="469"/>
        <v>0</v>
      </c>
      <c r="AL366" s="387"/>
      <c r="AM366" s="404" t="e">
        <f t="shared" si="452"/>
        <v>#DIV/0!</v>
      </c>
      <c r="AN366" s="404">
        <f t="shared" si="453"/>
        <v>-1</v>
      </c>
      <c r="AO366" s="404">
        <f t="shared" si="454"/>
        <v>-1</v>
      </c>
      <c r="AP366" s="404">
        <f t="shared" si="455"/>
        <v>-1</v>
      </c>
      <c r="AQ366" s="404">
        <f t="shared" si="456"/>
        <v>-1</v>
      </c>
      <c r="AR366" s="404">
        <f t="shared" si="457"/>
        <v>-1</v>
      </c>
      <c r="AS366" s="404">
        <f t="shared" si="458"/>
        <v>-1</v>
      </c>
      <c r="AT366" s="404">
        <f t="shared" si="459"/>
        <v>-1</v>
      </c>
      <c r="AU366" s="404">
        <f t="shared" si="460"/>
        <v>-1</v>
      </c>
      <c r="AV366" s="404">
        <f t="shared" si="461"/>
        <v>-1</v>
      </c>
      <c r="AW366" s="404">
        <f t="shared" si="462"/>
        <v>-1</v>
      </c>
    </row>
    <row r="367" spans="1:49" ht="30" x14ac:dyDescent="0.25">
      <c r="A367" s="341">
        <v>2350406</v>
      </c>
      <c r="B367" s="342" t="s">
        <v>191</v>
      </c>
      <c r="C367" s="368">
        <v>0</v>
      </c>
      <c r="D367" s="368">
        <v>0</v>
      </c>
      <c r="E367" s="368">
        <v>0</v>
      </c>
      <c r="F367" s="368">
        <v>60139189</v>
      </c>
      <c r="G367" s="368">
        <f t="shared" si="485"/>
        <v>60139189</v>
      </c>
      <c r="H367" s="64">
        <v>60139188.680000007</v>
      </c>
      <c r="I367" s="210"/>
      <c r="J367" s="210">
        <f t="shared" si="475"/>
        <v>5467198.9709090916</v>
      </c>
      <c r="K367" s="210">
        <v>5467198.9709090916</v>
      </c>
      <c r="L367" s="210">
        <v>5467198.9709090916</v>
      </c>
      <c r="M367" s="210">
        <v>5467198.9709090916</v>
      </c>
      <c r="N367" s="210">
        <v>5467198.9709090916</v>
      </c>
      <c r="O367" s="210">
        <v>5467198.9709090916</v>
      </c>
      <c r="P367" s="210">
        <v>5467198.9709090916</v>
      </c>
      <c r="Q367" s="210">
        <v>5467198.9709090916</v>
      </c>
      <c r="R367" s="210">
        <v>5467198.9709090916</v>
      </c>
      <c r="S367" s="210">
        <v>5467198.9709090916</v>
      </c>
      <c r="T367" s="210">
        <v>5467198.9709090916</v>
      </c>
      <c r="U367" s="412">
        <f t="shared" si="470"/>
        <v>49204790.738181822</v>
      </c>
      <c r="V367" s="63">
        <f t="shared" si="486"/>
        <v>60139188.68</v>
      </c>
      <c r="W367" s="396">
        <f t="shared" si="464"/>
        <v>60139189</v>
      </c>
      <c r="X367" s="396">
        <f t="shared" si="465"/>
        <v>0.32000000029802322</v>
      </c>
      <c r="Y367" s="396"/>
      <c r="AA367" s="210">
        <v>0</v>
      </c>
      <c r="AB367" s="210">
        <v>0</v>
      </c>
      <c r="AC367" s="210">
        <v>0</v>
      </c>
      <c r="AD367" s="210">
        <v>0</v>
      </c>
      <c r="AE367" s="210">
        <v>0</v>
      </c>
      <c r="AF367" s="210">
        <v>17880617.699999999</v>
      </c>
      <c r="AG367" s="210">
        <v>41860630.299999997</v>
      </c>
      <c r="AH367" s="368">
        <v>0</v>
      </c>
      <c r="AI367" s="368">
        <v>0</v>
      </c>
      <c r="AJ367" s="368">
        <v>0</v>
      </c>
      <c r="AK367" s="210">
        <f t="shared" si="469"/>
        <v>59741248</v>
      </c>
      <c r="AL367" s="387"/>
      <c r="AM367" s="404" t="e">
        <f t="shared" si="452"/>
        <v>#DIV/0!</v>
      </c>
      <c r="AN367" s="404">
        <f t="shared" si="453"/>
        <v>-1</v>
      </c>
      <c r="AO367" s="404">
        <f t="shared" si="454"/>
        <v>-1</v>
      </c>
      <c r="AP367" s="404">
        <f t="shared" si="455"/>
        <v>-1</v>
      </c>
      <c r="AQ367" s="404">
        <f t="shared" si="456"/>
        <v>-1</v>
      </c>
      <c r="AR367" s="404">
        <f t="shared" si="457"/>
        <v>2.2705262411597928</v>
      </c>
      <c r="AS367" s="404">
        <f t="shared" si="458"/>
        <v>6.656686819473733</v>
      </c>
      <c r="AT367" s="404">
        <f t="shared" si="459"/>
        <v>-1</v>
      </c>
      <c r="AU367" s="404">
        <f t="shared" si="460"/>
        <v>-1</v>
      </c>
      <c r="AV367" s="404">
        <f t="shared" si="461"/>
        <v>-1</v>
      </c>
      <c r="AW367" s="404">
        <f t="shared" si="462"/>
        <v>9.9272130606335267</v>
      </c>
    </row>
    <row r="368" spans="1:49" ht="30" x14ac:dyDescent="0.25">
      <c r="A368" s="341">
        <v>2350407</v>
      </c>
      <c r="B368" s="342" t="s">
        <v>192</v>
      </c>
      <c r="C368" s="368">
        <v>0</v>
      </c>
      <c r="D368" s="368">
        <v>0</v>
      </c>
      <c r="E368" s="368">
        <v>0</v>
      </c>
      <c r="F368" s="368">
        <v>282815</v>
      </c>
      <c r="G368" s="368">
        <f t="shared" si="485"/>
        <v>282815</v>
      </c>
      <c r="H368" s="64">
        <v>282815</v>
      </c>
      <c r="I368" s="210"/>
      <c r="J368" s="210">
        <f t="shared" si="475"/>
        <v>25710.454545454544</v>
      </c>
      <c r="K368" s="210">
        <v>25710.454545454544</v>
      </c>
      <c r="L368" s="210">
        <v>25710.454545454544</v>
      </c>
      <c r="M368" s="210">
        <v>25710.454545454544</v>
      </c>
      <c r="N368" s="210">
        <v>25710.454545454544</v>
      </c>
      <c r="O368" s="210">
        <v>25710.454545454544</v>
      </c>
      <c r="P368" s="210">
        <v>25710.454545454544</v>
      </c>
      <c r="Q368" s="210">
        <v>25710.454545454544</v>
      </c>
      <c r="R368" s="210">
        <v>25710.454545454544</v>
      </c>
      <c r="S368" s="210">
        <v>25710.454545454544</v>
      </c>
      <c r="T368" s="210">
        <v>25710.454545454544</v>
      </c>
      <c r="U368" s="412">
        <f t="shared" si="470"/>
        <v>231394.09090909088</v>
      </c>
      <c r="V368" s="63">
        <f t="shared" si="486"/>
        <v>282814.99999999994</v>
      </c>
      <c r="W368" s="396">
        <f t="shared" si="464"/>
        <v>282815</v>
      </c>
      <c r="X368" s="396">
        <f t="shared" si="465"/>
        <v>0</v>
      </c>
      <c r="Y368" s="396"/>
      <c r="AA368" s="210">
        <v>0</v>
      </c>
      <c r="AB368" s="210">
        <v>0</v>
      </c>
      <c r="AC368" s="210">
        <v>0</v>
      </c>
      <c r="AD368" s="210">
        <v>0</v>
      </c>
      <c r="AE368" s="210">
        <v>0</v>
      </c>
      <c r="AF368" s="210">
        <v>0</v>
      </c>
      <c r="AG368" s="210">
        <v>0</v>
      </c>
      <c r="AH368" s="368">
        <v>0</v>
      </c>
      <c r="AI368" s="368">
        <v>0</v>
      </c>
      <c r="AJ368" s="368">
        <v>0</v>
      </c>
      <c r="AK368" s="210">
        <f t="shared" si="469"/>
        <v>0</v>
      </c>
      <c r="AL368" s="387"/>
      <c r="AM368" s="404" t="e">
        <f t="shared" si="452"/>
        <v>#DIV/0!</v>
      </c>
      <c r="AN368" s="404">
        <f t="shared" si="453"/>
        <v>-1</v>
      </c>
      <c r="AO368" s="404">
        <f t="shared" si="454"/>
        <v>-1</v>
      </c>
      <c r="AP368" s="404">
        <f t="shared" si="455"/>
        <v>-1</v>
      </c>
      <c r="AQ368" s="404">
        <f t="shared" si="456"/>
        <v>-1</v>
      </c>
      <c r="AR368" s="404">
        <f t="shared" si="457"/>
        <v>-1</v>
      </c>
      <c r="AS368" s="404">
        <f t="shared" si="458"/>
        <v>-1</v>
      </c>
      <c r="AT368" s="404">
        <f t="shared" si="459"/>
        <v>-1</v>
      </c>
      <c r="AU368" s="404">
        <f t="shared" si="460"/>
        <v>-1</v>
      </c>
      <c r="AV368" s="404">
        <f t="shared" si="461"/>
        <v>-1</v>
      </c>
      <c r="AW368" s="404">
        <f t="shared" si="462"/>
        <v>-1</v>
      </c>
    </row>
    <row r="369" spans="1:49" ht="30" x14ac:dyDescent="0.25">
      <c r="A369" s="341">
        <v>2350408</v>
      </c>
      <c r="B369" s="342" t="s">
        <v>193</v>
      </c>
      <c r="C369" s="368">
        <v>0</v>
      </c>
      <c r="D369" s="368">
        <v>0</v>
      </c>
      <c r="E369" s="368">
        <v>0</v>
      </c>
      <c r="F369" s="368">
        <v>3015215</v>
      </c>
      <c r="G369" s="368">
        <f t="shared" si="485"/>
        <v>3015215</v>
      </c>
      <c r="H369" s="64">
        <v>3015215.1100000143</v>
      </c>
      <c r="I369" s="210"/>
      <c r="J369" s="210">
        <f t="shared" si="475"/>
        <v>274110.46454545582</v>
      </c>
      <c r="K369" s="210">
        <v>274110.46454545582</v>
      </c>
      <c r="L369" s="210">
        <v>274110.46454545582</v>
      </c>
      <c r="M369" s="210">
        <v>274110.46454545582</v>
      </c>
      <c r="N369" s="210">
        <v>274110.46454545582</v>
      </c>
      <c r="O369" s="210">
        <v>274110.46454545582</v>
      </c>
      <c r="P369" s="210">
        <v>274110.46454545582</v>
      </c>
      <c r="Q369" s="210">
        <v>274110.46454545582</v>
      </c>
      <c r="R369" s="210">
        <v>274110.46454545582</v>
      </c>
      <c r="S369" s="210">
        <v>274110.46454545582</v>
      </c>
      <c r="T369" s="210">
        <v>274110.46454545582</v>
      </c>
      <c r="U369" s="412">
        <f t="shared" si="470"/>
        <v>2466994.1809091023</v>
      </c>
      <c r="V369" s="63">
        <f t="shared" si="486"/>
        <v>3015215.1100000138</v>
      </c>
      <c r="W369" s="396">
        <f t="shared" si="464"/>
        <v>3015215</v>
      </c>
      <c r="X369" s="396">
        <f t="shared" si="465"/>
        <v>-0.11000001383945346</v>
      </c>
      <c r="Y369" s="396"/>
      <c r="AA369" s="210">
        <v>0</v>
      </c>
      <c r="AB369" s="210">
        <v>0</v>
      </c>
      <c r="AC369" s="210">
        <v>0</v>
      </c>
      <c r="AD369" s="210">
        <v>0</v>
      </c>
      <c r="AE369" s="210">
        <v>0</v>
      </c>
      <c r="AF369" s="210">
        <v>0</v>
      </c>
      <c r="AG369" s="210">
        <v>0</v>
      </c>
      <c r="AH369" s="368">
        <v>0</v>
      </c>
      <c r="AI369" s="368">
        <v>0</v>
      </c>
      <c r="AJ369" s="368">
        <v>0</v>
      </c>
      <c r="AK369" s="210">
        <f t="shared" si="469"/>
        <v>0</v>
      </c>
      <c r="AL369" s="387"/>
      <c r="AM369" s="404" t="e">
        <f t="shared" si="452"/>
        <v>#DIV/0!</v>
      </c>
      <c r="AN369" s="404">
        <f t="shared" si="453"/>
        <v>-1</v>
      </c>
      <c r="AO369" s="404">
        <f t="shared" si="454"/>
        <v>-1</v>
      </c>
      <c r="AP369" s="404">
        <f t="shared" si="455"/>
        <v>-1</v>
      </c>
      <c r="AQ369" s="404">
        <f t="shared" si="456"/>
        <v>-1</v>
      </c>
      <c r="AR369" s="404">
        <f t="shared" si="457"/>
        <v>-1</v>
      </c>
      <c r="AS369" s="404">
        <f t="shared" si="458"/>
        <v>-1</v>
      </c>
      <c r="AT369" s="404">
        <f t="shared" si="459"/>
        <v>-1</v>
      </c>
      <c r="AU369" s="404">
        <f t="shared" si="460"/>
        <v>-1</v>
      </c>
      <c r="AV369" s="404">
        <f t="shared" si="461"/>
        <v>-1</v>
      </c>
      <c r="AW369" s="404">
        <f t="shared" si="462"/>
        <v>-1</v>
      </c>
    </row>
    <row r="370" spans="1:49" ht="30" x14ac:dyDescent="0.25">
      <c r="A370" s="341">
        <v>2350409</v>
      </c>
      <c r="B370" s="342" t="s">
        <v>194</v>
      </c>
      <c r="C370" s="368">
        <v>0</v>
      </c>
      <c r="D370" s="368">
        <v>0</v>
      </c>
      <c r="E370" s="368">
        <v>0</v>
      </c>
      <c r="F370" s="368">
        <v>9705246</v>
      </c>
      <c r="G370" s="368">
        <f t="shared" si="485"/>
        <v>9705246</v>
      </c>
      <c r="H370" s="64">
        <v>9705246.0200000107</v>
      </c>
      <c r="I370" s="210"/>
      <c r="J370" s="210">
        <f t="shared" si="475"/>
        <v>882295.0927272737</v>
      </c>
      <c r="K370" s="210">
        <v>882295.0927272737</v>
      </c>
      <c r="L370" s="210">
        <v>882295.0927272737</v>
      </c>
      <c r="M370" s="210">
        <v>882295.0927272737</v>
      </c>
      <c r="N370" s="210">
        <v>882295.0927272737</v>
      </c>
      <c r="O370" s="210">
        <v>882295.0927272737</v>
      </c>
      <c r="P370" s="210">
        <v>882295.0927272737</v>
      </c>
      <c r="Q370" s="210">
        <v>882295.0927272737</v>
      </c>
      <c r="R370" s="210">
        <v>882295.0927272737</v>
      </c>
      <c r="S370" s="210">
        <v>882295.0927272737</v>
      </c>
      <c r="T370" s="210">
        <v>882295.0927272737</v>
      </c>
      <c r="U370" s="412">
        <f t="shared" si="470"/>
        <v>7940655.8345454633</v>
      </c>
      <c r="V370" s="63">
        <f t="shared" si="486"/>
        <v>9705246.0200000107</v>
      </c>
      <c r="W370" s="396">
        <f t="shared" si="464"/>
        <v>9705246</v>
      </c>
      <c r="X370" s="396">
        <f t="shared" si="465"/>
        <v>-2.000001072883606E-2</v>
      </c>
      <c r="Y370" s="396"/>
      <c r="AA370" s="210">
        <v>0</v>
      </c>
      <c r="AB370" s="210">
        <v>0</v>
      </c>
      <c r="AC370" s="210">
        <v>0</v>
      </c>
      <c r="AD370" s="210">
        <v>0</v>
      </c>
      <c r="AE370" s="210">
        <v>0</v>
      </c>
      <c r="AF370" s="210">
        <v>0</v>
      </c>
      <c r="AG370" s="210">
        <v>0</v>
      </c>
      <c r="AH370" s="368">
        <v>0</v>
      </c>
      <c r="AI370" s="368">
        <v>0</v>
      </c>
      <c r="AJ370" s="368">
        <v>0</v>
      </c>
      <c r="AK370" s="210">
        <f t="shared" si="469"/>
        <v>0</v>
      </c>
      <c r="AL370" s="387"/>
      <c r="AM370" s="404" t="e">
        <f t="shared" si="452"/>
        <v>#DIV/0!</v>
      </c>
      <c r="AN370" s="404">
        <f t="shared" si="453"/>
        <v>-1</v>
      </c>
      <c r="AO370" s="404">
        <f t="shared" si="454"/>
        <v>-1</v>
      </c>
      <c r="AP370" s="404">
        <f t="shared" si="455"/>
        <v>-1</v>
      </c>
      <c r="AQ370" s="404">
        <f t="shared" si="456"/>
        <v>-1</v>
      </c>
      <c r="AR370" s="404">
        <f t="shared" si="457"/>
        <v>-1</v>
      </c>
      <c r="AS370" s="404">
        <f t="shared" si="458"/>
        <v>-1</v>
      </c>
      <c r="AT370" s="404">
        <f t="shared" si="459"/>
        <v>-1</v>
      </c>
      <c r="AU370" s="404">
        <f t="shared" si="460"/>
        <v>-1</v>
      </c>
      <c r="AV370" s="404">
        <f t="shared" si="461"/>
        <v>-1</v>
      </c>
      <c r="AW370" s="404">
        <f t="shared" si="462"/>
        <v>-1</v>
      </c>
    </row>
    <row r="371" spans="1:49" ht="30" x14ac:dyDescent="0.25">
      <c r="A371" s="341">
        <v>2350410</v>
      </c>
      <c r="B371" s="342" t="s">
        <v>195</v>
      </c>
      <c r="C371" s="368">
        <v>0</v>
      </c>
      <c r="D371" s="368">
        <v>0</v>
      </c>
      <c r="E371" s="368">
        <v>0</v>
      </c>
      <c r="F371" s="368">
        <v>3691380</v>
      </c>
      <c r="G371" s="368">
        <f t="shared" si="485"/>
        <v>3691380</v>
      </c>
      <c r="H371" s="64">
        <v>3691380</v>
      </c>
      <c r="I371" s="210"/>
      <c r="J371" s="210">
        <f t="shared" si="475"/>
        <v>335580</v>
      </c>
      <c r="K371" s="210">
        <v>335580</v>
      </c>
      <c r="L371" s="210">
        <v>335580</v>
      </c>
      <c r="M371" s="210">
        <v>335580</v>
      </c>
      <c r="N371" s="210">
        <v>335580</v>
      </c>
      <c r="O371" s="210">
        <v>335580</v>
      </c>
      <c r="P371" s="210">
        <v>335580</v>
      </c>
      <c r="Q371" s="210">
        <v>335580</v>
      </c>
      <c r="R371" s="210">
        <v>335580</v>
      </c>
      <c r="S371" s="210">
        <v>335580</v>
      </c>
      <c r="T371" s="210">
        <v>335580</v>
      </c>
      <c r="U371" s="412">
        <f t="shared" si="470"/>
        <v>3020220</v>
      </c>
      <c r="V371" s="63">
        <f t="shared" si="486"/>
        <v>3691380</v>
      </c>
      <c r="W371" s="396">
        <f t="shared" si="464"/>
        <v>3691380</v>
      </c>
      <c r="X371" s="396">
        <f t="shared" si="465"/>
        <v>0</v>
      </c>
      <c r="Y371" s="396"/>
      <c r="AA371" s="210">
        <v>0</v>
      </c>
      <c r="AB371" s="210">
        <v>0</v>
      </c>
      <c r="AC371" s="210">
        <v>0</v>
      </c>
      <c r="AD371" s="210">
        <v>0</v>
      </c>
      <c r="AE371" s="210">
        <v>0</v>
      </c>
      <c r="AF371" s="210">
        <v>0</v>
      </c>
      <c r="AG371" s="210">
        <v>0</v>
      </c>
      <c r="AH371" s="368">
        <v>0</v>
      </c>
      <c r="AI371" s="368">
        <v>0</v>
      </c>
      <c r="AJ371" s="368">
        <v>0</v>
      </c>
      <c r="AK371" s="210">
        <f t="shared" si="469"/>
        <v>0</v>
      </c>
      <c r="AL371" s="387"/>
      <c r="AM371" s="404" t="e">
        <f t="shared" si="452"/>
        <v>#DIV/0!</v>
      </c>
      <c r="AN371" s="404">
        <f t="shared" si="453"/>
        <v>-1</v>
      </c>
      <c r="AO371" s="404">
        <f t="shared" si="454"/>
        <v>-1</v>
      </c>
      <c r="AP371" s="404">
        <f t="shared" si="455"/>
        <v>-1</v>
      </c>
      <c r="AQ371" s="404">
        <f t="shared" si="456"/>
        <v>-1</v>
      </c>
      <c r="AR371" s="404">
        <f t="shared" si="457"/>
        <v>-1</v>
      </c>
      <c r="AS371" s="404">
        <f t="shared" si="458"/>
        <v>-1</v>
      </c>
      <c r="AT371" s="404">
        <f t="shared" si="459"/>
        <v>-1</v>
      </c>
      <c r="AU371" s="404">
        <f t="shared" si="460"/>
        <v>-1</v>
      </c>
      <c r="AV371" s="404">
        <f t="shared" si="461"/>
        <v>-1</v>
      </c>
      <c r="AW371" s="404">
        <f t="shared" si="462"/>
        <v>-1</v>
      </c>
    </row>
    <row r="372" spans="1:49" x14ac:dyDescent="0.25">
      <c r="A372" s="341">
        <v>2350411</v>
      </c>
      <c r="B372" s="342" t="s">
        <v>185</v>
      </c>
      <c r="C372" s="368">
        <v>0</v>
      </c>
      <c r="D372" s="368">
        <v>0</v>
      </c>
      <c r="E372" s="368">
        <v>0</v>
      </c>
      <c r="F372" s="368">
        <v>69033301</v>
      </c>
      <c r="G372" s="368">
        <f t="shared" si="485"/>
        <v>69033301</v>
      </c>
      <c r="H372" s="64">
        <v>69033301.780000001</v>
      </c>
      <c r="I372" s="210"/>
      <c r="J372" s="210">
        <f t="shared" si="475"/>
        <v>6275754.707272727</v>
      </c>
      <c r="K372" s="210">
        <v>6275754.707272727</v>
      </c>
      <c r="L372" s="210">
        <v>6275754.707272727</v>
      </c>
      <c r="M372" s="210">
        <v>6275754.707272727</v>
      </c>
      <c r="N372" s="210">
        <v>6275754.707272727</v>
      </c>
      <c r="O372" s="210">
        <v>6275754.707272727</v>
      </c>
      <c r="P372" s="210">
        <v>6275754.707272727</v>
      </c>
      <c r="Q372" s="210">
        <v>6275754.707272727</v>
      </c>
      <c r="R372" s="210">
        <v>6275754.707272727</v>
      </c>
      <c r="S372" s="210">
        <v>6275754.707272727</v>
      </c>
      <c r="T372" s="210">
        <v>6275754.707272727</v>
      </c>
      <c r="U372" s="412">
        <f t="shared" si="470"/>
        <v>56481792.36545454</v>
      </c>
      <c r="V372" s="63">
        <f t="shared" si="486"/>
        <v>69033301.779999986</v>
      </c>
      <c r="W372" s="396">
        <f t="shared" si="464"/>
        <v>69033301</v>
      </c>
      <c r="X372" s="396">
        <f t="shared" si="465"/>
        <v>-0.7799999862909317</v>
      </c>
      <c r="Y372" s="396"/>
      <c r="AA372" s="210">
        <v>0</v>
      </c>
      <c r="AB372" s="210">
        <v>0</v>
      </c>
      <c r="AC372" s="210">
        <v>0</v>
      </c>
      <c r="AD372" s="210">
        <v>0</v>
      </c>
      <c r="AE372" s="210">
        <v>0</v>
      </c>
      <c r="AF372" s="210">
        <v>0</v>
      </c>
      <c r="AG372" s="210">
        <v>0</v>
      </c>
      <c r="AH372" s="368">
        <v>0</v>
      </c>
      <c r="AI372" s="368">
        <v>0</v>
      </c>
      <c r="AJ372" s="368">
        <v>0</v>
      </c>
      <c r="AK372" s="210">
        <f t="shared" si="469"/>
        <v>0</v>
      </c>
      <c r="AL372" s="386"/>
      <c r="AM372" s="404" t="e">
        <f t="shared" si="452"/>
        <v>#DIV/0!</v>
      </c>
      <c r="AN372" s="404">
        <f t="shared" si="453"/>
        <v>-1</v>
      </c>
      <c r="AO372" s="404">
        <f t="shared" si="454"/>
        <v>-1</v>
      </c>
      <c r="AP372" s="404">
        <f t="shared" si="455"/>
        <v>-1</v>
      </c>
      <c r="AQ372" s="404">
        <f t="shared" si="456"/>
        <v>-1</v>
      </c>
      <c r="AR372" s="404">
        <f t="shared" si="457"/>
        <v>-1</v>
      </c>
      <c r="AS372" s="404">
        <f t="shared" si="458"/>
        <v>-1</v>
      </c>
      <c r="AT372" s="404">
        <f t="shared" si="459"/>
        <v>-1</v>
      </c>
      <c r="AU372" s="404">
        <f t="shared" si="460"/>
        <v>-1</v>
      </c>
      <c r="AV372" s="404">
        <f t="shared" si="461"/>
        <v>-1</v>
      </c>
      <c r="AW372" s="404">
        <f t="shared" si="462"/>
        <v>-1</v>
      </c>
    </row>
    <row r="373" spans="1:49" x14ac:dyDescent="0.25">
      <c r="A373" s="339">
        <v>23505</v>
      </c>
      <c r="B373" s="340" t="s">
        <v>196</v>
      </c>
      <c r="C373" s="367">
        <f>SUM(C374:C380)</f>
        <v>0</v>
      </c>
      <c r="D373" s="367">
        <f t="shared" ref="D373:G373" si="487">SUM(D374:D380)</f>
        <v>0</v>
      </c>
      <c r="E373" s="367">
        <f t="shared" si="487"/>
        <v>0</v>
      </c>
      <c r="F373" s="367">
        <f t="shared" si="487"/>
        <v>87402263</v>
      </c>
      <c r="G373" s="367">
        <f t="shared" si="487"/>
        <v>87402263</v>
      </c>
      <c r="H373" s="57">
        <f>SUM(H374:H380)</f>
        <v>87402263.090000004</v>
      </c>
      <c r="I373" s="208">
        <f t="shared" ref="I373:V373" si="488">SUM(I374:I380)</f>
        <v>0</v>
      </c>
      <c r="J373" s="208">
        <f t="shared" si="488"/>
        <v>7945660.2809090903</v>
      </c>
      <c r="K373" s="208">
        <f t="shared" si="488"/>
        <v>7945660.2809090903</v>
      </c>
      <c r="L373" s="208">
        <f t="shared" si="488"/>
        <v>7945660.2809090903</v>
      </c>
      <c r="M373" s="208">
        <f t="shared" si="488"/>
        <v>7945660.2809090903</v>
      </c>
      <c r="N373" s="208">
        <f t="shared" si="488"/>
        <v>7945660.2809090903</v>
      </c>
      <c r="O373" s="208">
        <f t="shared" si="488"/>
        <v>7945660.2809090903</v>
      </c>
      <c r="P373" s="208">
        <f t="shared" si="488"/>
        <v>7945660.2809090903</v>
      </c>
      <c r="Q373" s="208">
        <f t="shared" si="488"/>
        <v>7945660.2809090903</v>
      </c>
      <c r="R373" s="208">
        <f t="shared" si="488"/>
        <v>7945660.2809090903</v>
      </c>
      <c r="S373" s="208">
        <f t="shared" si="488"/>
        <v>7945660.2809090903</v>
      </c>
      <c r="T373" s="208">
        <f t="shared" si="488"/>
        <v>7945660.2809090903</v>
      </c>
      <c r="U373" s="413">
        <f t="shared" si="470"/>
        <v>71510942.528181806</v>
      </c>
      <c r="V373" s="57">
        <f t="shared" si="488"/>
        <v>87402263.089999989</v>
      </c>
      <c r="W373" s="396">
        <f t="shared" si="464"/>
        <v>87402263</v>
      </c>
      <c r="X373" s="396">
        <f t="shared" si="465"/>
        <v>-8.9999988675117493E-2</v>
      </c>
      <c r="Y373" s="396"/>
      <c r="AA373" s="208">
        <v>0</v>
      </c>
      <c r="AB373" s="209">
        <v>41341159</v>
      </c>
      <c r="AC373" s="209">
        <v>0</v>
      </c>
      <c r="AD373" s="209">
        <v>0</v>
      </c>
      <c r="AE373" s="209">
        <v>0</v>
      </c>
      <c r="AF373" s="209">
        <v>9287048</v>
      </c>
      <c r="AG373" s="209">
        <v>750000</v>
      </c>
      <c r="AH373" s="367">
        <v>0</v>
      </c>
      <c r="AI373" s="367">
        <v>2082083</v>
      </c>
      <c r="AJ373" s="367">
        <v>0</v>
      </c>
      <c r="AK373" s="209">
        <f t="shared" si="469"/>
        <v>53460290</v>
      </c>
      <c r="AL373" s="387"/>
      <c r="AM373" s="405" t="e">
        <f t="shared" si="452"/>
        <v>#DIV/0!</v>
      </c>
      <c r="AN373" s="405">
        <f t="shared" si="453"/>
        <v>4.2029859745362801</v>
      </c>
      <c r="AO373" s="405">
        <f t="shared" si="454"/>
        <v>-1</v>
      </c>
      <c r="AP373" s="405">
        <f t="shared" si="455"/>
        <v>-1</v>
      </c>
      <c r="AQ373" s="405">
        <f t="shared" si="456"/>
        <v>-1</v>
      </c>
      <c r="AR373" s="405">
        <f t="shared" si="457"/>
        <v>0.16882016996294699</v>
      </c>
      <c r="AS373" s="405">
        <f t="shared" si="458"/>
        <v>-0.90560885143780778</v>
      </c>
      <c r="AT373" s="405">
        <f t="shared" si="459"/>
        <v>-1</v>
      </c>
      <c r="AU373" s="405">
        <f t="shared" si="460"/>
        <v>-0.73795972563758017</v>
      </c>
      <c r="AV373" s="405">
        <f t="shared" si="461"/>
        <v>-1</v>
      </c>
      <c r="AW373" s="405">
        <f t="shared" si="462"/>
        <v>5.7282375674238395</v>
      </c>
    </row>
    <row r="374" spans="1:49" ht="30" x14ac:dyDescent="0.25">
      <c r="A374" s="364">
        <v>2350501</v>
      </c>
      <c r="B374" s="342" t="s">
        <v>197</v>
      </c>
      <c r="C374" s="368">
        <v>0</v>
      </c>
      <c r="D374" s="368">
        <v>0</v>
      </c>
      <c r="E374" s="368">
        <v>0</v>
      </c>
      <c r="F374" s="368">
        <v>3375956</v>
      </c>
      <c r="G374" s="368">
        <f t="shared" ref="G374:G380" si="489">+C374+D374-E374+F374</f>
        <v>3375956</v>
      </c>
      <c r="H374" s="66">
        <v>3375956</v>
      </c>
      <c r="I374" s="210"/>
      <c r="J374" s="210">
        <f t="shared" si="475"/>
        <v>306905.09090909088</v>
      </c>
      <c r="K374" s="210">
        <v>306905.09090909088</v>
      </c>
      <c r="L374" s="210">
        <v>306905.09090909088</v>
      </c>
      <c r="M374" s="210">
        <v>306905.09090909088</v>
      </c>
      <c r="N374" s="210">
        <v>306905.09090909088</v>
      </c>
      <c r="O374" s="210">
        <v>306905.09090909088</v>
      </c>
      <c r="P374" s="210">
        <v>306905.09090909088</v>
      </c>
      <c r="Q374" s="210">
        <v>306905.09090909088</v>
      </c>
      <c r="R374" s="210">
        <v>306905.09090909088</v>
      </c>
      <c r="S374" s="210">
        <v>306905.09090909088</v>
      </c>
      <c r="T374" s="210">
        <v>306905.09090909088</v>
      </c>
      <c r="U374" s="412">
        <f t="shared" si="470"/>
        <v>2762145.8181818179</v>
      </c>
      <c r="V374" s="63">
        <f t="shared" ref="V374:V405" si="490">SUM(I374:T374)</f>
        <v>3375955.9999999995</v>
      </c>
      <c r="W374" s="396">
        <f t="shared" si="464"/>
        <v>3375956</v>
      </c>
      <c r="X374" s="396">
        <f t="shared" si="465"/>
        <v>0</v>
      </c>
      <c r="Y374" s="396"/>
      <c r="AA374" s="210">
        <v>0</v>
      </c>
      <c r="AB374" s="210">
        <v>0</v>
      </c>
      <c r="AC374" s="210">
        <v>0</v>
      </c>
      <c r="AD374" s="210">
        <v>0</v>
      </c>
      <c r="AE374" s="210">
        <v>0</v>
      </c>
      <c r="AF374" s="210">
        <v>0</v>
      </c>
      <c r="AG374" s="210">
        <v>0</v>
      </c>
      <c r="AH374" s="368">
        <v>0</v>
      </c>
      <c r="AI374" s="368">
        <v>0</v>
      </c>
      <c r="AJ374" s="368">
        <v>0</v>
      </c>
      <c r="AK374" s="210">
        <f t="shared" si="469"/>
        <v>0</v>
      </c>
      <c r="AL374" s="387"/>
      <c r="AM374" s="404" t="e">
        <f t="shared" si="452"/>
        <v>#DIV/0!</v>
      </c>
      <c r="AN374" s="404">
        <f t="shared" si="453"/>
        <v>-1</v>
      </c>
      <c r="AO374" s="404">
        <f t="shared" si="454"/>
        <v>-1</v>
      </c>
      <c r="AP374" s="404">
        <f t="shared" si="455"/>
        <v>-1</v>
      </c>
      <c r="AQ374" s="404">
        <f t="shared" si="456"/>
        <v>-1</v>
      </c>
      <c r="AR374" s="404">
        <f t="shared" si="457"/>
        <v>-1</v>
      </c>
      <c r="AS374" s="404">
        <f t="shared" si="458"/>
        <v>-1</v>
      </c>
      <c r="AT374" s="404">
        <f t="shared" si="459"/>
        <v>-1</v>
      </c>
      <c r="AU374" s="404">
        <f t="shared" si="460"/>
        <v>-1</v>
      </c>
      <c r="AV374" s="404">
        <f t="shared" si="461"/>
        <v>-1</v>
      </c>
      <c r="AW374" s="404">
        <f t="shared" si="462"/>
        <v>-1</v>
      </c>
    </row>
    <row r="375" spans="1:49" ht="30" x14ac:dyDescent="0.25">
      <c r="A375" s="341">
        <v>2350502</v>
      </c>
      <c r="B375" s="342" t="s">
        <v>198</v>
      </c>
      <c r="C375" s="368">
        <v>0</v>
      </c>
      <c r="D375" s="368">
        <v>0</v>
      </c>
      <c r="E375" s="368">
        <v>0</v>
      </c>
      <c r="F375" s="368">
        <v>898908</v>
      </c>
      <c r="G375" s="368">
        <f t="shared" si="489"/>
        <v>898908</v>
      </c>
      <c r="H375" s="66">
        <v>898908</v>
      </c>
      <c r="I375" s="210"/>
      <c r="J375" s="210">
        <f t="shared" si="475"/>
        <v>81718.909090909088</v>
      </c>
      <c r="K375" s="210">
        <v>81718.909090909088</v>
      </c>
      <c r="L375" s="210">
        <v>81718.909090909088</v>
      </c>
      <c r="M375" s="210">
        <v>81718.909090909088</v>
      </c>
      <c r="N375" s="210">
        <v>81718.909090909088</v>
      </c>
      <c r="O375" s="210">
        <v>81718.909090909088</v>
      </c>
      <c r="P375" s="210">
        <v>81718.909090909088</v>
      </c>
      <c r="Q375" s="210">
        <v>81718.909090909088</v>
      </c>
      <c r="R375" s="210">
        <v>81718.909090909088</v>
      </c>
      <c r="S375" s="210">
        <v>81718.909090909088</v>
      </c>
      <c r="T375" s="210">
        <v>81718.909090909088</v>
      </c>
      <c r="U375" s="412">
        <f t="shared" si="470"/>
        <v>735470.18181818165</v>
      </c>
      <c r="V375" s="63">
        <f t="shared" si="490"/>
        <v>898907.99999999977</v>
      </c>
      <c r="W375" s="396">
        <f t="shared" si="464"/>
        <v>898908</v>
      </c>
      <c r="X375" s="396">
        <f t="shared" si="465"/>
        <v>0</v>
      </c>
      <c r="Y375" s="396"/>
      <c r="AA375" s="210">
        <v>0</v>
      </c>
      <c r="AB375" s="210">
        <v>0</v>
      </c>
      <c r="AC375" s="210">
        <v>0</v>
      </c>
      <c r="AD375" s="210">
        <v>0</v>
      </c>
      <c r="AE375" s="210">
        <v>0</v>
      </c>
      <c r="AF375" s="210">
        <v>0</v>
      </c>
      <c r="AG375" s="210">
        <v>0</v>
      </c>
      <c r="AH375" s="368">
        <v>0</v>
      </c>
      <c r="AI375" s="368">
        <v>0</v>
      </c>
      <c r="AJ375" s="368">
        <v>0</v>
      </c>
      <c r="AK375" s="210">
        <f t="shared" si="469"/>
        <v>0</v>
      </c>
      <c r="AL375" s="387"/>
      <c r="AM375" s="404" t="e">
        <f t="shared" si="452"/>
        <v>#DIV/0!</v>
      </c>
      <c r="AN375" s="404">
        <f t="shared" si="453"/>
        <v>-1</v>
      </c>
      <c r="AO375" s="404">
        <f t="shared" si="454"/>
        <v>-1</v>
      </c>
      <c r="AP375" s="404">
        <f t="shared" si="455"/>
        <v>-1</v>
      </c>
      <c r="AQ375" s="404">
        <f t="shared" si="456"/>
        <v>-1</v>
      </c>
      <c r="AR375" s="404">
        <f t="shared" si="457"/>
        <v>-1</v>
      </c>
      <c r="AS375" s="404">
        <f t="shared" si="458"/>
        <v>-1</v>
      </c>
      <c r="AT375" s="404">
        <f t="shared" si="459"/>
        <v>-1</v>
      </c>
      <c r="AU375" s="404">
        <f t="shared" si="460"/>
        <v>-1</v>
      </c>
      <c r="AV375" s="404">
        <f t="shared" si="461"/>
        <v>-1</v>
      </c>
      <c r="AW375" s="404">
        <f t="shared" si="462"/>
        <v>-1</v>
      </c>
    </row>
    <row r="376" spans="1:49" ht="30" x14ac:dyDescent="0.25">
      <c r="A376" s="341">
        <v>2350503</v>
      </c>
      <c r="B376" s="342" t="s">
        <v>199</v>
      </c>
      <c r="C376" s="368">
        <v>0</v>
      </c>
      <c r="D376" s="368">
        <v>0</v>
      </c>
      <c r="E376" s="368">
        <v>0</v>
      </c>
      <c r="F376" s="368">
        <v>1181670</v>
      </c>
      <c r="G376" s="368">
        <f t="shared" si="489"/>
        <v>1181670</v>
      </c>
      <c r="H376" s="66">
        <v>1181670</v>
      </c>
      <c r="I376" s="210"/>
      <c r="J376" s="210">
        <f t="shared" si="475"/>
        <v>107424.54545454546</v>
      </c>
      <c r="K376" s="210">
        <v>107424.54545454546</v>
      </c>
      <c r="L376" s="210">
        <v>107424.54545454546</v>
      </c>
      <c r="M376" s="210">
        <v>107424.54545454546</v>
      </c>
      <c r="N376" s="210">
        <v>107424.54545454546</v>
      </c>
      <c r="O376" s="210">
        <v>107424.54545454546</v>
      </c>
      <c r="P376" s="210">
        <v>107424.54545454546</v>
      </c>
      <c r="Q376" s="210">
        <v>107424.54545454546</v>
      </c>
      <c r="R376" s="210">
        <v>107424.54545454546</v>
      </c>
      <c r="S376" s="210">
        <v>107424.54545454546</v>
      </c>
      <c r="T376" s="210">
        <v>107424.54545454546</v>
      </c>
      <c r="U376" s="412">
        <f t="shared" si="470"/>
        <v>966820.90909090894</v>
      </c>
      <c r="V376" s="63">
        <f t="shared" si="490"/>
        <v>1181669.9999999998</v>
      </c>
      <c r="W376" s="396">
        <f t="shared" si="464"/>
        <v>1181670</v>
      </c>
      <c r="X376" s="396">
        <f t="shared" si="465"/>
        <v>0</v>
      </c>
      <c r="Y376" s="396"/>
      <c r="AA376" s="210">
        <v>0</v>
      </c>
      <c r="AB376" s="210">
        <v>0</v>
      </c>
      <c r="AC376" s="210">
        <v>0</v>
      </c>
      <c r="AD376" s="210">
        <v>0</v>
      </c>
      <c r="AE376" s="210">
        <v>0</v>
      </c>
      <c r="AF376" s="210">
        <v>0</v>
      </c>
      <c r="AG376" s="210">
        <v>0</v>
      </c>
      <c r="AH376" s="368">
        <v>0</v>
      </c>
      <c r="AI376" s="368">
        <v>0</v>
      </c>
      <c r="AJ376" s="368">
        <v>0</v>
      </c>
      <c r="AK376" s="210">
        <f t="shared" si="469"/>
        <v>0</v>
      </c>
      <c r="AL376" s="387"/>
      <c r="AM376" s="404" t="e">
        <f t="shared" si="452"/>
        <v>#DIV/0!</v>
      </c>
      <c r="AN376" s="404">
        <f t="shared" si="453"/>
        <v>-1</v>
      </c>
      <c r="AO376" s="404">
        <f t="shared" si="454"/>
        <v>-1</v>
      </c>
      <c r="AP376" s="404">
        <f t="shared" si="455"/>
        <v>-1</v>
      </c>
      <c r="AQ376" s="404">
        <f t="shared" si="456"/>
        <v>-1</v>
      </c>
      <c r="AR376" s="404">
        <f t="shared" si="457"/>
        <v>-1</v>
      </c>
      <c r="AS376" s="404">
        <f t="shared" si="458"/>
        <v>-1</v>
      </c>
      <c r="AT376" s="404">
        <f t="shared" si="459"/>
        <v>-1</v>
      </c>
      <c r="AU376" s="404">
        <f t="shared" si="460"/>
        <v>-1</v>
      </c>
      <c r="AV376" s="404">
        <f t="shared" si="461"/>
        <v>-1</v>
      </c>
      <c r="AW376" s="404">
        <f t="shared" si="462"/>
        <v>-1</v>
      </c>
    </row>
    <row r="377" spans="1:49" ht="30" x14ac:dyDescent="0.25">
      <c r="A377" s="341">
        <v>2350504</v>
      </c>
      <c r="B377" s="342" t="s">
        <v>200</v>
      </c>
      <c r="C377" s="368">
        <v>0</v>
      </c>
      <c r="D377" s="368">
        <v>0</v>
      </c>
      <c r="E377" s="368">
        <v>0</v>
      </c>
      <c r="F377" s="368">
        <v>4180583</v>
      </c>
      <c r="G377" s="368">
        <f t="shared" si="489"/>
        <v>4180583</v>
      </c>
      <c r="H377" s="66">
        <v>4180583</v>
      </c>
      <c r="I377" s="210"/>
      <c r="J377" s="210">
        <f t="shared" si="475"/>
        <v>380053</v>
      </c>
      <c r="K377" s="210">
        <v>380053</v>
      </c>
      <c r="L377" s="210">
        <v>380053</v>
      </c>
      <c r="M377" s="210">
        <v>380053</v>
      </c>
      <c r="N377" s="210">
        <v>380053</v>
      </c>
      <c r="O377" s="210">
        <v>380053</v>
      </c>
      <c r="P377" s="210">
        <v>380053</v>
      </c>
      <c r="Q377" s="210">
        <v>380053</v>
      </c>
      <c r="R377" s="210">
        <v>380053</v>
      </c>
      <c r="S377" s="210">
        <v>380053</v>
      </c>
      <c r="T377" s="210">
        <v>380053</v>
      </c>
      <c r="U377" s="412">
        <f t="shared" si="470"/>
        <v>3420477</v>
      </c>
      <c r="V377" s="63">
        <f t="shared" si="490"/>
        <v>4180583</v>
      </c>
      <c r="W377" s="396">
        <f t="shared" si="464"/>
        <v>4180583</v>
      </c>
      <c r="X377" s="396">
        <f t="shared" si="465"/>
        <v>0</v>
      </c>
      <c r="Y377" s="396"/>
      <c r="AA377" s="210">
        <v>0</v>
      </c>
      <c r="AB377" s="210">
        <v>0</v>
      </c>
      <c r="AC377" s="210">
        <v>0</v>
      </c>
      <c r="AD377" s="210">
        <v>0</v>
      </c>
      <c r="AE377" s="210">
        <v>0</v>
      </c>
      <c r="AF377" s="210">
        <v>0</v>
      </c>
      <c r="AG377" s="210">
        <v>0</v>
      </c>
      <c r="AH377" s="368">
        <v>0</v>
      </c>
      <c r="AI377" s="368">
        <v>2082083</v>
      </c>
      <c r="AJ377" s="368">
        <v>0</v>
      </c>
      <c r="AK377" s="210">
        <f t="shared" si="469"/>
        <v>2082083</v>
      </c>
      <c r="AL377" s="387"/>
      <c r="AM377" s="404" t="e">
        <f t="shared" si="452"/>
        <v>#DIV/0!</v>
      </c>
      <c r="AN377" s="404">
        <f t="shared" si="453"/>
        <v>-1</v>
      </c>
      <c r="AO377" s="404">
        <f t="shared" si="454"/>
        <v>-1</v>
      </c>
      <c r="AP377" s="404">
        <f t="shared" si="455"/>
        <v>-1</v>
      </c>
      <c r="AQ377" s="404">
        <f t="shared" si="456"/>
        <v>-1</v>
      </c>
      <c r="AR377" s="404">
        <f t="shared" si="457"/>
        <v>-1</v>
      </c>
      <c r="AS377" s="404">
        <f t="shared" si="458"/>
        <v>-1</v>
      </c>
      <c r="AT377" s="404">
        <f t="shared" si="459"/>
        <v>-1</v>
      </c>
      <c r="AU377" s="404">
        <f t="shared" si="460"/>
        <v>4.4784016966054736</v>
      </c>
      <c r="AV377" s="404">
        <f t="shared" si="461"/>
        <v>-1</v>
      </c>
      <c r="AW377" s="404">
        <f t="shared" si="462"/>
        <v>4.4784016966054736</v>
      </c>
    </row>
    <row r="378" spans="1:49" ht="30" x14ac:dyDescent="0.25">
      <c r="A378" s="341">
        <v>2350505</v>
      </c>
      <c r="B378" s="342" t="s">
        <v>201</v>
      </c>
      <c r="C378" s="368">
        <v>0</v>
      </c>
      <c r="D378" s="368">
        <v>0</v>
      </c>
      <c r="E378" s="368">
        <v>0</v>
      </c>
      <c r="F378" s="368">
        <v>2074727</v>
      </c>
      <c r="G378" s="368">
        <f t="shared" si="489"/>
        <v>2074727</v>
      </c>
      <c r="H378" s="66">
        <v>2074727</v>
      </c>
      <c r="I378" s="210"/>
      <c r="J378" s="210">
        <f t="shared" si="475"/>
        <v>188611.54545454544</v>
      </c>
      <c r="K378" s="210">
        <v>188611.54545454544</v>
      </c>
      <c r="L378" s="210">
        <v>188611.54545454544</v>
      </c>
      <c r="M378" s="210">
        <v>188611.54545454544</v>
      </c>
      <c r="N378" s="210">
        <v>188611.54545454544</v>
      </c>
      <c r="O378" s="210">
        <v>188611.54545454544</v>
      </c>
      <c r="P378" s="210">
        <v>188611.54545454544</v>
      </c>
      <c r="Q378" s="210">
        <v>188611.54545454544</v>
      </c>
      <c r="R378" s="210">
        <v>188611.54545454544</v>
      </c>
      <c r="S378" s="210">
        <v>188611.54545454544</v>
      </c>
      <c r="T378" s="210">
        <v>188611.54545454544</v>
      </c>
      <c r="U378" s="412">
        <f t="shared" si="470"/>
        <v>1697503.9090909089</v>
      </c>
      <c r="V378" s="63">
        <f t="shared" si="490"/>
        <v>2074726.9999999998</v>
      </c>
      <c r="W378" s="396">
        <f t="shared" si="464"/>
        <v>2074727</v>
      </c>
      <c r="X378" s="396">
        <f t="shared" si="465"/>
        <v>0</v>
      </c>
      <c r="Y378" s="396"/>
      <c r="AA378" s="210">
        <v>0</v>
      </c>
      <c r="AB378" s="210">
        <v>0</v>
      </c>
      <c r="AC378" s="210">
        <v>0</v>
      </c>
      <c r="AD378" s="210">
        <v>0</v>
      </c>
      <c r="AE378" s="210">
        <v>0</v>
      </c>
      <c r="AF378" s="210">
        <v>750000</v>
      </c>
      <c r="AG378" s="210">
        <v>750000</v>
      </c>
      <c r="AH378" s="368">
        <v>0</v>
      </c>
      <c r="AI378" s="368">
        <v>0</v>
      </c>
      <c r="AJ378" s="368">
        <v>0</v>
      </c>
      <c r="AK378" s="210">
        <f t="shared" si="469"/>
        <v>1500000</v>
      </c>
      <c r="AL378" s="387"/>
      <c r="AM378" s="404" t="e">
        <f t="shared" si="452"/>
        <v>#DIV/0!</v>
      </c>
      <c r="AN378" s="404">
        <f t="shared" si="453"/>
        <v>-1</v>
      </c>
      <c r="AO378" s="404">
        <f t="shared" si="454"/>
        <v>-1</v>
      </c>
      <c r="AP378" s="404">
        <f t="shared" si="455"/>
        <v>-1</v>
      </c>
      <c r="AQ378" s="404">
        <f t="shared" si="456"/>
        <v>-1</v>
      </c>
      <c r="AR378" s="404">
        <f t="shared" si="457"/>
        <v>2.9764267780773088</v>
      </c>
      <c r="AS378" s="404">
        <f t="shared" si="458"/>
        <v>2.9764267780773088</v>
      </c>
      <c r="AT378" s="404">
        <f t="shared" si="459"/>
        <v>-1</v>
      </c>
      <c r="AU378" s="404">
        <f t="shared" si="460"/>
        <v>-1</v>
      </c>
      <c r="AV378" s="404">
        <f t="shared" si="461"/>
        <v>-1</v>
      </c>
      <c r="AW378" s="404">
        <f t="shared" si="462"/>
        <v>6.9528535561546176</v>
      </c>
    </row>
    <row r="379" spans="1:49" ht="30" x14ac:dyDescent="0.25">
      <c r="A379" s="341">
        <v>2350506</v>
      </c>
      <c r="B379" s="342" t="s">
        <v>202</v>
      </c>
      <c r="C379" s="368">
        <v>0</v>
      </c>
      <c r="D379" s="368">
        <v>0</v>
      </c>
      <c r="E379" s="368">
        <v>0</v>
      </c>
      <c r="F379" s="368">
        <v>49878207</v>
      </c>
      <c r="G379" s="368">
        <f t="shared" si="489"/>
        <v>49878207</v>
      </c>
      <c r="H379" s="66">
        <v>49878207</v>
      </c>
      <c r="I379" s="210"/>
      <c r="J379" s="210">
        <f t="shared" si="475"/>
        <v>4534382.4545454541</v>
      </c>
      <c r="K379" s="210">
        <v>4534382.4545454541</v>
      </c>
      <c r="L379" s="210">
        <v>4534382.4545454541</v>
      </c>
      <c r="M379" s="210">
        <v>4534382.4545454541</v>
      </c>
      <c r="N379" s="210">
        <v>4534382.4545454541</v>
      </c>
      <c r="O379" s="210">
        <v>4534382.4545454541</v>
      </c>
      <c r="P379" s="210">
        <v>4534382.4545454541</v>
      </c>
      <c r="Q379" s="210">
        <v>4534382.4545454541</v>
      </c>
      <c r="R379" s="210">
        <v>4534382.4545454541</v>
      </c>
      <c r="S379" s="210">
        <v>4534382.4545454541</v>
      </c>
      <c r="T379" s="210">
        <v>4534382.4545454541</v>
      </c>
      <c r="U379" s="412">
        <f t="shared" si="470"/>
        <v>40809442.090909086</v>
      </c>
      <c r="V379" s="63">
        <f t="shared" si="490"/>
        <v>49878206.999999993</v>
      </c>
      <c r="W379" s="396">
        <f t="shared" si="464"/>
        <v>49878207</v>
      </c>
      <c r="X379" s="396">
        <f t="shared" si="465"/>
        <v>0</v>
      </c>
      <c r="Y379" s="396"/>
      <c r="AA379" s="210">
        <v>0</v>
      </c>
      <c r="AB379" s="210">
        <v>41341159</v>
      </c>
      <c r="AC379" s="210">
        <v>0</v>
      </c>
      <c r="AD379" s="210">
        <v>0</v>
      </c>
      <c r="AE379" s="210">
        <v>0</v>
      </c>
      <c r="AF379" s="210">
        <v>8537048</v>
      </c>
      <c r="AG379" s="210">
        <v>0</v>
      </c>
      <c r="AH379" s="368">
        <v>0</v>
      </c>
      <c r="AI379" s="368">
        <v>0</v>
      </c>
      <c r="AJ379" s="368">
        <v>0</v>
      </c>
      <c r="AK379" s="210">
        <f t="shared" si="469"/>
        <v>49878207</v>
      </c>
      <c r="AL379" s="387"/>
      <c r="AM379" s="404" t="e">
        <f t="shared" si="452"/>
        <v>#DIV/0!</v>
      </c>
      <c r="AN379" s="404">
        <f t="shared" si="453"/>
        <v>8.1172633571210788</v>
      </c>
      <c r="AO379" s="404">
        <f t="shared" si="454"/>
        <v>-1</v>
      </c>
      <c r="AP379" s="404">
        <f t="shared" si="455"/>
        <v>-1</v>
      </c>
      <c r="AQ379" s="404">
        <f t="shared" si="456"/>
        <v>-1</v>
      </c>
      <c r="AR379" s="404">
        <f t="shared" si="457"/>
        <v>0.88273664287892328</v>
      </c>
      <c r="AS379" s="404">
        <f t="shared" si="458"/>
        <v>-1</v>
      </c>
      <c r="AT379" s="404">
        <f t="shared" si="459"/>
        <v>-1</v>
      </c>
      <c r="AU379" s="404">
        <f t="shared" si="460"/>
        <v>-1</v>
      </c>
      <c r="AV379" s="404">
        <f t="shared" si="461"/>
        <v>-1</v>
      </c>
      <c r="AW379" s="404">
        <f t="shared" si="462"/>
        <v>10.000000000000002</v>
      </c>
    </row>
    <row r="380" spans="1:49" ht="30" x14ac:dyDescent="0.25">
      <c r="A380" s="341">
        <v>2350507</v>
      </c>
      <c r="B380" s="342" t="s">
        <v>203</v>
      </c>
      <c r="C380" s="368">
        <v>0</v>
      </c>
      <c r="D380" s="368">
        <v>0</v>
      </c>
      <c r="E380" s="368">
        <v>0</v>
      </c>
      <c r="F380" s="368">
        <v>25812212</v>
      </c>
      <c r="G380" s="368">
        <f t="shared" si="489"/>
        <v>25812212</v>
      </c>
      <c r="H380" s="66">
        <f>25812211.91+0.18</f>
        <v>25812212.09</v>
      </c>
      <c r="I380" s="210"/>
      <c r="J380" s="210">
        <f t="shared" si="475"/>
        <v>2346564.7354545454</v>
      </c>
      <c r="K380" s="210">
        <v>2346564.7354545454</v>
      </c>
      <c r="L380" s="210">
        <v>2346564.7354545454</v>
      </c>
      <c r="M380" s="210">
        <v>2346564.7354545454</v>
      </c>
      <c r="N380" s="210">
        <v>2346564.7354545454</v>
      </c>
      <c r="O380" s="210">
        <v>2346564.7354545454</v>
      </c>
      <c r="P380" s="210">
        <v>2346564.7354545454</v>
      </c>
      <c r="Q380" s="210">
        <v>2346564.7354545454</v>
      </c>
      <c r="R380" s="210">
        <v>2346564.7354545454</v>
      </c>
      <c r="S380" s="210">
        <v>2346564.7354545454</v>
      </c>
      <c r="T380" s="210">
        <v>2346564.7354545454</v>
      </c>
      <c r="U380" s="412">
        <f t="shared" si="470"/>
        <v>21119082.619090904</v>
      </c>
      <c r="V380" s="63">
        <f t="shared" si="490"/>
        <v>25812212.089999992</v>
      </c>
      <c r="W380" s="396">
        <f t="shared" si="464"/>
        <v>25812212</v>
      </c>
      <c r="X380" s="396">
        <f t="shared" si="465"/>
        <v>-8.9999992400407791E-2</v>
      </c>
      <c r="Y380" s="396"/>
      <c r="AA380" s="210">
        <v>0</v>
      </c>
      <c r="AB380" s="210">
        <v>0</v>
      </c>
      <c r="AC380" s="210">
        <v>0</v>
      </c>
      <c r="AD380" s="210">
        <v>0</v>
      </c>
      <c r="AE380" s="210">
        <v>0</v>
      </c>
      <c r="AF380" s="210">
        <v>0</v>
      </c>
      <c r="AG380" s="210">
        <v>0</v>
      </c>
      <c r="AH380" s="368">
        <v>0</v>
      </c>
      <c r="AI380" s="368">
        <v>0</v>
      </c>
      <c r="AJ380" s="368">
        <v>0</v>
      </c>
      <c r="AK380" s="210">
        <f t="shared" si="469"/>
        <v>0</v>
      </c>
      <c r="AL380" s="386"/>
      <c r="AM380" s="404" t="e">
        <f t="shared" si="452"/>
        <v>#DIV/0!</v>
      </c>
      <c r="AN380" s="404">
        <f t="shared" si="453"/>
        <v>-1</v>
      </c>
      <c r="AO380" s="404">
        <f t="shared" si="454"/>
        <v>-1</v>
      </c>
      <c r="AP380" s="404">
        <f t="shared" si="455"/>
        <v>-1</v>
      </c>
      <c r="AQ380" s="404">
        <f t="shared" si="456"/>
        <v>-1</v>
      </c>
      <c r="AR380" s="404">
        <f t="shared" si="457"/>
        <v>-1</v>
      </c>
      <c r="AS380" s="404">
        <f t="shared" si="458"/>
        <v>-1</v>
      </c>
      <c r="AT380" s="404">
        <f t="shared" si="459"/>
        <v>-1</v>
      </c>
      <c r="AU380" s="404">
        <f t="shared" si="460"/>
        <v>-1</v>
      </c>
      <c r="AV380" s="404">
        <f t="shared" si="461"/>
        <v>-1</v>
      </c>
      <c r="AW380" s="404">
        <f t="shared" si="462"/>
        <v>-1</v>
      </c>
    </row>
    <row r="381" spans="1:49" x14ac:dyDescent="0.25">
      <c r="A381" s="339">
        <v>23506</v>
      </c>
      <c r="B381" s="340" t="s">
        <v>204</v>
      </c>
      <c r="C381" s="367">
        <f>+C382</f>
        <v>0</v>
      </c>
      <c r="D381" s="367">
        <f t="shared" ref="D381:G381" si="491">+D382</f>
        <v>0</v>
      </c>
      <c r="E381" s="367">
        <f t="shared" si="491"/>
        <v>0</v>
      </c>
      <c r="F381" s="367">
        <f t="shared" si="491"/>
        <v>81175164</v>
      </c>
      <c r="G381" s="367">
        <f t="shared" si="491"/>
        <v>81175164</v>
      </c>
      <c r="H381" s="57">
        <f>+H382</f>
        <v>81175164.599999994</v>
      </c>
      <c r="I381" s="208">
        <f t="shared" ref="I381:V381" si="492">+I382</f>
        <v>0</v>
      </c>
      <c r="J381" s="208">
        <f t="shared" si="492"/>
        <v>7379560.418181818</v>
      </c>
      <c r="K381" s="208">
        <f t="shared" si="492"/>
        <v>7379560.418181818</v>
      </c>
      <c r="L381" s="208">
        <f t="shared" si="492"/>
        <v>7379560.418181818</v>
      </c>
      <c r="M381" s="208">
        <f t="shared" si="492"/>
        <v>7379560.418181818</v>
      </c>
      <c r="N381" s="208">
        <f t="shared" si="492"/>
        <v>7379560.418181818</v>
      </c>
      <c r="O381" s="208">
        <f t="shared" si="492"/>
        <v>7379560.418181818</v>
      </c>
      <c r="P381" s="208">
        <f t="shared" si="492"/>
        <v>7379560.418181818</v>
      </c>
      <c r="Q381" s="208">
        <f t="shared" si="492"/>
        <v>7379560.418181818</v>
      </c>
      <c r="R381" s="208">
        <f t="shared" si="492"/>
        <v>7379560.418181818</v>
      </c>
      <c r="S381" s="208">
        <f t="shared" si="492"/>
        <v>7379560.418181818</v>
      </c>
      <c r="T381" s="208">
        <f t="shared" si="492"/>
        <v>7379560.418181818</v>
      </c>
      <c r="U381" s="413">
        <f t="shared" si="470"/>
        <v>66416043.76363638</v>
      </c>
      <c r="V381" s="57">
        <f t="shared" si="492"/>
        <v>81175164.600000024</v>
      </c>
      <c r="W381" s="396">
        <f t="shared" si="464"/>
        <v>81175164</v>
      </c>
      <c r="X381" s="396">
        <f t="shared" si="465"/>
        <v>-0.60000002384185791</v>
      </c>
      <c r="Y381" s="396"/>
      <c r="AA381" s="208">
        <f>+AA382</f>
        <v>0</v>
      </c>
      <c r="AB381" s="208">
        <f t="shared" ref="AB381:AG381" si="493">+AB382</f>
        <v>0</v>
      </c>
      <c r="AC381" s="208">
        <f t="shared" si="493"/>
        <v>41217471</v>
      </c>
      <c r="AD381" s="208">
        <f t="shared" si="493"/>
        <v>0</v>
      </c>
      <c r="AE381" s="208">
        <f t="shared" si="493"/>
        <v>0</v>
      </c>
      <c r="AF381" s="208">
        <f t="shared" si="493"/>
        <v>0</v>
      </c>
      <c r="AG381" s="208">
        <f t="shared" si="493"/>
        <v>626059</v>
      </c>
      <c r="AH381" s="367">
        <v>0</v>
      </c>
      <c r="AI381" s="367">
        <v>21849290</v>
      </c>
      <c r="AJ381" s="367">
        <v>963623</v>
      </c>
      <c r="AK381" s="208">
        <f t="shared" si="469"/>
        <v>64656443</v>
      </c>
      <c r="AL381" s="387"/>
      <c r="AM381" s="409" t="e">
        <f t="shared" si="452"/>
        <v>#DIV/0!</v>
      </c>
      <c r="AN381" s="409">
        <f t="shared" si="453"/>
        <v>-1</v>
      </c>
      <c r="AO381" s="409">
        <f t="shared" si="454"/>
        <v>4.5853558564881549</v>
      </c>
      <c r="AP381" s="409">
        <f t="shared" si="455"/>
        <v>-1</v>
      </c>
      <c r="AQ381" s="409">
        <f t="shared" si="456"/>
        <v>-1</v>
      </c>
      <c r="AR381" s="409">
        <f t="shared" si="457"/>
        <v>-1</v>
      </c>
      <c r="AS381" s="409">
        <f t="shared" si="458"/>
        <v>-0.91516310396246492</v>
      </c>
      <c r="AT381" s="409">
        <f t="shared" si="459"/>
        <v>-1</v>
      </c>
      <c r="AU381" s="409">
        <f t="shared" si="460"/>
        <v>1.9607847570659562</v>
      </c>
      <c r="AV381" s="409">
        <f t="shared" si="461"/>
        <v>-0.869419999919532</v>
      </c>
      <c r="AW381" s="409">
        <f t="shared" si="462"/>
        <v>7.7615575096721141</v>
      </c>
    </row>
    <row r="382" spans="1:49" ht="30" x14ac:dyDescent="0.25">
      <c r="A382" s="341">
        <v>2350601</v>
      </c>
      <c r="B382" s="342" t="s">
        <v>205</v>
      </c>
      <c r="C382" s="368">
        <v>0</v>
      </c>
      <c r="D382" s="368">
        <v>0</v>
      </c>
      <c r="E382" s="368">
        <v>0</v>
      </c>
      <c r="F382" s="368">
        <v>81175164</v>
      </c>
      <c r="G382" s="368">
        <f t="shared" ref="G382:G412" si="494">+C382+D382-E382+F382</f>
        <v>81175164</v>
      </c>
      <c r="H382" s="64">
        <v>81175164.599999994</v>
      </c>
      <c r="I382" s="210"/>
      <c r="J382" s="210">
        <f t="shared" si="475"/>
        <v>7379560.418181818</v>
      </c>
      <c r="K382" s="210">
        <v>7379560.418181818</v>
      </c>
      <c r="L382" s="210">
        <v>7379560.418181818</v>
      </c>
      <c r="M382" s="210">
        <v>7379560.418181818</v>
      </c>
      <c r="N382" s="210">
        <v>7379560.418181818</v>
      </c>
      <c r="O382" s="210">
        <v>7379560.418181818</v>
      </c>
      <c r="P382" s="210">
        <v>7379560.418181818</v>
      </c>
      <c r="Q382" s="210">
        <v>7379560.418181818</v>
      </c>
      <c r="R382" s="210">
        <v>7379560.418181818</v>
      </c>
      <c r="S382" s="210">
        <v>7379560.418181818</v>
      </c>
      <c r="T382" s="210">
        <v>7379560.418181818</v>
      </c>
      <c r="U382" s="412">
        <f t="shared" si="470"/>
        <v>66416043.76363638</v>
      </c>
      <c r="V382" s="63">
        <f t="shared" si="490"/>
        <v>81175164.600000024</v>
      </c>
      <c r="W382" s="396">
        <f t="shared" si="464"/>
        <v>81175164</v>
      </c>
      <c r="X382" s="396">
        <f t="shared" si="465"/>
        <v>-0.60000002384185791</v>
      </c>
      <c r="Y382" s="396"/>
      <c r="AA382" s="210">
        <v>0</v>
      </c>
      <c r="AB382" s="210">
        <v>0</v>
      </c>
      <c r="AC382" s="210">
        <v>41217471</v>
      </c>
      <c r="AD382" s="210">
        <v>0</v>
      </c>
      <c r="AE382" s="210">
        <v>0</v>
      </c>
      <c r="AF382" s="210">
        <v>0</v>
      </c>
      <c r="AG382" s="210">
        <v>626059</v>
      </c>
      <c r="AH382" s="368">
        <v>0</v>
      </c>
      <c r="AI382" s="368">
        <v>21849290</v>
      </c>
      <c r="AJ382" s="368">
        <v>963623</v>
      </c>
      <c r="AK382" s="210">
        <f t="shared" si="469"/>
        <v>64656443</v>
      </c>
      <c r="AL382" s="387"/>
      <c r="AM382" s="404" t="e">
        <f t="shared" si="452"/>
        <v>#DIV/0!</v>
      </c>
      <c r="AN382" s="404">
        <f t="shared" si="453"/>
        <v>-1</v>
      </c>
      <c r="AO382" s="404">
        <f t="shared" si="454"/>
        <v>4.5853558564881549</v>
      </c>
      <c r="AP382" s="404">
        <f t="shared" si="455"/>
        <v>-1</v>
      </c>
      <c r="AQ382" s="404">
        <f t="shared" si="456"/>
        <v>-1</v>
      </c>
      <c r="AR382" s="404">
        <f t="shared" si="457"/>
        <v>-1</v>
      </c>
      <c r="AS382" s="404">
        <f t="shared" si="458"/>
        <v>-0.91516310396246492</v>
      </c>
      <c r="AT382" s="404">
        <f t="shared" si="459"/>
        <v>-1</v>
      </c>
      <c r="AU382" s="404">
        <f t="shared" si="460"/>
        <v>1.9607847570659562</v>
      </c>
      <c r="AV382" s="404">
        <f t="shared" si="461"/>
        <v>-0.869419999919532</v>
      </c>
      <c r="AW382" s="404">
        <f t="shared" si="462"/>
        <v>7.7615575096721141</v>
      </c>
    </row>
    <row r="383" spans="1:49" ht="30" x14ac:dyDescent="0.25">
      <c r="A383" s="341">
        <v>23507</v>
      </c>
      <c r="B383" s="342" t="s">
        <v>206</v>
      </c>
      <c r="C383" s="368">
        <v>0</v>
      </c>
      <c r="D383" s="368">
        <v>0</v>
      </c>
      <c r="E383" s="368">
        <v>0</v>
      </c>
      <c r="F383" s="368">
        <v>605226612</v>
      </c>
      <c r="G383" s="368">
        <f t="shared" si="494"/>
        <v>605226612</v>
      </c>
      <c r="H383" s="64">
        <v>605226612</v>
      </c>
      <c r="I383" s="211"/>
      <c r="J383" s="211">
        <f t="shared" si="475"/>
        <v>55020601.090909094</v>
      </c>
      <c r="K383" s="211">
        <v>55020601.090909094</v>
      </c>
      <c r="L383" s="211">
        <v>55020601.090909094</v>
      </c>
      <c r="M383" s="211">
        <v>55020601.090909094</v>
      </c>
      <c r="N383" s="211">
        <v>55020601.090909094</v>
      </c>
      <c r="O383" s="211">
        <v>55020601.090909094</v>
      </c>
      <c r="P383" s="211">
        <v>55020601.090909094</v>
      </c>
      <c r="Q383" s="211">
        <v>55020601.090909094</v>
      </c>
      <c r="R383" s="211">
        <v>55020601.090909094</v>
      </c>
      <c r="S383" s="211">
        <v>55020601.090909094</v>
      </c>
      <c r="T383" s="211">
        <v>55020601.090909094</v>
      </c>
      <c r="U383" s="421">
        <f t="shared" si="470"/>
        <v>495185409.81818199</v>
      </c>
      <c r="V383" s="63">
        <f t="shared" si="490"/>
        <v>605226612.00000024</v>
      </c>
      <c r="W383" s="396">
        <f t="shared" si="464"/>
        <v>605226612</v>
      </c>
      <c r="X383" s="396">
        <f t="shared" si="465"/>
        <v>0</v>
      </c>
      <c r="Y383" s="396"/>
      <c r="AA383" s="211">
        <v>0</v>
      </c>
      <c r="AB383" s="210">
        <v>0</v>
      </c>
      <c r="AC383" s="210">
        <v>0</v>
      </c>
      <c r="AD383" s="210">
        <v>0</v>
      </c>
      <c r="AE383" s="210">
        <v>0</v>
      </c>
      <c r="AF383" s="210">
        <v>0</v>
      </c>
      <c r="AG383" s="210">
        <v>0</v>
      </c>
      <c r="AH383" s="368">
        <v>0</v>
      </c>
      <c r="AI383" s="368">
        <v>40716000</v>
      </c>
      <c r="AJ383" s="368">
        <v>0</v>
      </c>
      <c r="AK383" s="210">
        <f t="shared" si="469"/>
        <v>40716000</v>
      </c>
      <c r="AL383" s="387"/>
      <c r="AM383" s="404" t="e">
        <f t="shared" si="452"/>
        <v>#DIV/0!</v>
      </c>
      <c r="AN383" s="404">
        <f t="shared" si="453"/>
        <v>-1</v>
      </c>
      <c r="AO383" s="404">
        <f t="shared" si="454"/>
        <v>-1</v>
      </c>
      <c r="AP383" s="404">
        <f t="shared" si="455"/>
        <v>-1</v>
      </c>
      <c r="AQ383" s="404">
        <f t="shared" si="456"/>
        <v>-1</v>
      </c>
      <c r="AR383" s="404">
        <f t="shared" si="457"/>
        <v>-1</v>
      </c>
      <c r="AS383" s="404">
        <f t="shared" si="458"/>
        <v>-1</v>
      </c>
      <c r="AT383" s="404">
        <f t="shared" si="459"/>
        <v>-1</v>
      </c>
      <c r="AU383" s="404">
        <f t="shared" si="460"/>
        <v>-0.25998627436428723</v>
      </c>
      <c r="AV383" s="404">
        <f t="shared" si="461"/>
        <v>-1</v>
      </c>
      <c r="AW383" s="404">
        <f t="shared" si="462"/>
        <v>-0.25998627436428723</v>
      </c>
    </row>
    <row r="384" spans="1:49" ht="30" x14ac:dyDescent="0.25">
      <c r="A384" s="341">
        <v>23508</v>
      </c>
      <c r="B384" s="342" t="s">
        <v>207</v>
      </c>
      <c r="C384" s="368">
        <v>0</v>
      </c>
      <c r="D384" s="368">
        <v>0</v>
      </c>
      <c r="E384" s="368">
        <v>0</v>
      </c>
      <c r="F384" s="368">
        <v>658324932</v>
      </c>
      <c r="G384" s="368">
        <f t="shared" si="494"/>
        <v>658324932</v>
      </c>
      <c r="H384" s="64">
        <v>658324932</v>
      </c>
      <c r="I384" s="211"/>
      <c r="J384" s="211">
        <f t="shared" si="475"/>
        <v>59847721.090909094</v>
      </c>
      <c r="K384" s="211">
        <v>59847721.090909094</v>
      </c>
      <c r="L384" s="211">
        <v>59847721.090909094</v>
      </c>
      <c r="M384" s="211">
        <v>59847721.090909094</v>
      </c>
      <c r="N384" s="211">
        <v>59847721.090909094</v>
      </c>
      <c r="O384" s="211">
        <v>59847721.090909094</v>
      </c>
      <c r="P384" s="211">
        <v>59847721.090909094</v>
      </c>
      <c r="Q384" s="211">
        <v>59847721.090909094</v>
      </c>
      <c r="R384" s="211">
        <v>59847721.090909094</v>
      </c>
      <c r="S384" s="211">
        <v>59847721.090909094</v>
      </c>
      <c r="T384" s="211">
        <v>59847721.090909094</v>
      </c>
      <c r="U384" s="421">
        <f t="shared" si="470"/>
        <v>538629489.81818199</v>
      </c>
      <c r="V384" s="63">
        <f t="shared" si="490"/>
        <v>658324932.00000024</v>
      </c>
      <c r="W384" s="396">
        <f t="shared" si="464"/>
        <v>658324932</v>
      </c>
      <c r="X384" s="396">
        <f t="shared" si="465"/>
        <v>0</v>
      </c>
      <c r="Y384" s="396"/>
      <c r="AA384" s="211">
        <v>0</v>
      </c>
      <c r="AB384" s="210">
        <v>22957541</v>
      </c>
      <c r="AC384" s="210">
        <v>8082000</v>
      </c>
      <c r="AD384" s="210">
        <v>0</v>
      </c>
      <c r="AE384" s="210">
        <v>0</v>
      </c>
      <c r="AF384" s="210">
        <v>0</v>
      </c>
      <c r="AG384" s="210">
        <v>0</v>
      </c>
      <c r="AH384" s="368">
        <v>5266816</v>
      </c>
      <c r="AI384" s="368">
        <v>0</v>
      </c>
      <c r="AJ384" s="368">
        <v>10800000</v>
      </c>
      <c r="AK384" s="210">
        <f t="shared" si="469"/>
        <v>47106357</v>
      </c>
      <c r="AL384" s="387"/>
      <c r="AM384" s="404" t="e">
        <f t="shared" si="452"/>
        <v>#DIV/0!</v>
      </c>
      <c r="AN384" s="404">
        <f t="shared" si="453"/>
        <v>-0.61640074874150441</v>
      </c>
      <c r="AO384" s="404">
        <f t="shared" si="454"/>
        <v>-0.86495726399133244</v>
      </c>
      <c r="AP384" s="404">
        <f t="shared" si="455"/>
        <v>-1</v>
      </c>
      <c r="AQ384" s="404">
        <f t="shared" si="456"/>
        <v>-1</v>
      </c>
      <c r="AR384" s="404">
        <f t="shared" si="457"/>
        <v>-1</v>
      </c>
      <c r="AS384" s="404">
        <f t="shared" si="458"/>
        <v>-1</v>
      </c>
      <c r="AT384" s="404">
        <f t="shared" si="459"/>
        <v>-0.9119963817502813</v>
      </c>
      <c r="AU384" s="404">
        <f t="shared" si="460"/>
        <v>-1</v>
      </c>
      <c r="AV384" s="404">
        <f t="shared" si="461"/>
        <v>-0.81954200087928619</v>
      </c>
      <c r="AW384" s="404">
        <f t="shared" si="462"/>
        <v>-0.21289639536240446</v>
      </c>
    </row>
    <row r="385" spans="1:49" ht="30" x14ac:dyDescent="0.25">
      <c r="A385" s="341">
        <v>23509</v>
      </c>
      <c r="B385" s="342" t="s">
        <v>208</v>
      </c>
      <c r="C385" s="368">
        <v>0</v>
      </c>
      <c r="D385" s="368">
        <v>0</v>
      </c>
      <c r="E385" s="368">
        <v>0</v>
      </c>
      <c r="F385" s="368">
        <v>29204681</v>
      </c>
      <c r="G385" s="368">
        <f t="shared" si="494"/>
        <v>29204681</v>
      </c>
      <c r="H385" s="64">
        <v>29204681</v>
      </c>
      <c r="I385" s="211"/>
      <c r="J385" s="211">
        <f t="shared" si="475"/>
        <v>2654971</v>
      </c>
      <c r="K385" s="211">
        <v>2654971</v>
      </c>
      <c r="L385" s="211">
        <v>2654971</v>
      </c>
      <c r="M385" s="211">
        <v>2654971</v>
      </c>
      <c r="N385" s="211">
        <v>2654971</v>
      </c>
      <c r="O385" s="211">
        <v>2654971</v>
      </c>
      <c r="P385" s="211">
        <v>2654971</v>
      </c>
      <c r="Q385" s="211">
        <v>2654971</v>
      </c>
      <c r="R385" s="211">
        <v>2654971</v>
      </c>
      <c r="S385" s="211">
        <v>2654971</v>
      </c>
      <c r="T385" s="211">
        <v>2654971</v>
      </c>
      <c r="U385" s="421">
        <f t="shared" si="470"/>
        <v>23894739</v>
      </c>
      <c r="V385" s="63">
        <f t="shared" si="490"/>
        <v>29204681</v>
      </c>
      <c r="W385" s="396">
        <f t="shared" si="464"/>
        <v>29204681</v>
      </c>
      <c r="X385" s="396">
        <f t="shared" si="465"/>
        <v>0</v>
      </c>
      <c r="Y385" s="396"/>
      <c r="AA385" s="211">
        <v>0</v>
      </c>
      <c r="AB385" s="210">
        <v>984650</v>
      </c>
      <c r="AC385" s="210">
        <v>12871565</v>
      </c>
      <c r="AD385" s="210">
        <v>3000000</v>
      </c>
      <c r="AE385" s="210">
        <v>795996</v>
      </c>
      <c r="AF385" s="210">
        <v>8000000</v>
      </c>
      <c r="AG385" s="210">
        <v>0</v>
      </c>
      <c r="AH385" s="368">
        <v>0</v>
      </c>
      <c r="AI385" s="368">
        <v>0</v>
      </c>
      <c r="AJ385" s="368">
        <v>0</v>
      </c>
      <c r="AK385" s="210">
        <f t="shared" si="469"/>
        <v>25652211</v>
      </c>
      <c r="AL385" s="387"/>
      <c r="AM385" s="404" t="e">
        <f t="shared" si="452"/>
        <v>#DIV/0!</v>
      </c>
      <c r="AN385" s="404">
        <f t="shared" si="453"/>
        <v>-0.62912965904335683</v>
      </c>
      <c r="AO385" s="404">
        <f t="shared" si="454"/>
        <v>3.8481000357442698</v>
      </c>
      <c r="AP385" s="404">
        <f t="shared" si="455"/>
        <v>0.12995584509209329</v>
      </c>
      <c r="AQ385" s="404">
        <f t="shared" si="456"/>
        <v>-0.70018655571002475</v>
      </c>
      <c r="AR385" s="404">
        <f t="shared" si="457"/>
        <v>2.0132155869122488</v>
      </c>
      <c r="AS385" s="404">
        <f t="shared" si="458"/>
        <v>-1</v>
      </c>
      <c r="AT385" s="404">
        <f t="shared" si="459"/>
        <v>-1</v>
      </c>
      <c r="AU385" s="404">
        <f t="shared" si="460"/>
        <v>-1</v>
      </c>
      <c r="AV385" s="404">
        <f t="shared" si="461"/>
        <v>-1</v>
      </c>
      <c r="AW385" s="404">
        <f t="shared" si="462"/>
        <v>8.6619552529952308</v>
      </c>
    </row>
    <row r="386" spans="1:49" ht="45" x14ac:dyDescent="0.25">
      <c r="A386" s="341">
        <v>23510</v>
      </c>
      <c r="B386" s="342" t="s">
        <v>209</v>
      </c>
      <c r="C386" s="368">
        <v>0</v>
      </c>
      <c r="D386" s="368">
        <v>0</v>
      </c>
      <c r="E386" s="368">
        <v>0</v>
      </c>
      <c r="F386" s="368">
        <v>66900000</v>
      </c>
      <c r="G386" s="368">
        <f t="shared" si="494"/>
        <v>66900000</v>
      </c>
      <c r="H386" s="64">
        <v>66900000</v>
      </c>
      <c r="I386" s="211"/>
      <c r="J386" s="211">
        <f t="shared" si="475"/>
        <v>6081818.1818181816</v>
      </c>
      <c r="K386" s="211">
        <v>6081818.1818181816</v>
      </c>
      <c r="L386" s="211">
        <v>6081818.1818181816</v>
      </c>
      <c r="M386" s="211">
        <v>6081818.1818181816</v>
      </c>
      <c r="N386" s="211">
        <v>6081818.1818181816</v>
      </c>
      <c r="O386" s="211">
        <v>6081818.1818181816</v>
      </c>
      <c r="P386" s="211">
        <v>6081818.1818181816</v>
      </c>
      <c r="Q386" s="211">
        <v>6081818.1818181816</v>
      </c>
      <c r="R386" s="211">
        <v>6081818.1818181816</v>
      </c>
      <c r="S386" s="211">
        <v>6081818.1818181816</v>
      </c>
      <c r="T386" s="211">
        <v>6081818.1818181816</v>
      </c>
      <c r="U386" s="421">
        <f t="shared" si="470"/>
        <v>54736363.636363626</v>
      </c>
      <c r="V386" s="63">
        <f t="shared" si="490"/>
        <v>66899999.999999985</v>
      </c>
      <c r="W386" s="396">
        <f t="shared" si="464"/>
        <v>66900000</v>
      </c>
      <c r="X386" s="396">
        <f t="shared" si="465"/>
        <v>0</v>
      </c>
      <c r="Y386" s="396"/>
      <c r="AA386" s="211">
        <v>0</v>
      </c>
      <c r="AB386" s="210">
        <v>0</v>
      </c>
      <c r="AC386" s="210">
        <v>0</v>
      </c>
      <c r="AD386" s="210">
        <v>6000000</v>
      </c>
      <c r="AE386" s="210">
        <v>0</v>
      </c>
      <c r="AF386" s="210">
        <v>5127191</v>
      </c>
      <c r="AG386" s="210">
        <v>0</v>
      </c>
      <c r="AH386" s="368">
        <v>6000000</v>
      </c>
      <c r="AI386" s="368">
        <v>13400000</v>
      </c>
      <c r="AJ386" s="368">
        <v>0</v>
      </c>
      <c r="AK386" s="210">
        <f t="shared" si="469"/>
        <v>30527191</v>
      </c>
      <c r="AL386" s="387"/>
      <c r="AM386" s="404" t="e">
        <f t="shared" ref="AM386:AM412" si="495">(AA386-I386)/I386</f>
        <v>#DIV/0!</v>
      </c>
      <c r="AN386" s="404">
        <f t="shared" ref="AN386:AN412" si="496">(AB386-J386)/J386</f>
        <v>-1</v>
      </c>
      <c r="AO386" s="404">
        <f t="shared" ref="AO386:AO412" si="497">(AC386-K386)/K386</f>
        <v>-1</v>
      </c>
      <c r="AP386" s="404">
        <f t="shared" ref="AP386:AP412" si="498">(AD386-L386)/L386</f>
        <v>-1.3452914798206251E-2</v>
      </c>
      <c r="AQ386" s="404">
        <f t="shared" ref="AQ386:AQ412" si="499">(AE386-M386)/M386</f>
        <v>-1</v>
      </c>
      <c r="AR386" s="404">
        <f t="shared" ref="AR386:AR412" si="500">(AF386-N386)/N386</f>
        <v>-0.15696411061285498</v>
      </c>
      <c r="AS386" s="404">
        <f t="shared" ref="AS386:AS412" si="501">(AG386-O386)/O386</f>
        <v>-1</v>
      </c>
      <c r="AT386" s="404">
        <f t="shared" ref="AT386:AT412" si="502">(AH386-P386)/P386</f>
        <v>-1.3452914798206251E-2</v>
      </c>
      <c r="AU386" s="404">
        <f t="shared" ref="AU386:AU412" si="503">(AI386-Q386)/Q386</f>
        <v>1.203288490284006</v>
      </c>
      <c r="AV386" s="404">
        <f t="shared" ref="AV386:AV412" si="504">(AJ386-R386)/R386</f>
        <v>-1</v>
      </c>
      <c r="AW386" s="404">
        <f t="shared" ref="AW386:AW412" si="505">(AK386-S386)/S386</f>
        <v>4.0194185500747386</v>
      </c>
    </row>
    <row r="387" spans="1:49" x14ac:dyDescent="0.25">
      <c r="A387" s="341">
        <v>23511</v>
      </c>
      <c r="B387" s="342" t="s">
        <v>210</v>
      </c>
      <c r="C387" s="368">
        <v>0</v>
      </c>
      <c r="D387" s="368">
        <v>0</v>
      </c>
      <c r="E387" s="368">
        <v>0</v>
      </c>
      <c r="F387" s="368">
        <v>264556855</v>
      </c>
      <c r="G387" s="368">
        <f t="shared" si="494"/>
        <v>264556855</v>
      </c>
      <c r="H387" s="64">
        <v>264556854.86000001</v>
      </c>
      <c r="I387" s="211"/>
      <c r="J387" s="211">
        <f t="shared" si="475"/>
        <v>24050623.169090912</v>
      </c>
      <c r="K387" s="211">
        <v>24050623.169090912</v>
      </c>
      <c r="L387" s="211">
        <v>24050623.169090912</v>
      </c>
      <c r="M387" s="211">
        <v>24050623.169090912</v>
      </c>
      <c r="N387" s="211">
        <v>24050623.169090912</v>
      </c>
      <c r="O387" s="211">
        <v>24050623.169090912</v>
      </c>
      <c r="P387" s="211">
        <v>24050623.169090912</v>
      </c>
      <c r="Q387" s="211">
        <v>24050623.169090912</v>
      </c>
      <c r="R387" s="211">
        <v>24050623.169090912</v>
      </c>
      <c r="S387" s="211">
        <v>24050623.169090912</v>
      </c>
      <c r="T387" s="211">
        <v>24050623.169090912</v>
      </c>
      <c r="U387" s="421">
        <f t="shared" si="470"/>
        <v>216455608.52181822</v>
      </c>
      <c r="V387" s="63">
        <f t="shared" si="490"/>
        <v>264556854.86000007</v>
      </c>
      <c r="W387" s="396">
        <f t="shared" ref="W387:W405" si="506">+G387</f>
        <v>264556855</v>
      </c>
      <c r="X387" s="396">
        <f t="shared" ref="X387:X405" si="507">+W387-V387</f>
        <v>0.13999992609024048</v>
      </c>
      <c r="Y387" s="396"/>
      <c r="AA387" s="211">
        <v>0</v>
      </c>
      <c r="AB387" s="210">
        <v>8161209</v>
      </c>
      <c r="AC387" s="210">
        <v>56667974</v>
      </c>
      <c r="AD387" s="210">
        <v>39161818</v>
      </c>
      <c r="AE387" s="210">
        <v>25891725</v>
      </c>
      <c r="AF387" s="210">
        <f>50245803+2167150</f>
        <v>52412953</v>
      </c>
      <c r="AG387" s="210">
        <v>18614051</v>
      </c>
      <c r="AH387" s="368">
        <v>5545143</v>
      </c>
      <c r="AI387" s="368">
        <v>12141011</v>
      </c>
      <c r="AJ387" s="368">
        <v>8856689</v>
      </c>
      <c r="AK387" s="210">
        <f t="shared" si="469"/>
        <v>227452573</v>
      </c>
      <c r="AL387" s="387"/>
      <c r="AM387" s="404" t="e">
        <f t="shared" si="495"/>
        <v>#DIV/0!</v>
      </c>
      <c r="AN387" s="404">
        <f t="shared" si="496"/>
        <v>-0.66066538307046763</v>
      </c>
      <c r="AO387" s="404">
        <f t="shared" si="497"/>
        <v>1.3561956628561649</v>
      </c>
      <c r="AP387" s="404">
        <f t="shared" si="498"/>
        <v>0.62830782905989357</v>
      </c>
      <c r="AQ387" s="404">
        <f t="shared" si="499"/>
        <v>7.6551107136184862E-2</v>
      </c>
      <c r="AR387" s="404">
        <f t="shared" si="500"/>
        <v>1.1792762969800901</v>
      </c>
      <c r="AS387" s="404">
        <f t="shared" si="501"/>
        <v>-0.22604703964917713</v>
      </c>
      <c r="AT387" s="404">
        <f t="shared" si="502"/>
        <v>-0.76943869765809481</v>
      </c>
      <c r="AU387" s="404">
        <f t="shared" si="503"/>
        <v>-0.4951893381455813</v>
      </c>
      <c r="AV387" s="404">
        <f t="shared" si="504"/>
        <v>-0.6317480450409978</v>
      </c>
      <c r="AW387" s="404">
        <f t="shared" si="505"/>
        <v>8.4572423924680145</v>
      </c>
    </row>
    <row r="388" spans="1:49" ht="30" x14ac:dyDescent="0.25">
      <c r="A388" s="341">
        <v>23512</v>
      </c>
      <c r="B388" s="342" t="s">
        <v>211</v>
      </c>
      <c r="C388" s="368">
        <v>0</v>
      </c>
      <c r="D388" s="368">
        <v>0</v>
      </c>
      <c r="E388" s="368">
        <v>0</v>
      </c>
      <c r="F388" s="368">
        <v>33500000</v>
      </c>
      <c r="G388" s="368">
        <f t="shared" si="494"/>
        <v>33500000</v>
      </c>
      <c r="H388" s="64">
        <v>33500000</v>
      </c>
      <c r="I388" s="211"/>
      <c r="J388" s="211">
        <f t="shared" si="475"/>
        <v>3045454.5454545454</v>
      </c>
      <c r="K388" s="211">
        <v>3045454.5454545454</v>
      </c>
      <c r="L388" s="211">
        <v>3045454.5454545454</v>
      </c>
      <c r="M388" s="211">
        <v>3045454.5454545454</v>
      </c>
      <c r="N388" s="211">
        <v>3045454.5454545454</v>
      </c>
      <c r="O388" s="211">
        <v>3045454.5454545454</v>
      </c>
      <c r="P388" s="211">
        <v>3045454.5454545454</v>
      </c>
      <c r="Q388" s="211">
        <v>3045454.5454545454</v>
      </c>
      <c r="R388" s="211">
        <v>3045454.5454545454</v>
      </c>
      <c r="S388" s="211">
        <v>3045454.5454545454</v>
      </c>
      <c r="T388" s="211">
        <v>3045454.5454545454</v>
      </c>
      <c r="U388" s="421">
        <f t="shared" si="470"/>
        <v>27409090.909090914</v>
      </c>
      <c r="V388" s="63">
        <f t="shared" si="490"/>
        <v>33500000.000000007</v>
      </c>
      <c r="W388" s="396">
        <f t="shared" si="506"/>
        <v>33500000</v>
      </c>
      <c r="X388" s="396">
        <f t="shared" si="507"/>
        <v>0</v>
      </c>
      <c r="Y388" s="396"/>
      <c r="AA388" s="211">
        <v>0</v>
      </c>
      <c r="AB388" s="210">
        <v>0</v>
      </c>
      <c r="AC388" s="210">
        <v>0</v>
      </c>
      <c r="AD388" s="210">
        <v>0</v>
      </c>
      <c r="AE388" s="210">
        <v>0</v>
      </c>
      <c r="AF388" s="210">
        <v>0</v>
      </c>
      <c r="AG388" s="210">
        <v>0</v>
      </c>
      <c r="AH388" s="368">
        <v>0</v>
      </c>
      <c r="AI388" s="368">
        <v>0</v>
      </c>
      <c r="AJ388" s="368">
        <v>0</v>
      </c>
      <c r="AK388" s="210">
        <f t="shared" si="469"/>
        <v>0</v>
      </c>
      <c r="AL388" s="387"/>
      <c r="AM388" s="404" t="e">
        <f t="shared" si="495"/>
        <v>#DIV/0!</v>
      </c>
      <c r="AN388" s="404">
        <f t="shared" si="496"/>
        <v>-1</v>
      </c>
      <c r="AO388" s="404">
        <f t="shared" si="497"/>
        <v>-1</v>
      </c>
      <c r="AP388" s="404">
        <f t="shared" si="498"/>
        <v>-1</v>
      </c>
      <c r="AQ388" s="404">
        <f t="shared" si="499"/>
        <v>-1</v>
      </c>
      <c r="AR388" s="404">
        <f t="shared" si="500"/>
        <v>-1</v>
      </c>
      <c r="AS388" s="404">
        <f t="shared" si="501"/>
        <v>-1</v>
      </c>
      <c r="AT388" s="404">
        <f t="shared" si="502"/>
        <v>-1</v>
      </c>
      <c r="AU388" s="404">
        <f t="shared" si="503"/>
        <v>-1</v>
      </c>
      <c r="AV388" s="404">
        <f t="shared" si="504"/>
        <v>-1</v>
      </c>
      <c r="AW388" s="404">
        <f t="shared" si="505"/>
        <v>-1</v>
      </c>
    </row>
    <row r="389" spans="1:49" x14ac:dyDescent="0.25">
      <c r="A389" s="341">
        <v>23513</v>
      </c>
      <c r="B389" s="342" t="s">
        <v>212</v>
      </c>
      <c r="C389" s="368">
        <v>0</v>
      </c>
      <c r="D389" s="368">
        <v>0</v>
      </c>
      <c r="E389" s="368">
        <v>0</v>
      </c>
      <c r="F389" s="368">
        <v>26965898</v>
      </c>
      <c r="G389" s="368">
        <f t="shared" si="494"/>
        <v>26965898</v>
      </c>
      <c r="H389" s="64">
        <v>26965898</v>
      </c>
      <c r="I389" s="211"/>
      <c r="J389" s="211">
        <f t="shared" si="475"/>
        <v>2451445.2727272729</v>
      </c>
      <c r="K389" s="211">
        <v>2451445.2727272729</v>
      </c>
      <c r="L389" s="211">
        <v>2451445.2727272729</v>
      </c>
      <c r="M389" s="211">
        <v>2451445.2727272729</v>
      </c>
      <c r="N389" s="211">
        <v>2451445.2727272729</v>
      </c>
      <c r="O389" s="211">
        <v>2451445.2727272729</v>
      </c>
      <c r="P389" s="211">
        <v>2451445.2727272729</v>
      </c>
      <c r="Q389" s="211">
        <v>2451445.2727272729</v>
      </c>
      <c r="R389" s="211">
        <v>2451445.2727272729</v>
      </c>
      <c r="S389" s="211">
        <v>2451445.2727272729</v>
      </c>
      <c r="T389" s="211">
        <v>2451445.2727272729</v>
      </c>
      <c r="U389" s="421">
        <f t="shared" si="470"/>
        <v>22063007.454545457</v>
      </c>
      <c r="V389" s="63">
        <f t="shared" si="490"/>
        <v>26965898.000000004</v>
      </c>
      <c r="W389" s="396">
        <f t="shared" si="506"/>
        <v>26965898</v>
      </c>
      <c r="X389" s="396">
        <f t="shared" si="507"/>
        <v>0</v>
      </c>
      <c r="Y389" s="396"/>
      <c r="AA389" s="211">
        <v>0</v>
      </c>
      <c r="AB389" s="210">
        <v>0</v>
      </c>
      <c r="AC389" s="210">
        <v>0</v>
      </c>
      <c r="AD389" s="210">
        <v>0</v>
      </c>
      <c r="AE389" s="210">
        <v>0</v>
      </c>
      <c r="AF389" s="210">
        <v>0</v>
      </c>
      <c r="AG389" s="210">
        <v>0</v>
      </c>
      <c r="AH389" s="368">
        <v>0</v>
      </c>
      <c r="AI389" s="368">
        <v>0</v>
      </c>
      <c r="AJ389" s="368">
        <v>0</v>
      </c>
      <c r="AK389" s="210">
        <f t="shared" si="469"/>
        <v>0</v>
      </c>
      <c r="AL389" s="387"/>
      <c r="AM389" s="404" t="e">
        <f t="shared" si="495"/>
        <v>#DIV/0!</v>
      </c>
      <c r="AN389" s="404">
        <f t="shared" si="496"/>
        <v>-1</v>
      </c>
      <c r="AO389" s="404">
        <f t="shared" si="497"/>
        <v>-1</v>
      </c>
      <c r="AP389" s="404">
        <f t="shared" si="498"/>
        <v>-1</v>
      </c>
      <c r="AQ389" s="404">
        <f t="shared" si="499"/>
        <v>-1</v>
      </c>
      <c r="AR389" s="404">
        <f t="shared" si="500"/>
        <v>-1</v>
      </c>
      <c r="AS389" s="404">
        <f t="shared" si="501"/>
        <v>-1</v>
      </c>
      <c r="AT389" s="404">
        <f t="shared" si="502"/>
        <v>-1</v>
      </c>
      <c r="AU389" s="404">
        <f t="shared" si="503"/>
        <v>-1</v>
      </c>
      <c r="AV389" s="404">
        <f t="shared" si="504"/>
        <v>-1</v>
      </c>
      <c r="AW389" s="404">
        <f t="shared" si="505"/>
        <v>-1</v>
      </c>
    </row>
    <row r="390" spans="1:49" x14ac:dyDescent="0.25">
      <c r="A390" s="341">
        <v>23514</v>
      </c>
      <c r="B390" s="342" t="s">
        <v>831</v>
      </c>
      <c r="C390" s="368"/>
      <c r="D390" s="368">
        <v>0</v>
      </c>
      <c r="E390" s="368">
        <v>0</v>
      </c>
      <c r="F390" s="368">
        <v>21144451</v>
      </c>
      <c r="G390" s="368">
        <f t="shared" si="494"/>
        <v>21144451</v>
      </c>
      <c r="H390" s="64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>
        <v>21144451</v>
      </c>
      <c r="T390" s="211"/>
      <c r="U390" s="421">
        <f t="shared" si="470"/>
        <v>0</v>
      </c>
      <c r="V390" s="63">
        <f t="shared" si="490"/>
        <v>21144451</v>
      </c>
      <c r="W390" s="396">
        <f t="shared" si="506"/>
        <v>21144451</v>
      </c>
      <c r="X390" s="396">
        <f t="shared" si="507"/>
        <v>0</v>
      </c>
      <c r="Y390" s="396"/>
      <c r="AA390" s="211"/>
      <c r="AB390" s="210">
        <v>0</v>
      </c>
      <c r="AC390" s="210">
        <v>0</v>
      </c>
      <c r="AD390" s="210">
        <v>0</v>
      </c>
      <c r="AE390" s="210">
        <v>0</v>
      </c>
      <c r="AF390" s="210">
        <v>0</v>
      </c>
      <c r="AG390" s="210">
        <v>0</v>
      </c>
      <c r="AH390" s="368">
        <v>0</v>
      </c>
      <c r="AI390" s="368">
        <v>0</v>
      </c>
      <c r="AJ390" s="368">
        <v>0</v>
      </c>
      <c r="AK390" s="210">
        <f t="shared" si="469"/>
        <v>0</v>
      </c>
      <c r="AL390" s="387"/>
      <c r="AM390" s="404" t="e">
        <f t="shared" si="495"/>
        <v>#DIV/0!</v>
      </c>
      <c r="AN390" s="404" t="e">
        <f t="shared" si="496"/>
        <v>#DIV/0!</v>
      </c>
      <c r="AO390" s="404" t="e">
        <f t="shared" si="497"/>
        <v>#DIV/0!</v>
      </c>
      <c r="AP390" s="404" t="e">
        <f t="shared" si="498"/>
        <v>#DIV/0!</v>
      </c>
      <c r="AQ390" s="404" t="e">
        <f t="shared" si="499"/>
        <v>#DIV/0!</v>
      </c>
      <c r="AR390" s="404" t="e">
        <f t="shared" si="500"/>
        <v>#DIV/0!</v>
      </c>
      <c r="AS390" s="404" t="e">
        <f t="shared" si="501"/>
        <v>#DIV/0!</v>
      </c>
      <c r="AT390" s="404" t="e">
        <f t="shared" si="502"/>
        <v>#DIV/0!</v>
      </c>
      <c r="AU390" s="404" t="e">
        <f t="shared" si="503"/>
        <v>#DIV/0!</v>
      </c>
      <c r="AV390" s="404" t="e">
        <f t="shared" si="504"/>
        <v>#DIV/0!</v>
      </c>
      <c r="AW390" s="404">
        <f t="shared" si="505"/>
        <v>-1</v>
      </c>
    </row>
    <row r="391" spans="1:49" x14ac:dyDescent="0.25">
      <c r="A391" s="341">
        <v>23517</v>
      </c>
      <c r="B391" s="342" t="s">
        <v>841</v>
      </c>
      <c r="C391" s="368">
        <v>0</v>
      </c>
      <c r="D391" s="368">
        <v>821400131</v>
      </c>
      <c r="E391" s="368">
        <v>0</v>
      </c>
      <c r="F391" s="368">
        <v>0</v>
      </c>
      <c r="G391" s="368">
        <f t="shared" si="494"/>
        <v>821400131</v>
      </c>
      <c r="H391" s="201"/>
      <c r="I391" s="211"/>
      <c r="J391" s="211"/>
      <c r="K391" s="211"/>
      <c r="L391" s="211"/>
      <c r="M391" s="211"/>
      <c r="N391" s="211"/>
      <c r="O391" s="211">
        <v>136900021.83333334</v>
      </c>
      <c r="P391" s="211">
        <v>136900021.83333334</v>
      </c>
      <c r="Q391" s="211">
        <v>136900021.83333334</v>
      </c>
      <c r="R391" s="211">
        <v>136900021.83333334</v>
      </c>
      <c r="S391" s="211">
        <v>136900021.83333334</v>
      </c>
      <c r="T391" s="211">
        <v>136900021.83333334</v>
      </c>
      <c r="U391" s="421">
        <f t="shared" si="470"/>
        <v>547600087.33333337</v>
      </c>
      <c r="V391" s="63">
        <f t="shared" si="490"/>
        <v>821400131.00000012</v>
      </c>
      <c r="W391" s="396">
        <f t="shared" si="506"/>
        <v>821400131</v>
      </c>
      <c r="X391" s="396">
        <f t="shared" si="507"/>
        <v>0</v>
      </c>
      <c r="Y391" s="396">
        <f>+X391/6</f>
        <v>0</v>
      </c>
      <c r="AA391" s="211">
        <v>0</v>
      </c>
      <c r="AB391" s="210">
        <v>0</v>
      </c>
      <c r="AC391" s="210">
        <v>0</v>
      </c>
      <c r="AD391" s="210">
        <v>0</v>
      </c>
      <c r="AE391" s="210">
        <v>0</v>
      </c>
      <c r="AF391" s="210">
        <v>0</v>
      </c>
      <c r="AG391" s="210">
        <v>0</v>
      </c>
      <c r="AH391" s="368">
        <v>0</v>
      </c>
      <c r="AI391" s="368">
        <v>0</v>
      </c>
      <c r="AJ391" s="368">
        <v>0</v>
      </c>
      <c r="AK391" s="210">
        <f t="shared" si="469"/>
        <v>0</v>
      </c>
      <c r="AL391" s="387"/>
      <c r="AM391" s="404" t="e">
        <f t="shared" si="495"/>
        <v>#DIV/0!</v>
      </c>
      <c r="AN391" s="404" t="e">
        <f t="shared" si="496"/>
        <v>#DIV/0!</v>
      </c>
      <c r="AO391" s="404" t="e">
        <f t="shared" si="497"/>
        <v>#DIV/0!</v>
      </c>
      <c r="AP391" s="404" t="e">
        <f t="shared" si="498"/>
        <v>#DIV/0!</v>
      </c>
      <c r="AQ391" s="404" t="e">
        <f t="shared" si="499"/>
        <v>#DIV/0!</v>
      </c>
      <c r="AR391" s="404" t="e">
        <f t="shared" si="500"/>
        <v>#DIV/0!</v>
      </c>
      <c r="AS391" s="404">
        <f t="shared" si="501"/>
        <v>-1</v>
      </c>
      <c r="AT391" s="404">
        <f t="shared" si="502"/>
        <v>-1</v>
      </c>
      <c r="AU391" s="404">
        <f t="shared" si="503"/>
        <v>-1</v>
      </c>
      <c r="AV391" s="404">
        <f t="shared" si="504"/>
        <v>-1</v>
      </c>
      <c r="AW391" s="404">
        <f t="shared" si="505"/>
        <v>-1</v>
      </c>
    </row>
    <row r="392" spans="1:49" ht="30" x14ac:dyDescent="0.25">
      <c r="A392" s="341">
        <v>23518</v>
      </c>
      <c r="B392" s="342" t="s">
        <v>840</v>
      </c>
      <c r="C392" s="368">
        <v>0</v>
      </c>
      <c r="D392" s="368">
        <v>712412336.89999998</v>
      </c>
      <c r="E392" s="368">
        <v>0</v>
      </c>
      <c r="F392" s="368">
        <v>0</v>
      </c>
      <c r="G392" s="368">
        <f t="shared" si="494"/>
        <v>712412336.89999998</v>
      </c>
      <c r="H392" s="201"/>
      <c r="I392" s="211"/>
      <c r="J392" s="211"/>
      <c r="K392" s="211"/>
      <c r="L392" s="211"/>
      <c r="M392" s="211"/>
      <c r="N392" s="211"/>
      <c r="O392" s="211">
        <v>118735389.48333333</v>
      </c>
      <c r="P392" s="211">
        <v>118735389.48333333</v>
      </c>
      <c r="Q392" s="211">
        <v>118735389.48333333</v>
      </c>
      <c r="R392" s="211">
        <v>118735389.48333333</v>
      </c>
      <c r="S392" s="211">
        <v>118735389.48333333</v>
      </c>
      <c r="T392" s="211">
        <v>118735389.48333333</v>
      </c>
      <c r="U392" s="421">
        <f t="shared" si="470"/>
        <v>474941557.93333334</v>
      </c>
      <c r="V392" s="63">
        <f t="shared" si="490"/>
        <v>712412336.89999998</v>
      </c>
      <c r="W392" s="396">
        <f t="shared" si="506"/>
        <v>712412336.89999998</v>
      </c>
      <c r="X392" s="396">
        <f t="shared" si="507"/>
        <v>0</v>
      </c>
      <c r="Y392" s="396">
        <f t="shared" ref="Y392:Y405" si="508">+X392/6</f>
        <v>0</v>
      </c>
      <c r="AA392" s="211">
        <v>0</v>
      </c>
      <c r="AB392" s="210">
        <v>0</v>
      </c>
      <c r="AC392" s="210">
        <v>0</v>
      </c>
      <c r="AD392" s="210">
        <v>0</v>
      </c>
      <c r="AE392" s="210">
        <v>0</v>
      </c>
      <c r="AF392" s="210">
        <v>0</v>
      </c>
      <c r="AG392" s="210">
        <v>238029528.30000001</v>
      </c>
      <c r="AH392" s="368">
        <v>0</v>
      </c>
      <c r="AI392" s="368">
        <v>422427894</v>
      </c>
      <c r="AJ392" s="368">
        <v>8306200</v>
      </c>
      <c r="AK392" s="210">
        <f t="shared" si="469"/>
        <v>668763622.29999995</v>
      </c>
      <c r="AL392" s="387"/>
      <c r="AM392" s="404" t="e">
        <f t="shared" si="495"/>
        <v>#DIV/0!</v>
      </c>
      <c r="AN392" s="404" t="e">
        <f t="shared" si="496"/>
        <v>#DIV/0!</v>
      </c>
      <c r="AO392" s="404" t="e">
        <f t="shared" si="497"/>
        <v>#DIV/0!</v>
      </c>
      <c r="AP392" s="404" t="e">
        <f t="shared" si="498"/>
        <v>#DIV/0!</v>
      </c>
      <c r="AQ392" s="404" t="e">
        <f t="shared" si="499"/>
        <v>#DIV/0!</v>
      </c>
      <c r="AR392" s="404" t="e">
        <f t="shared" si="500"/>
        <v>#DIV/0!</v>
      </c>
      <c r="AS392" s="404">
        <f t="shared" si="501"/>
        <v>1.004705836530833</v>
      </c>
      <c r="AT392" s="404">
        <f t="shared" si="502"/>
        <v>-1</v>
      </c>
      <c r="AU392" s="404">
        <f t="shared" si="503"/>
        <v>2.5577252564560409</v>
      </c>
      <c r="AV392" s="404">
        <f t="shared" si="504"/>
        <v>-0.93004444558489507</v>
      </c>
      <c r="AW392" s="404">
        <f t="shared" si="505"/>
        <v>4.6323866474019786</v>
      </c>
    </row>
    <row r="393" spans="1:49" x14ac:dyDescent="0.25">
      <c r="A393" s="341">
        <v>23519</v>
      </c>
      <c r="B393" s="342" t="s">
        <v>842</v>
      </c>
      <c r="C393" s="368">
        <v>0</v>
      </c>
      <c r="D393" s="368">
        <v>200000000</v>
      </c>
      <c r="E393" s="368">
        <v>0</v>
      </c>
      <c r="F393" s="368">
        <v>0</v>
      </c>
      <c r="G393" s="368">
        <f t="shared" si="494"/>
        <v>200000000</v>
      </c>
      <c r="H393" s="201"/>
      <c r="I393" s="211"/>
      <c r="J393" s="211"/>
      <c r="K393" s="211"/>
      <c r="L393" s="211"/>
      <c r="M393" s="211"/>
      <c r="N393" s="211"/>
      <c r="O393" s="211">
        <v>33333333.333333332</v>
      </c>
      <c r="P393" s="211">
        <v>33333333.333333332</v>
      </c>
      <c r="Q393" s="211">
        <v>33333333.333333332</v>
      </c>
      <c r="R393" s="211">
        <v>33333333.333333332</v>
      </c>
      <c r="S393" s="211">
        <v>33333333.333333332</v>
      </c>
      <c r="T393" s="211">
        <v>33333333.333333332</v>
      </c>
      <c r="U393" s="421">
        <f t="shared" si="470"/>
        <v>133333333.33333333</v>
      </c>
      <c r="V393" s="63">
        <f t="shared" si="490"/>
        <v>200000000</v>
      </c>
      <c r="W393" s="396">
        <f t="shared" si="506"/>
        <v>200000000</v>
      </c>
      <c r="X393" s="396">
        <f t="shared" si="507"/>
        <v>0</v>
      </c>
      <c r="Y393" s="396">
        <f t="shared" si="508"/>
        <v>0</v>
      </c>
      <c r="AA393" s="211">
        <v>0</v>
      </c>
      <c r="AB393" s="210">
        <v>0</v>
      </c>
      <c r="AC393" s="210">
        <v>0</v>
      </c>
      <c r="AD393" s="210">
        <v>0</v>
      </c>
      <c r="AE393" s="210">
        <v>0</v>
      </c>
      <c r="AF393" s="210">
        <v>4000000</v>
      </c>
      <c r="AG393" s="210">
        <v>0</v>
      </c>
      <c r="AH393" s="368">
        <v>0</v>
      </c>
      <c r="AI393" s="368">
        <v>188800500</v>
      </c>
      <c r="AJ393" s="368">
        <v>0</v>
      </c>
      <c r="AK393" s="210">
        <f t="shared" ref="AK393:AK412" si="509">SUM(AA393:AJ393)</f>
        <v>192800500</v>
      </c>
      <c r="AL393" s="387"/>
      <c r="AM393" s="404" t="e">
        <f t="shared" si="495"/>
        <v>#DIV/0!</v>
      </c>
      <c r="AN393" s="404" t="e">
        <f t="shared" si="496"/>
        <v>#DIV/0!</v>
      </c>
      <c r="AO393" s="404" t="e">
        <f t="shared" si="497"/>
        <v>#DIV/0!</v>
      </c>
      <c r="AP393" s="404" t="e">
        <f t="shared" si="498"/>
        <v>#DIV/0!</v>
      </c>
      <c r="AQ393" s="404" t="e">
        <f t="shared" si="499"/>
        <v>#DIV/0!</v>
      </c>
      <c r="AR393" s="404" t="e">
        <f t="shared" si="500"/>
        <v>#DIV/0!</v>
      </c>
      <c r="AS393" s="404">
        <f t="shared" si="501"/>
        <v>-1</v>
      </c>
      <c r="AT393" s="404">
        <f t="shared" si="502"/>
        <v>-1</v>
      </c>
      <c r="AU393" s="404">
        <f t="shared" si="503"/>
        <v>4.664015</v>
      </c>
      <c r="AV393" s="404">
        <f t="shared" si="504"/>
        <v>-1</v>
      </c>
      <c r="AW393" s="404">
        <f t="shared" si="505"/>
        <v>4.7840150000000001</v>
      </c>
    </row>
    <row r="394" spans="1:49" ht="30" x14ac:dyDescent="0.25">
      <c r="A394" s="341">
        <v>23520</v>
      </c>
      <c r="B394" s="342" t="s">
        <v>843</v>
      </c>
      <c r="C394" s="368">
        <v>0</v>
      </c>
      <c r="D394" s="368">
        <v>48756553.100000001</v>
      </c>
      <c r="E394" s="368">
        <v>0</v>
      </c>
      <c r="F394" s="368">
        <v>0</v>
      </c>
      <c r="G394" s="368">
        <f t="shared" si="494"/>
        <v>48756553.100000001</v>
      </c>
      <c r="H394" s="201"/>
      <c r="I394" s="211"/>
      <c r="J394" s="211"/>
      <c r="K394" s="211"/>
      <c r="L394" s="211"/>
      <c r="M394" s="211"/>
      <c r="N394" s="211"/>
      <c r="O394" s="211">
        <v>8126092.1833333336</v>
      </c>
      <c r="P394" s="211">
        <v>8126092.1833333336</v>
      </c>
      <c r="Q394" s="211">
        <v>8126092.1833333336</v>
      </c>
      <c r="R394" s="211">
        <v>8126092.1833333336</v>
      </c>
      <c r="S394" s="211">
        <v>8126092.1833333336</v>
      </c>
      <c r="T394" s="211">
        <v>8126092.1833333336</v>
      </c>
      <c r="U394" s="421">
        <f t="shared" ref="U394:U412" si="510">SUM(I394:R394)</f>
        <v>32504368.733333334</v>
      </c>
      <c r="V394" s="63">
        <f t="shared" si="490"/>
        <v>48756553.100000009</v>
      </c>
      <c r="W394" s="396">
        <f t="shared" si="506"/>
        <v>48756553.100000001</v>
      </c>
      <c r="X394" s="396">
        <f t="shared" si="507"/>
        <v>0</v>
      </c>
      <c r="Y394" s="396">
        <f t="shared" si="508"/>
        <v>0</v>
      </c>
      <c r="AA394" s="211">
        <v>0</v>
      </c>
      <c r="AB394" s="210">
        <v>0</v>
      </c>
      <c r="AC394" s="210">
        <v>0</v>
      </c>
      <c r="AD394" s="210">
        <v>48756553.100000001</v>
      </c>
      <c r="AE394" s="210">
        <v>0</v>
      </c>
      <c r="AF394" s="210">
        <v>0</v>
      </c>
      <c r="AG394" s="210">
        <v>0</v>
      </c>
      <c r="AH394" s="368">
        <v>0</v>
      </c>
      <c r="AI394" s="368">
        <v>0</v>
      </c>
      <c r="AJ394" s="368">
        <v>0</v>
      </c>
      <c r="AK394" s="210">
        <f t="shared" si="509"/>
        <v>48756553.100000001</v>
      </c>
      <c r="AL394" s="387"/>
      <c r="AM394" s="404" t="e">
        <f t="shared" si="495"/>
        <v>#DIV/0!</v>
      </c>
      <c r="AN394" s="404" t="e">
        <f t="shared" si="496"/>
        <v>#DIV/0!</v>
      </c>
      <c r="AO394" s="404" t="e">
        <f t="shared" si="497"/>
        <v>#DIV/0!</v>
      </c>
      <c r="AP394" s="404" t="e">
        <f t="shared" si="498"/>
        <v>#DIV/0!</v>
      </c>
      <c r="AQ394" s="404" t="e">
        <f t="shared" si="499"/>
        <v>#DIV/0!</v>
      </c>
      <c r="AR394" s="404" t="e">
        <f t="shared" si="500"/>
        <v>#DIV/0!</v>
      </c>
      <c r="AS394" s="404">
        <f t="shared" si="501"/>
        <v>-1</v>
      </c>
      <c r="AT394" s="404">
        <f t="shared" si="502"/>
        <v>-1</v>
      </c>
      <c r="AU394" s="404">
        <f t="shared" si="503"/>
        <v>-1</v>
      </c>
      <c r="AV394" s="404">
        <f t="shared" si="504"/>
        <v>-1</v>
      </c>
      <c r="AW394" s="404">
        <f t="shared" si="505"/>
        <v>5.0000000000000009</v>
      </c>
    </row>
    <row r="395" spans="1:49" ht="30" x14ac:dyDescent="0.25">
      <c r="A395" s="341">
        <v>23521</v>
      </c>
      <c r="B395" s="342" t="s">
        <v>844</v>
      </c>
      <c r="C395" s="368">
        <v>0</v>
      </c>
      <c r="D395" s="368">
        <v>400000000</v>
      </c>
      <c r="E395" s="368">
        <v>0</v>
      </c>
      <c r="F395" s="368">
        <v>0</v>
      </c>
      <c r="G395" s="368">
        <f t="shared" si="494"/>
        <v>400000000</v>
      </c>
      <c r="H395" s="201"/>
      <c r="I395" s="211"/>
      <c r="J395" s="211"/>
      <c r="K395" s="211"/>
      <c r="L395" s="211"/>
      <c r="M395" s="211"/>
      <c r="N395" s="211"/>
      <c r="O395" s="211">
        <v>66666666.666666664</v>
      </c>
      <c r="P395" s="211">
        <v>66666666.666666664</v>
      </c>
      <c r="Q395" s="211">
        <v>66666666.666666664</v>
      </c>
      <c r="R395" s="211">
        <v>66666666.666666664</v>
      </c>
      <c r="S395" s="211">
        <v>66666666.666666664</v>
      </c>
      <c r="T395" s="211">
        <v>66666666.666666664</v>
      </c>
      <c r="U395" s="421">
        <f t="shared" si="510"/>
        <v>266666666.66666666</v>
      </c>
      <c r="V395" s="63">
        <f t="shared" si="490"/>
        <v>400000000</v>
      </c>
      <c r="W395" s="396">
        <f t="shared" si="506"/>
        <v>400000000</v>
      </c>
      <c r="X395" s="396">
        <f t="shared" si="507"/>
        <v>0</v>
      </c>
      <c r="Y395" s="396">
        <f t="shared" si="508"/>
        <v>0</v>
      </c>
      <c r="AA395" s="211">
        <v>0</v>
      </c>
      <c r="AB395" s="210">
        <v>0</v>
      </c>
      <c r="AC395" s="210">
        <v>0</v>
      </c>
      <c r="AD395" s="210">
        <v>0</v>
      </c>
      <c r="AE395" s="210">
        <v>0</v>
      </c>
      <c r="AF395" s="210">
        <v>0</v>
      </c>
      <c r="AG395" s="210">
        <v>318998061.83999997</v>
      </c>
      <c r="AH395" s="368">
        <v>0</v>
      </c>
      <c r="AI395" s="368">
        <v>0</v>
      </c>
      <c r="AJ395" s="368">
        <v>0</v>
      </c>
      <c r="AK395" s="210">
        <f t="shared" si="509"/>
        <v>318998061.83999997</v>
      </c>
      <c r="AL395" s="387"/>
      <c r="AM395" s="404" t="e">
        <f t="shared" si="495"/>
        <v>#DIV/0!</v>
      </c>
      <c r="AN395" s="404" t="e">
        <f t="shared" si="496"/>
        <v>#DIV/0!</v>
      </c>
      <c r="AO395" s="404" t="e">
        <f t="shared" si="497"/>
        <v>#DIV/0!</v>
      </c>
      <c r="AP395" s="404" t="e">
        <f t="shared" si="498"/>
        <v>#DIV/0!</v>
      </c>
      <c r="AQ395" s="404" t="e">
        <f t="shared" si="499"/>
        <v>#DIV/0!</v>
      </c>
      <c r="AR395" s="404" t="e">
        <f t="shared" si="500"/>
        <v>#DIV/0!</v>
      </c>
      <c r="AS395" s="404">
        <f t="shared" si="501"/>
        <v>3.7849709275999999</v>
      </c>
      <c r="AT395" s="404">
        <f t="shared" si="502"/>
        <v>-1</v>
      </c>
      <c r="AU395" s="404">
        <f t="shared" si="503"/>
        <v>-1</v>
      </c>
      <c r="AV395" s="404">
        <f t="shared" si="504"/>
        <v>-1</v>
      </c>
      <c r="AW395" s="404">
        <f t="shared" si="505"/>
        <v>3.7849709275999999</v>
      </c>
    </row>
    <row r="396" spans="1:49" ht="30" x14ac:dyDescent="0.25">
      <c r="A396" s="341">
        <v>23522</v>
      </c>
      <c r="B396" s="342" t="s">
        <v>845</v>
      </c>
      <c r="C396" s="368">
        <v>0</v>
      </c>
      <c r="D396" s="368">
        <v>2505552556</v>
      </c>
      <c r="E396" s="368">
        <v>0</v>
      </c>
      <c r="F396" s="368">
        <v>0</v>
      </c>
      <c r="G396" s="368">
        <f t="shared" si="494"/>
        <v>2505552556</v>
      </c>
      <c r="H396" s="201"/>
      <c r="I396" s="211"/>
      <c r="J396" s="211"/>
      <c r="K396" s="211"/>
      <c r="L396" s="211"/>
      <c r="M396" s="211"/>
      <c r="N396" s="211"/>
      <c r="O396" s="211">
        <v>417592092.66666669</v>
      </c>
      <c r="P396" s="211">
        <v>417592092.66666669</v>
      </c>
      <c r="Q396" s="211">
        <v>417592092.66666669</v>
      </c>
      <c r="R396" s="211">
        <v>417592092.66666669</v>
      </c>
      <c r="S396" s="211">
        <v>417592092.66666669</v>
      </c>
      <c r="T396" s="211">
        <v>417592092.66666669</v>
      </c>
      <c r="U396" s="421">
        <f t="shared" si="510"/>
        <v>1670368370.6666667</v>
      </c>
      <c r="V396" s="63">
        <f t="shared" si="490"/>
        <v>2505552556</v>
      </c>
      <c r="W396" s="396">
        <f t="shared" si="506"/>
        <v>2505552556</v>
      </c>
      <c r="X396" s="396">
        <f t="shared" si="507"/>
        <v>0</v>
      </c>
      <c r="Y396" s="396">
        <f t="shared" si="508"/>
        <v>0</v>
      </c>
      <c r="AA396" s="211">
        <v>0</v>
      </c>
      <c r="AB396" s="210">
        <v>0</v>
      </c>
      <c r="AC396" s="210">
        <v>0</v>
      </c>
      <c r="AD396" s="210">
        <v>0</v>
      </c>
      <c r="AE396" s="210">
        <v>0</v>
      </c>
      <c r="AF396" s="210">
        <v>0</v>
      </c>
      <c r="AG396" s="210">
        <v>0</v>
      </c>
      <c r="AH396" s="368">
        <v>0</v>
      </c>
      <c r="AI396" s="368">
        <v>0</v>
      </c>
      <c r="AJ396" s="368">
        <v>0</v>
      </c>
      <c r="AK396" s="210">
        <f t="shared" si="509"/>
        <v>0</v>
      </c>
      <c r="AL396" s="387"/>
      <c r="AM396" s="404" t="e">
        <f t="shared" si="495"/>
        <v>#DIV/0!</v>
      </c>
      <c r="AN396" s="404" t="e">
        <f t="shared" si="496"/>
        <v>#DIV/0!</v>
      </c>
      <c r="AO396" s="404" t="e">
        <f t="shared" si="497"/>
        <v>#DIV/0!</v>
      </c>
      <c r="AP396" s="404" t="e">
        <f t="shared" si="498"/>
        <v>#DIV/0!</v>
      </c>
      <c r="AQ396" s="404" t="e">
        <f t="shared" si="499"/>
        <v>#DIV/0!</v>
      </c>
      <c r="AR396" s="404" t="e">
        <f t="shared" si="500"/>
        <v>#DIV/0!</v>
      </c>
      <c r="AS396" s="404">
        <f t="shared" si="501"/>
        <v>-1</v>
      </c>
      <c r="AT396" s="404">
        <f t="shared" si="502"/>
        <v>-1</v>
      </c>
      <c r="AU396" s="404">
        <f t="shared" si="503"/>
        <v>-1</v>
      </c>
      <c r="AV396" s="404">
        <f t="shared" si="504"/>
        <v>-1</v>
      </c>
      <c r="AW396" s="404">
        <f t="shared" si="505"/>
        <v>-1</v>
      </c>
    </row>
    <row r="397" spans="1:49" x14ac:dyDescent="0.25">
      <c r="A397" s="341">
        <v>23523</v>
      </c>
      <c r="B397" s="342" t="s">
        <v>846</v>
      </c>
      <c r="C397" s="368">
        <v>0</v>
      </c>
      <c r="D397" s="368">
        <v>178599869</v>
      </c>
      <c r="E397" s="368">
        <v>0</v>
      </c>
      <c r="F397" s="368">
        <v>0</v>
      </c>
      <c r="G397" s="368">
        <f t="shared" si="494"/>
        <v>178599869</v>
      </c>
      <c r="H397" s="201"/>
      <c r="I397" s="211"/>
      <c r="J397" s="211"/>
      <c r="K397" s="211"/>
      <c r="L397" s="211"/>
      <c r="M397" s="211"/>
      <c r="N397" s="211"/>
      <c r="O397" s="211">
        <v>29766644.833333332</v>
      </c>
      <c r="P397" s="211">
        <v>29766644.833333332</v>
      </c>
      <c r="Q397" s="211">
        <v>29766644.833333332</v>
      </c>
      <c r="R397" s="211">
        <v>29766644.833333332</v>
      </c>
      <c r="S397" s="211">
        <v>29766644.833333332</v>
      </c>
      <c r="T397" s="211">
        <v>29766644.833333332</v>
      </c>
      <c r="U397" s="421">
        <f t="shared" si="510"/>
        <v>119066579.33333333</v>
      </c>
      <c r="V397" s="63">
        <f t="shared" si="490"/>
        <v>178599869</v>
      </c>
      <c r="W397" s="396">
        <f t="shared" si="506"/>
        <v>178599869</v>
      </c>
      <c r="X397" s="396">
        <f t="shared" si="507"/>
        <v>0</v>
      </c>
      <c r="Y397" s="396">
        <f t="shared" si="508"/>
        <v>0</v>
      </c>
      <c r="AA397" s="211">
        <v>0</v>
      </c>
      <c r="AB397" s="210">
        <v>0</v>
      </c>
      <c r="AC397" s="210">
        <v>0</v>
      </c>
      <c r="AD397" s="210">
        <v>0</v>
      </c>
      <c r="AE397" s="210">
        <v>0</v>
      </c>
      <c r="AF397" s="210">
        <v>0</v>
      </c>
      <c r="AG397" s="210">
        <v>0</v>
      </c>
      <c r="AH397" s="368">
        <v>0</v>
      </c>
      <c r="AI397" s="368">
        <v>0</v>
      </c>
      <c r="AJ397" s="368">
        <v>0</v>
      </c>
      <c r="AK397" s="210">
        <f t="shared" si="509"/>
        <v>0</v>
      </c>
      <c r="AL397" s="387"/>
      <c r="AM397" s="404" t="e">
        <f t="shared" si="495"/>
        <v>#DIV/0!</v>
      </c>
      <c r="AN397" s="404" t="e">
        <f t="shared" si="496"/>
        <v>#DIV/0!</v>
      </c>
      <c r="AO397" s="404" t="e">
        <f t="shared" si="497"/>
        <v>#DIV/0!</v>
      </c>
      <c r="AP397" s="404" t="e">
        <f t="shared" si="498"/>
        <v>#DIV/0!</v>
      </c>
      <c r="AQ397" s="404" t="e">
        <f t="shared" si="499"/>
        <v>#DIV/0!</v>
      </c>
      <c r="AR397" s="404" t="e">
        <f t="shared" si="500"/>
        <v>#DIV/0!</v>
      </c>
      <c r="AS397" s="404">
        <f t="shared" si="501"/>
        <v>-1</v>
      </c>
      <c r="AT397" s="404">
        <f t="shared" si="502"/>
        <v>-1</v>
      </c>
      <c r="AU397" s="404">
        <f t="shared" si="503"/>
        <v>-1</v>
      </c>
      <c r="AV397" s="404">
        <f t="shared" si="504"/>
        <v>-1</v>
      </c>
      <c r="AW397" s="404">
        <f t="shared" si="505"/>
        <v>-1</v>
      </c>
    </row>
    <row r="398" spans="1:49" ht="30" x14ac:dyDescent="0.25">
      <c r="A398" s="341">
        <v>23524</v>
      </c>
      <c r="B398" s="342" t="s">
        <v>832</v>
      </c>
      <c r="C398" s="368"/>
      <c r="D398" s="368">
        <v>0</v>
      </c>
      <c r="E398" s="368">
        <v>0</v>
      </c>
      <c r="F398" s="368">
        <v>38594282.009999998</v>
      </c>
      <c r="G398" s="368">
        <f t="shared" si="494"/>
        <v>38594282.009999998</v>
      </c>
      <c r="H398" s="202"/>
      <c r="I398" s="200"/>
      <c r="J398" s="200"/>
      <c r="K398" s="200"/>
      <c r="L398" s="200"/>
      <c r="M398" s="200"/>
      <c r="N398" s="200"/>
      <c r="O398" s="200">
        <v>6432380.335</v>
      </c>
      <c r="P398" s="200">
        <v>6432380.335</v>
      </c>
      <c r="Q398" s="200">
        <v>6432380.335</v>
      </c>
      <c r="R398" s="200">
        <v>6432380.335</v>
      </c>
      <c r="S398" s="200">
        <v>6432380.335</v>
      </c>
      <c r="T398" s="200">
        <v>6432380.335</v>
      </c>
      <c r="U398" s="397">
        <f t="shared" si="510"/>
        <v>25729521.34</v>
      </c>
      <c r="V398" s="63">
        <f t="shared" si="490"/>
        <v>38594282.009999998</v>
      </c>
      <c r="W398" s="396">
        <f t="shared" si="506"/>
        <v>38594282.009999998</v>
      </c>
      <c r="X398" s="396">
        <f t="shared" si="507"/>
        <v>0</v>
      </c>
      <c r="Y398" s="396">
        <f t="shared" si="508"/>
        <v>0</v>
      </c>
      <c r="AA398" s="200"/>
      <c r="AB398" s="210">
        <v>0</v>
      </c>
      <c r="AC398" s="210">
        <v>0</v>
      </c>
      <c r="AD398" s="210">
        <v>0</v>
      </c>
      <c r="AE398" s="210">
        <v>0</v>
      </c>
      <c r="AF398" s="210">
        <v>0</v>
      </c>
      <c r="AG398" s="210">
        <v>0</v>
      </c>
      <c r="AH398" s="368">
        <v>15000000</v>
      </c>
      <c r="AI398" s="368">
        <v>0</v>
      </c>
      <c r="AJ398" s="368">
        <v>0</v>
      </c>
      <c r="AK398" s="210">
        <f t="shared" si="509"/>
        <v>15000000</v>
      </c>
      <c r="AL398" s="387"/>
      <c r="AM398" s="404" t="e">
        <f t="shared" si="495"/>
        <v>#DIV/0!</v>
      </c>
      <c r="AN398" s="404" t="e">
        <f t="shared" si="496"/>
        <v>#DIV/0!</v>
      </c>
      <c r="AO398" s="404" t="e">
        <f t="shared" si="497"/>
        <v>#DIV/0!</v>
      </c>
      <c r="AP398" s="404" t="e">
        <f t="shared" si="498"/>
        <v>#DIV/0!</v>
      </c>
      <c r="AQ398" s="404" t="e">
        <f t="shared" si="499"/>
        <v>#DIV/0!</v>
      </c>
      <c r="AR398" s="404" t="e">
        <f t="shared" si="500"/>
        <v>#DIV/0!</v>
      </c>
      <c r="AS398" s="404">
        <f t="shared" si="501"/>
        <v>-1</v>
      </c>
      <c r="AT398" s="404">
        <f t="shared" si="502"/>
        <v>1.3319516600070569</v>
      </c>
      <c r="AU398" s="404">
        <f t="shared" si="503"/>
        <v>-1</v>
      </c>
      <c r="AV398" s="404">
        <f t="shared" si="504"/>
        <v>-1</v>
      </c>
      <c r="AW398" s="404">
        <f t="shared" si="505"/>
        <v>1.3319516600070569</v>
      </c>
    </row>
    <row r="399" spans="1:49" ht="30" x14ac:dyDescent="0.25">
      <c r="A399" s="341">
        <v>23525</v>
      </c>
      <c r="B399" s="342" t="s">
        <v>833</v>
      </c>
      <c r="C399" s="368"/>
      <c r="D399" s="368">
        <v>0</v>
      </c>
      <c r="E399" s="368">
        <v>0</v>
      </c>
      <c r="F399" s="368">
        <v>118102197.2</v>
      </c>
      <c r="G399" s="368">
        <f t="shared" si="494"/>
        <v>118102197.2</v>
      </c>
      <c r="H399" s="200"/>
      <c r="I399" s="200"/>
      <c r="J399" s="200"/>
      <c r="K399" s="200"/>
      <c r="L399" s="200"/>
      <c r="M399" s="200"/>
      <c r="N399" s="200"/>
      <c r="O399" s="200">
        <v>19683699.533333335</v>
      </c>
      <c r="P399" s="200">
        <v>19683699.533333335</v>
      </c>
      <c r="Q399" s="200">
        <v>19683699.533333335</v>
      </c>
      <c r="R399" s="200">
        <v>19683699.533333335</v>
      </c>
      <c r="S399" s="200">
        <v>19683699.533333335</v>
      </c>
      <c r="T399" s="200">
        <v>19683699.533333335</v>
      </c>
      <c r="U399" s="397">
        <f t="shared" si="510"/>
        <v>78734798.13333334</v>
      </c>
      <c r="V399" s="63">
        <f t="shared" si="490"/>
        <v>118102197.2</v>
      </c>
      <c r="W399" s="396">
        <f t="shared" si="506"/>
        <v>118102197.2</v>
      </c>
      <c r="X399" s="396">
        <f t="shared" si="507"/>
        <v>0</v>
      </c>
      <c r="Y399" s="396">
        <f t="shared" si="508"/>
        <v>0</v>
      </c>
      <c r="AA399" s="200"/>
      <c r="AB399" s="210">
        <v>0</v>
      </c>
      <c r="AC399" s="210">
        <v>0</v>
      </c>
      <c r="AD399" s="210">
        <v>0</v>
      </c>
      <c r="AE399" s="210">
        <v>0</v>
      </c>
      <c r="AF399" s="210">
        <v>3511000</v>
      </c>
      <c r="AG399" s="210">
        <v>0</v>
      </c>
      <c r="AH399" s="368">
        <v>0</v>
      </c>
      <c r="AI399" s="368">
        <v>0</v>
      </c>
      <c r="AJ399" s="368">
        <v>0</v>
      </c>
      <c r="AK399" s="210">
        <f t="shared" si="509"/>
        <v>3511000</v>
      </c>
      <c r="AL399" s="387"/>
      <c r="AM399" s="404" t="e">
        <f t="shared" si="495"/>
        <v>#DIV/0!</v>
      </c>
      <c r="AN399" s="404" t="e">
        <f t="shared" si="496"/>
        <v>#DIV/0!</v>
      </c>
      <c r="AO399" s="404" t="e">
        <f t="shared" si="497"/>
        <v>#DIV/0!</v>
      </c>
      <c r="AP399" s="404" t="e">
        <f t="shared" si="498"/>
        <v>#DIV/0!</v>
      </c>
      <c r="AQ399" s="404" t="e">
        <f t="shared" si="499"/>
        <v>#DIV/0!</v>
      </c>
      <c r="AR399" s="404" t="e">
        <f t="shared" si="500"/>
        <v>#DIV/0!</v>
      </c>
      <c r="AS399" s="404">
        <f t="shared" si="501"/>
        <v>-1</v>
      </c>
      <c r="AT399" s="404">
        <f t="shared" si="502"/>
        <v>-1</v>
      </c>
      <c r="AU399" s="404">
        <f t="shared" si="503"/>
        <v>-1</v>
      </c>
      <c r="AV399" s="404">
        <f t="shared" si="504"/>
        <v>-1</v>
      </c>
      <c r="AW399" s="404">
        <f t="shared" si="505"/>
        <v>-0.82162905941262199</v>
      </c>
    </row>
    <row r="400" spans="1:49" ht="30" x14ac:dyDescent="0.25">
      <c r="A400" s="341">
        <v>23526</v>
      </c>
      <c r="B400" s="342" t="s">
        <v>834</v>
      </c>
      <c r="C400" s="368"/>
      <c r="D400" s="368">
        <v>0</v>
      </c>
      <c r="E400" s="368">
        <v>0</v>
      </c>
      <c r="F400" s="368">
        <v>41560320.609999999</v>
      </c>
      <c r="G400" s="368">
        <f t="shared" si="494"/>
        <v>41560320.609999999</v>
      </c>
      <c r="H400" s="200"/>
      <c r="I400" s="200"/>
      <c r="J400" s="200"/>
      <c r="K400" s="200"/>
      <c r="L400" s="200"/>
      <c r="M400" s="200"/>
      <c r="N400" s="200"/>
      <c r="O400" s="200">
        <v>6926720.1016666666</v>
      </c>
      <c r="P400" s="200">
        <v>6926720.1016666666</v>
      </c>
      <c r="Q400" s="200">
        <v>6926720.1016666666</v>
      </c>
      <c r="R400" s="200">
        <v>6926720.1016666666</v>
      </c>
      <c r="S400" s="200">
        <v>6926720.1016666666</v>
      </c>
      <c r="T400" s="200">
        <v>6926720.1016666666</v>
      </c>
      <c r="U400" s="397">
        <f t="shared" si="510"/>
        <v>27706880.406666666</v>
      </c>
      <c r="V400" s="63">
        <f t="shared" si="490"/>
        <v>41560320.609999999</v>
      </c>
      <c r="W400" s="396">
        <f t="shared" si="506"/>
        <v>41560320.609999999</v>
      </c>
      <c r="X400" s="396">
        <f t="shared" si="507"/>
        <v>0</v>
      </c>
      <c r="Y400" s="396">
        <f t="shared" si="508"/>
        <v>0</v>
      </c>
      <c r="AA400" s="200"/>
      <c r="AB400" s="210">
        <v>0</v>
      </c>
      <c r="AC400" s="210">
        <v>0</v>
      </c>
      <c r="AD400" s="210">
        <v>0</v>
      </c>
      <c r="AE400" s="210">
        <v>0</v>
      </c>
      <c r="AF400" s="210">
        <v>0</v>
      </c>
      <c r="AG400" s="210">
        <v>4411500</v>
      </c>
      <c r="AH400" s="368">
        <v>0</v>
      </c>
      <c r="AI400" s="368">
        <v>17864658</v>
      </c>
      <c r="AJ400" s="368">
        <v>2250000</v>
      </c>
      <c r="AK400" s="210">
        <f t="shared" si="509"/>
        <v>24526158</v>
      </c>
      <c r="AL400" s="387"/>
      <c r="AM400" s="404" t="e">
        <f t="shared" si="495"/>
        <v>#DIV/0!</v>
      </c>
      <c r="AN400" s="404" t="e">
        <f t="shared" si="496"/>
        <v>#DIV/0!</v>
      </c>
      <c r="AO400" s="404" t="e">
        <f t="shared" si="497"/>
        <v>#DIV/0!</v>
      </c>
      <c r="AP400" s="404" t="e">
        <f t="shared" si="498"/>
        <v>#DIV/0!</v>
      </c>
      <c r="AQ400" s="404" t="e">
        <f t="shared" si="499"/>
        <v>#DIV/0!</v>
      </c>
      <c r="AR400" s="404" t="e">
        <f t="shared" si="500"/>
        <v>#DIV/0!</v>
      </c>
      <c r="AS400" s="404">
        <f t="shared" si="501"/>
        <v>-0.36311848389275453</v>
      </c>
      <c r="AT400" s="404">
        <f t="shared" si="502"/>
        <v>-1</v>
      </c>
      <c r="AU400" s="404">
        <f t="shared" si="503"/>
        <v>1.5790933858727034</v>
      </c>
      <c r="AV400" s="404">
        <f t="shared" si="504"/>
        <v>-0.67517093704152731</v>
      </c>
      <c r="AW400" s="404">
        <f t="shared" si="505"/>
        <v>2.5408039649384215</v>
      </c>
    </row>
    <row r="401" spans="1:49" ht="30" x14ac:dyDescent="0.25">
      <c r="A401" s="341">
        <v>23527</v>
      </c>
      <c r="B401" s="342" t="s">
        <v>835</v>
      </c>
      <c r="C401" s="368"/>
      <c r="D401" s="368">
        <v>0</v>
      </c>
      <c r="E401" s="368">
        <v>0</v>
      </c>
      <c r="F401" s="368">
        <v>114572114.70999999</v>
      </c>
      <c r="G401" s="368">
        <f t="shared" si="494"/>
        <v>114572114.70999999</v>
      </c>
      <c r="H401" s="200"/>
      <c r="I401" s="200"/>
      <c r="J401" s="200"/>
      <c r="K401" s="200"/>
      <c r="L401" s="200"/>
      <c r="M401" s="200"/>
      <c r="N401" s="200"/>
      <c r="O401" s="200">
        <v>19095352.451666664</v>
      </c>
      <c r="P401" s="200">
        <v>19095352.451666664</v>
      </c>
      <c r="Q401" s="200">
        <v>19095352.451666664</v>
      </c>
      <c r="R401" s="200">
        <v>19095352.451666664</v>
      </c>
      <c r="S401" s="200">
        <v>19095352.451666664</v>
      </c>
      <c r="T401" s="200">
        <v>19095352.451666664</v>
      </c>
      <c r="U401" s="397">
        <f t="shared" si="510"/>
        <v>76381409.806666657</v>
      </c>
      <c r="V401" s="63">
        <f t="shared" si="490"/>
        <v>114572114.70999999</v>
      </c>
      <c r="W401" s="396">
        <f t="shared" si="506"/>
        <v>114572114.70999999</v>
      </c>
      <c r="X401" s="396">
        <f t="shared" si="507"/>
        <v>0</v>
      </c>
      <c r="Y401" s="396">
        <f t="shared" si="508"/>
        <v>0</v>
      </c>
      <c r="AA401" s="200"/>
      <c r="AB401" s="210">
        <v>0</v>
      </c>
      <c r="AC401" s="210">
        <v>1525550</v>
      </c>
      <c r="AD401" s="210">
        <v>0</v>
      </c>
      <c r="AE401" s="210">
        <v>0</v>
      </c>
      <c r="AF401" s="210">
        <v>0</v>
      </c>
      <c r="AG401" s="210">
        <v>0</v>
      </c>
      <c r="AH401" s="368">
        <v>0</v>
      </c>
      <c r="AI401" s="368">
        <v>0</v>
      </c>
      <c r="AJ401" s="368">
        <v>0</v>
      </c>
      <c r="AK401" s="210">
        <f t="shared" si="509"/>
        <v>1525550</v>
      </c>
      <c r="AL401" s="387"/>
      <c r="AM401" s="404" t="e">
        <f t="shared" si="495"/>
        <v>#DIV/0!</v>
      </c>
      <c r="AN401" s="404" t="e">
        <f t="shared" si="496"/>
        <v>#DIV/0!</v>
      </c>
      <c r="AO401" s="404" t="e">
        <f t="shared" si="497"/>
        <v>#DIV/0!</v>
      </c>
      <c r="AP401" s="404" t="e">
        <f t="shared" si="498"/>
        <v>#DIV/0!</v>
      </c>
      <c r="AQ401" s="404" t="e">
        <f t="shared" si="499"/>
        <v>#DIV/0!</v>
      </c>
      <c r="AR401" s="404" t="e">
        <f t="shared" si="500"/>
        <v>#DIV/0!</v>
      </c>
      <c r="AS401" s="404">
        <f t="shared" si="501"/>
        <v>-1</v>
      </c>
      <c r="AT401" s="404">
        <f t="shared" si="502"/>
        <v>-1</v>
      </c>
      <c r="AU401" s="404">
        <f t="shared" si="503"/>
        <v>-1</v>
      </c>
      <c r="AV401" s="404">
        <f t="shared" si="504"/>
        <v>-1</v>
      </c>
      <c r="AW401" s="404">
        <f t="shared" si="505"/>
        <v>-0.92010883256219511</v>
      </c>
    </row>
    <row r="402" spans="1:49" ht="30" x14ac:dyDescent="0.25">
      <c r="A402" s="341">
        <v>23528</v>
      </c>
      <c r="B402" s="342" t="s">
        <v>836</v>
      </c>
      <c r="C402" s="368"/>
      <c r="D402" s="368">
        <v>0</v>
      </c>
      <c r="E402" s="368">
        <v>0</v>
      </c>
      <c r="F402" s="368">
        <v>132802785.45</v>
      </c>
      <c r="G402" s="368">
        <f t="shared" si="494"/>
        <v>132802785.45</v>
      </c>
      <c r="H402" s="200"/>
      <c r="I402" s="200"/>
      <c r="J402" s="200"/>
      <c r="K402" s="200"/>
      <c r="L402" s="200"/>
      <c r="M402" s="200"/>
      <c r="N402" s="200"/>
      <c r="O402" s="200">
        <v>22133797.574999999</v>
      </c>
      <c r="P402" s="200">
        <v>22133797.574999999</v>
      </c>
      <c r="Q402" s="200">
        <v>22133797.574999999</v>
      </c>
      <c r="R402" s="200">
        <v>22133797.574999999</v>
      </c>
      <c r="S402" s="200">
        <v>22133797.574999999</v>
      </c>
      <c r="T402" s="200">
        <v>22133797.574999999</v>
      </c>
      <c r="U402" s="397">
        <f t="shared" si="510"/>
        <v>88535190.299999997</v>
      </c>
      <c r="V402" s="63">
        <f t="shared" si="490"/>
        <v>132802785.45</v>
      </c>
      <c r="W402" s="396">
        <f t="shared" si="506"/>
        <v>132802785.45</v>
      </c>
      <c r="X402" s="396">
        <f t="shared" si="507"/>
        <v>0</v>
      </c>
      <c r="Y402" s="396">
        <f t="shared" si="508"/>
        <v>0</v>
      </c>
      <c r="AA402" s="200"/>
      <c r="AB402" s="210">
        <v>0</v>
      </c>
      <c r="AC402" s="210">
        <v>475490</v>
      </c>
      <c r="AD402" s="210">
        <v>0</v>
      </c>
      <c r="AE402" s="210">
        <v>0</v>
      </c>
      <c r="AF402" s="210">
        <v>0</v>
      </c>
      <c r="AG402" s="210">
        <v>0</v>
      </c>
      <c r="AH402" s="368">
        <v>22000000</v>
      </c>
      <c r="AI402" s="368">
        <v>23351489</v>
      </c>
      <c r="AJ402" s="368">
        <v>24132070</v>
      </c>
      <c r="AK402" s="210">
        <f t="shared" si="509"/>
        <v>69959049</v>
      </c>
      <c r="AL402" s="387"/>
      <c r="AM402" s="404" t="e">
        <f t="shared" si="495"/>
        <v>#DIV/0!</v>
      </c>
      <c r="AN402" s="404" t="e">
        <f t="shared" si="496"/>
        <v>#DIV/0!</v>
      </c>
      <c r="AO402" s="404" t="e">
        <f t="shared" si="497"/>
        <v>#DIV/0!</v>
      </c>
      <c r="AP402" s="404" t="e">
        <f t="shared" si="498"/>
        <v>#DIV/0!</v>
      </c>
      <c r="AQ402" s="404" t="e">
        <f t="shared" si="499"/>
        <v>#DIV/0!</v>
      </c>
      <c r="AR402" s="404" t="e">
        <f t="shared" si="500"/>
        <v>#DIV/0!</v>
      </c>
      <c r="AS402" s="404">
        <f t="shared" si="501"/>
        <v>-1</v>
      </c>
      <c r="AT402" s="404">
        <f t="shared" si="502"/>
        <v>-6.0449443682959701E-3</v>
      </c>
      <c r="AU402" s="404">
        <f t="shared" si="503"/>
        <v>5.5015024912642034E-2</v>
      </c>
      <c r="AV402" s="404">
        <f t="shared" si="504"/>
        <v>9.0281499061735271E-2</v>
      </c>
      <c r="AW402" s="404">
        <f t="shared" si="505"/>
        <v>2.1607341109425504</v>
      </c>
    </row>
    <row r="403" spans="1:49" ht="30" x14ac:dyDescent="0.25">
      <c r="A403" s="341">
        <v>23529</v>
      </c>
      <c r="B403" s="342" t="s">
        <v>837</v>
      </c>
      <c r="C403" s="368"/>
      <c r="D403" s="368">
        <v>0</v>
      </c>
      <c r="E403" s="368">
        <v>0</v>
      </c>
      <c r="F403" s="368">
        <v>430578182.44</v>
      </c>
      <c r="G403" s="368">
        <f t="shared" si="494"/>
        <v>430578182.44</v>
      </c>
      <c r="H403" s="200"/>
      <c r="I403" s="200"/>
      <c r="J403" s="200"/>
      <c r="K403" s="200"/>
      <c r="L403" s="200"/>
      <c r="M403" s="200"/>
      <c r="N403" s="200"/>
      <c r="O403" s="200">
        <v>71763030.406666666</v>
      </c>
      <c r="P403" s="200">
        <v>71763030.406666666</v>
      </c>
      <c r="Q403" s="200">
        <v>71763030.406666666</v>
      </c>
      <c r="R403" s="200">
        <v>71763030.406666666</v>
      </c>
      <c r="S403" s="200">
        <v>71763030.406666666</v>
      </c>
      <c r="T403" s="200">
        <v>71763030.406666666</v>
      </c>
      <c r="U403" s="397">
        <f t="shared" si="510"/>
        <v>287052121.62666667</v>
      </c>
      <c r="V403" s="63">
        <f t="shared" si="490"/>
        <v>430578182.43999994</v>
      </c>
      <c r="W403" s="396">
        <f t="shared" si="506"/>
        <v>430578182.44</v>
      </c>
      <c r="X403" s="396">
        <f t="shared" si="507"/>
        <v>0</v>
      </c>
      <c r="Y403" s="396">
        <f t="shared" si="508"/>
        <v>0</v>
      </c>
      <c r="AA403" s="200"/>
      <c r="AB403" s="210">
        <v>0</v>
      </c>
      <c r="AC403" s="210">
        <v>18765109</v>
      </c>
      <c r="AD403" s="210">
        <v>0</v>
      </c>
      <c r="AE403" s="210">
        <v>0</v>
      </c>
      <c r="AF403" s="210">
        <v>72060914</v>
      </c>
      <c r="AG403" s="210">
        <v>6480614</v>
      </c>
      <c r="AH403" s="368">
        <f>3763995.99+535500</f>
        <v>4299495.99</v>
      </c>
      <c r="AI403" s="368">
        <v>21626903</v>
      </c>
      <c r="AJ403" s="368">
        <v>55992303</v>
      </c>
      <c r="AK403" s="210">
        <f t="shared" si="509"/>
        <v>179225338.99000001</v>
      </c>
      <c r="AL403" s="387"/>
      <c r="AM403" s="404" t="e">
        <f t="shared" si="495"/>
        <v>#DIV/0!</v>
      </c>
      <c r="AN403" s="404" t="e">
        <f t="shared" si="496"/>
        <v>#DIV/0!</v>
      </c>
      <c r="AO403" s="404" t="e">
        <f t="shared" si="497"/>
        <v>#DIV/0!</v>
      </c>
      <c r="AP403" s="404" t="e">
        <f t="shared" si="498"/>
        <v>#DIV/0!</v>
      </c>
      <c r="AQ403" s="404" t="e">
        <f t="shared" si="499"/>
        <v>#DIV/0!</v>
      </c>
      <c r="AR403" s="404" t="e">
        <f t="shared" si="500"/>
        <v>#DIV/0!</v>
      </c>
      <c r="AS403" s="404">
        <f t="shared" si="501"/>
        <v>-0.9096942539455809</v>
      </c>
      <c r="AT403" s="404">
        <f t="shared" si="502"/>
        <v>-0.9400875915407193</v>
      </c>
      <c r="AU403" s="404">
        <f t="shared" si="503"/>
        <v>-0.69863447965554559</v>
      </c>
      <c r="AV403" s="404">
        <f t="shared" si="504"/>
        <v>-0.21976116835224382</v>
      </c>
      <c r="AW403" s="404">
        <f t="shared" si="505"/>
        <v>1.4974605723081376</v>
      </c>
    </row>
    <row r="404" spans="1:49" x14ac:dyDescent="0.25">
      <c r="A404" s="341">
        <v>23530</v>
      </c>
      <c r="B404" s="342" t="s">
        <v>838</v>
      </c>
      <c r="C404" s="368"/>
      <c r="D404" s="368">
        <v>0</v>
      </c>
      <c r="E404" s="368">
        <v>0</v>
      </c>
      <c r="F404" s="368">
        <v>177269391.56999999</v>
      </c>
      <c r="G404" s="368">
        <f t="shared" si="494"/>
        <v>177269391.56999999</v>
      </c>
      <c r="H404" s="200"/>
      <c r="I404" s="200"/>
      <c r="J404" s="200"/>
      <c r="K404" s="200"/>
      <c r="L404" s="200"/>
      <c r="M404" s="200"/>
      <c r="N404" s="200"/>
      <c r="O404" s="200">
        <v>29544898.594999999</v>
      </c>
      <c r="P404" s="200">
        <v>29544898.594999999</v>
      </c>
      <c r="Q404" s="200">
        <v>29544898.594999999</v>
      </c>
      <c r="R404" s="200">
        <v>29544898.594999999</v>
      </c>
      <c r="S404" s="200">
        <v>29544898.594999999</v>
      </c>
      <c r="T404" s="200">
        <v>29544898.594999999</v>
      </c>
      <c r="U404" s="397">
        <f t="shared" si="510"/>
        <v>118179594.38</v>
      </c>
      <c r="V404" s="63">
        <f t="shared" si="490"/>
        <v>177269391.56999999</v>
      </c>
      <c r="W404" s="396">
        <f t="shared" si="506"/>
        <v>177269391.56999999</v>
      </c>
      <c r="X404" s="396">
        <f t="shared" si="507"/>
        <v>0</v>
      </c>
      <c r="Y404" s="396">
        <f t="shared" si="508"/>
        <v>0</v>
      </c>
      <c r="AA404" s="200"/>
      <c r="AB404" s="210">
        <v>0</v>
      </c>
      <c r="AC404" s="210">
        <v>0</v>
      </c>
      <c r="AD404" s="210">
        <v>0</v>
      </c>
      <c r="AE404" s="210">
        <v>0</v>
      </c>
      <c r="AF404" s="210">
        <v>0</v>
      </c>
      <c r="AG404" s="210">
        <v>0</v>
      </c>
      <c r="AH404" s="368">
        <v>0</v>
      </c>
      <c r="AI404" s="368">
        <v>3898415</v>
      </c>
      <c r="AJ404" s="368">
        <v>0</v>
      </c>
      <c r="AK404" s="210">
        <f t="shared" si="509"/>
        <v>3898415</v>
      </c>
      <c r="AL404" s="387"/>
      <c r="AM404" s="404" t="e">
        <f t="shared" si="495"/>
        <v>#DIV/0!</v>
      </c>
      <c r="AN404" s="404" t="e">
        <f t="shared" si="496"/>
        <v>#DIV/0!</v>
      </c>
      <c r="AO404" s="404" t="e">
        <f t="shared" si="497"/>
        <v>#DIV/0!</v>
      </c>
      <c r="AP404" s="404" t="e">
        <f t="shared" si="498"/>
        <v>#DIV/0!</v>
      </c>
      <c r="AQ404" s="404" t="e">
        <f t="shared" si="499"/>
        <v>#DIV/0!</v>
      </c>
      <c r="AR404" s="404" t="e">
        <f t="shared" si="500"/>
        <v>#DIV/0!</v>
      </c>
      <c r="AS404" s="404">
        <f t="shared" si="501"/>
        <v>-1</v>
      </c>
      <c r="AT404" s="404">
        <f t="shared" si="502"/>
        <v>-1</v>
      </c>
      <c r="AU404" s="404">
        <f t="shared" si="503"/>
        <v>-0.86805116330100573</v>
      </c>
      <c r="AV404" s="404">
        <f t="shared" si="504"/>
        <v>-1</v>
      </c>
      <c r="AW404" s="404">
        <f t="shared" si="505"/>
        <v>-0.86805116330100573</v>
      </c>
    </row>
    <row r="405" spans="1:49" ht="30" x14ac:dyDescent="0.25">
      <c r="A405" s="341">
        <v>23531</v>
      </c>
      <c r="B405" s="342" t="s">
        <v>839</v>
      </c>
      <c r="C405" s="368"/>
      <c r="D405" s="368">
        <v>0</v>
      </c>
      <c r="E405" s="368">
        <v>0</v>
      </c>
      <c r="F405" s="368">
        <v>215142209.47999999</v>
      </c>
      <c r="G405" s="368">
        <f t="shared" si="494"/>
        <v>215142209.47999999</v>
      </c>
      <c r="H405" s="200"/>
      <c r="I405" s="200"/>
      <c r="J405" s="200"/>
      <c r="K405" s="200"/>
      <c r="L405" s="200"/>
      <c r="M405" s="200"/>
      <c r="N405" s="200"/>
      <c r="O405" s="200">
        <v>35857034.913333334</v>
      </c>
      <c r="P405" s="200">
        <v>35857034.913333334</v>
      </c>
      <c r="Q405" s="200">
        <v>35857034.913333334</v>
      </c>
      <c r="R405" s="200">
        <v>35857034.913333334</v>
      </c>
      <c r="S405" s="200">
        <v>35857034.913333334</v>
      </c>
      <c r="T405" s="200">
        <v>35857034.913333334</v>
      </c>
      <c r="U405" s="397">
        <f t="shared" si="510"/>
        <v>143428139.65333334</v>
      </c>
      <c r="V405" s="63">
        <f t="shared" si="490"/>
        <v>215142209.47999999</v>
      </c>
      <c r="W405" s="396">
        <f t="shared" si="506"/>
        <v>215142209.47999999</v>
      </c>
      <c r="X405" s="396">
        <f t="shared" si="507"/>
        <v>0</v>
      </c>
      <c r="Y405" s="396">
        <f t="shared" si="508"/>
        <v>0</v>
      </c>
      <c r="AA405" s="200"/>
      <c r="AB405" s="210">
        <v>0</v>
      </c>
      <c r="AC405" s="210">
        <v>0</v>
      </c>
      <c r="AD405" s="210">
        <v>0</v>
      </c>
      <c r="AE405" s="210">
        <v>0</v>
      </c>
      <c r="AF405" s="210">
        <v>10397000</v>
      </c>
      <c r="AG405" s="210">
        <v>3885400</v>
      </c>
      <c r="AH405" s="368">
        <v>4786211.0599999996</v>
      </c>
      <c r="AI405" s="368">
        <v>11742723</v>
      </c>
      <c r="AJ405" s="368">
        <v>0</v>
      </c>
      <c r="AK405" s="210">
        <f t="shared" si="509"/>
        <v>30811334.059999999</v>
      </c>
      <c r="AM405" s="404" t="e">
        <f t="shared" si="495"/>
        <v>#DIV/0!</v>
      </c>
      <c r="AN405" s="404" t="e">
        <f t="shared" si="496"/>
        <v>#DIV/0!</v>
      </c>
      <c r="AO405" s="404" t="e">
        <f t="shared" si="497"/>
        <v>#DIV/0!</v>
      </c>
      <c r="AP405" s="404" t="e">
        <f t="shared" si="498"/>
        <v>#DIV/0!</v>
      </c>
      <c r="AQ405" s="404" t="e">
        <f t="shared" si="499"/>
        <v>#DIV/0!</v>
      </c>
      <c r="AR405" s="404" t="e">
        <f t="shared" si="500"/>
        <v>#DIV/0!</v>
      </c>
      <c r="AS405" s="404">
        <f t="shared" si="501"/>
        <v>-0.8916419048760994</v>
      </c>
      <c r="AT405" s="404">
        <f t="shared" si="502"/>
        <v>-0.86651960845149911</v>
      </c>
      <c r="AU405" s="404">
        <f t="shared" si="503"/>
        <v>-0.67251271533236834</v>
      </c>
      <c r="AV405" s="404">
        <f t="shared" si="504"/>
        <v>-1</v>
      </c>
      <c r="AW405" s="404">
        <f t="shared" si="505"/>
        <v>-0.14071718047877702</v>
      </c>
    </row>
    <row r="406" spans="1:49" x14ac:dyDescent="0.25">
      <c r="A406" s="341">
        <v>23532</v>
      </c>
      <c r="B406" s="342" t="s">
        <v>1018</v>
      </c>
      <c r="C406" s="368"/>
      <c r="D406" s="368"/>
      <c r="E406" s="368"/>
      <c r="F406" s="368">
        <v>543246923</v>
      </c>
      <c r="G406" s="368">
        <f t="shared" si="494"/>
        <v>543246923</v>
      </c>
      <c r="R406" s="53">
        <v>181082307.66666666</v>
      </c>
      <c r="S406" s="53">
        <v>181082307.66666666</v>
      </c>
      <c r="T406" s="53">
        <v>181082307.66666666</v>
      </c>
      <c r="U406" s="397">
        <f t="shared" si="510"/>
        <v>181082307.66666666</v>
      </c>
      <c r="V406" s="63">
        <f t="shared" ref="V406:V412" si="511">SUM(I406:T406)</f>
        <v>543246923</v>
      </c>
      <c r="W406" s="396">
        <f t="shared" ref="W406:W412" si="512">+G406</f>
        <v>543246923</v>
      </c>
      <c r="X406" s="396">
        <f t="shared" ref="X406:X412" si="513">+W406-V406</f>
        <v>0</v>
      </c>
      <c r="Y406" s="53">
        <f>+W406/3</f>
        <v>181082307.66666666</v>
      </c>
      <c r="AJ406" s="53">
        <v>0</v>
      </c>
      <c r="AK406" s="53">
        <f t="shared" si="509"/>
        <v>0</v>
      </c>
      <c r="AM406" s="72" t="e">
        <f t="shared" si="495"/>
        <v>#DIV/0!</v>
      </c>
      <c r="AN406" s="72" t="e">
        <f t="shared" si="496"/>
        <v>#DIV/0!</v>
      </c>
      <c r="AO406" s="72" t="e">
        <f t="shared" si="497"/>
        <v>#DIV/0!</v>
      </c>
      <c r="AP406" s="72" t="e">
        <f t="shared" si="498"/>
        <v>#DIV/0!</v>
      </c>
      <c r="AQ406" s="72" t="e">
        <f t="shared" si="499"/>
        <v>#DIV/0!</v>
      </c>
      <c r="AR406" s="72" t="e">
        <f t="shared" si="500"/>
        <v>#DIV/0!</v>
      </c>
      <c r="AS406" s="72" t="e">
        <f t="shared" si="501"/>
        <v>#DIV/0!</v>
      </c>
      <c r="AT406" s="72" t="e">
        <f t="shared" si="502"/>
        <v>#DIV/0!</v>
      </c>
      <c r="AU406" s="72" t="e">
        <f t="shared" si="503"/>
        <v>#DIV/0!</v>
      </c>
      <c r="AV406" s="72">
        <f t="shared" si="504"/>
        <v>-1</v>
      </c>
      <c r="AW406" s="72">
        <f t="shared" si="505"/>
        <v>-1</v>
      </c>
    </row>
    <row r="407" spans="1:49" x14ac:dyDescent="0.25">
      <c r="A407" s="335">
        <v>236</v>
      </c>
      <c r="B407" s="336" t="s">
        <v>1019</v>
      </c>
      <c r="C407" s="365">
        <f>SUM(C408:C412)</f>
        <v>0</v>
      </c>
      <c r="D407" s="365">
        <f t="shared" ref="D407:V407" si="514">SUM(D408:D412)</f>
        <v>794000000</v>
      </c>
      <c r="E407" s="365">
        <f t="shared" si="514"/>
        <v>0</v>
      </c>
      <c r="F407" s="365">
        <f t="shared" si="514"/>
        <v>492942109</v>
      </c>
      <c r="G407" s="365">
        <f t="shared" si="514"/>
        <v>1286942109</v>
      </c>
      <c r="H407" s="365">
        <f t="shared" si="514"/>
        <v>0</v>
      </c>
      <c r="I407" s="365">
        <f t="shared" si="514"/>
        <v>0</v>
      </c>
      <c r="J407" s="365">
        <f t="shared" si="514"/>
        <v>0</v>
      </c>
      <c r="K407" s="365">
        <f t="shared" si="514"/>
        <v>0</v>
      </c>
      <c r="L407" s="365">
        <f t="shared" si="514"/>
        <v>0</v>
      </c>
      <c r="M407" s="365">
        <f t="shared" si="514"/>
        <v>0</v>
      </c>
      <c r="N407" s="365">
        <f t="shared" si="514"/>
        <v>0</v>
      </c>
      <c r="O407" s="365">
        <f t="shared" si="514"/>
        <v>0</v>
      </c>
      <c r="P407" s="365">
        <f t="shared" si="514"/>
        <v>0</v>
      </c>
      <c r="Q407" s="365">
        <f t="shared" si="514"/>
        <v>0</v>
      </c>
      <c r="R407" s="365">
        <f t="shared" si="514"/>
        <v>428980702.99999994</v>
      </c>
      <c r="S407" s="365">
        <f t="shared" si="514"/>
        <v>428980702.99999994</v>
      </c>
      <c r="T407" s="365">
        <f t="shared" si="514"/>
        <v>428980702.99999994</v>
      </c>
      <c r="U407" s="416">
        <f t="shared" si="510"/>
        <v>428980702.99999994</v>
      </c>
      <c r="V407" s="365">
        <f t="shared" si="514"/>
        <v>1286942109</v>
      </c>
      <c r="W407" s="396">
        <f t="shared" si="512"/>
        <v>1286942109</v>
      </c>
      <c r="X407" s="396">
        <f t="shared" si="513"/>
        <v>0</v>
      </c>
      <c r="AA407" s="365"/>
      <c r="AB407" s="365"/>
      <c r="AC407" s="365"/>
      <c r="AD407" s="365"/>
      <c r="AE407" s="365"/>
      <c r="AF407" s="365"/>
      <c r="AG407" s="365"/>
      <c r="AH407" s="365"/>
      <c r="AI407" s="365"/>
      <c r="AJ407" s="365">
        <v>0</v>
      </c>
      <c r="AK407" s="365">
        <f t="shared" si="509"/>
        <v>0</v>
      </c>
      <c r="AM407" s="400" t="e">
        <f t="shared" si="495"/>
        <v>#DIV/0!</v>
      </c>
      <c r="AN407" s="400" t="e">
        <f t="shared" si="496"/>
        <v>#DIV/0!</v>
      </c>
      <c r="AO407" s="400" t="e">
        <f t="shared" si="497"/>
        <v>#DIV/0!</v>
      </c>
      <c r="AP407" s="400" t="e">
        <f t="shared" si="498"/>
        <v>#DIV/0!</v>
      </c>
      <c r="AQ407" s="400" t="e">
        <f t="shared" si="499"/>
        <v>#DIV/0!</v>
      </c>
      <c r="AR407" s="400" t="e">
        <f t="shared" si="500"/>
        <v>#DIV/0!</v>
      </c>
      <c r="AS407" s="400" t="e">
        <f t="shared" si="501"/>
        <v>#DIV/0!</v>
      </c>
      <c r="AT407" s="400" t="e">
        <f t="shared" si="502"/>
        <v>#DIV/0!</v>
      </c>
      <c r="AU407" s="400" t="e">
        <f t="shared" si="503"/>
        <v>#DIV/0!</v>
      </c>
      <c r="AV407" s="400">
        <f t="shared" si="504"/>
        <v>-1</v>
      </c>
      <c r="AW407" s="400">
        <f t="shared" si="505"/>
        <v>-1</v>
      </c>
    </row>
    <row r="408" spans="1:49" ht="30" x14ac:dyDescent="0.25">
      <c r="A408" s="341">
        <v>23601</v>
      </c>
      <c r="B408" s="342" t="s">
        <v>1020</v>
      </c>
      <c r="C408" s="368"/>
      <c r="D408" s="368"/>
      <c r="E408" s="368"/>
      <c r="F408" s="368">
        <v>100000000</v>
      </c>
      <c r="G408" s="368">
        <f t="shared" si="494"/>
        <v>100000000</v>
      </c>
      <c r="H408" s="200"/>
      <c r="I408" s="200"/>
      <c r="J408" s="200"/>
      <c r="K408" s="200"/>
      <c r="L408" s="200"/>
      <c r="M408" s="200"/>
      <c r="N408" s="200"/>
      <c r="O408" s="200"/>
      <c r="P408" s="200"/>
      <c r="Q408" s="200"/>
      <c r="R408" s="200">
        <v>33333333.333333332</v>
      </c>
      <c r="S408" s="200">
        <v>33333333.333333332</v>
      </c>
      <c r="T408" s="200">
        <v>33333333.333333332</v>
      </c>
      <c r="U408" s="397">
        <f t="shared" si="510"/>
        <v>33333333.333333332</v>
      </c>
      <c r="V408" s="63">
        <f t="shared" si="511"/>
        <v>100000000</v>
      </c>
      <c r="W408" s="396">
        <f t="shared" si="512"/>
        <v>100000000</v>
      </c>
      <c r="X408" s="396">
        <f t="shared" si="513"/>
        <v>0</v>
      </c>
      <c r="Y408" s="396">
        <f t="shared" ref="Y408:Y412" si="515">+W408/3</f>
        <v>33333333.333333332</v>
      </c>
      <c r="AA408" s="200"/>
      <c r="AB408" s="210"/>
      <c r="AC408" s="210"/>
      <c r="AD408" s="210"/>
      <c r="AE408" s="210"/>
      <c r="AF408" s="210"/>
      <c r="AG408" s="210"/>
      <c r="AH408" s="368"/>
      <c r="AI408" s="368"/>
      <c r="AJ408" s="368">
        <v>0</v>
      </c>
      <c r="AK408" s="210">
        <f t="shared" si="509"/>
        <v>0</v>
      </c>
      <c r="AM408" s="404" t="e">
        <f t="shared" si="495"/>
        <v>#DIV/0!</v>
      </c>
      <c r="AN408" s="404" t="e">
        <f t="shared" si="496"/>
        <v>#DIV/0!</v>
      </c>
      <c r="AO408" s="404" t="e">
        <f t="shared" si="497"/>
        <v>#DIV/0!</v>
      </c>
      <c r="AP408" s="404" t="e">
        <f t="shared" si="498"/>
        <v>#DIV/0!</v>
      </c>
      <c r="AQ408" s="404" t="e">
        <f t="shared" si="499"/>
        <v>#DIV/0!</v>
      </c>
      <c r="AR408" s="404" t="e">
        <f t="shared" si="500"/>
        <v>#DIV/0!</v>
      </c>
      <c r="AS408" s="404" t="e">
        <f t="shared" si="501"/>
        <v>#DIV/0!</v>
      </c>
      <c r="AT408" s="404" t="e">
        <f t="shared" si="502"/>
        <v>#DIV/0!</v>
      </c>
      <c r="AU408" s="404" t="e">
        <f t="shared" si="503"/>
        <v>#DIV/0!</v>
      </c>
      <c r="AV408" s="404">
        <f t="shared" si="504"/>
        <v>-1</v>
      </c>
      <c r="AW408" s="404">
        <f t="shared" si="505"/>
        <v>-1</v>
      </c>
    </row>
    <row r="409" spans="1:49" ht="30" x14ac:dyDescent="0.25">
      <c r="A409" s="341">
        <v>23602</v>
      </c>
      <c r="B409" s="342" t="s">
        <v>1021</v>
      </c>
      <c r="C409" s="368"/>
      <c r="D409" s="368"/>
      <c r="E409" s="368"/>
      <c r="F409" s="368">
        <v>30000000</v>
      </c>
      <c r="G409" s="368">
        <f t="shared" si="494"/>
        <v>30000000</v>
      </c>
      <c r="H409" s="200"/>
      <c r="I409" s="200"/>
      <c r="J409" s="200"/>
      <c r="K409" s="200"/>
      <c r="L409" s="200"/>
      <c r="M409" s="200"/>
      <c r="N409" s="200"/>
      <c r="O409" s="200"/>
      <c r="P409" s="200"/>
      <c r="Q409" s="200"/>
      <c r="R409" s="200">
        <v>10000000</v>
      </c>
      <c r="S409" s="200">
        <v>10000000</v>
      </c>
      <c r="T409" s="200">
        <v>10000000</v>
      </c>
      <c r="U409" s="397">
        <f t="shared" si="510"/>
        <v>10000000</v>
      </c>
      <c r="V409" s="63">
        <f t="shared" si="511"/>
        <v>30000000</v>
      </c>
      <c r="W409" s="396">
        <f t="shared" si="512"/>
        <v>30000000</v>
      </c>
      <c r="X409" s="396">
        <f t="shared" si="513"/>
        <v>0</v>
      </c>
      <c r="Y409" s="396">
        <f t="shared" si="515"/>
        <v>10000000</v>
      </c>
      <c r="AA409" s="200"/>
      <c r="AB409" s="210"/>
      <c r="AC409" s="210"/>
      <c r="AD409" s="210"/>
      <c r="AE409" s="210"/>
      <c r="AF409" s="210"/>
      <c r="AG409" s="210"/>
      <c r="AH409" s="368"/>
      <c r="AI409" s="368"/>
      <c r="AJ409" s="368">
        <v>0</v>
      </c>
      <c r="AK409" s="210">
        <f t="shared" si="509"/>
        <v>0</v>
      </c>
      <c r="AM409" s="404" t="e">
        <f t="shared" si="495"/>
        <v>#DIV/0!</v>
      </c>
      <c r="AN409" s="404" t="e">
        <f t="shared" si="496"/>
        <v>#DIV/0!</v>
      </c>
      <c r="AO409" s="404" t="e">
        <f t="shared" si="497"/>
        <v>#DIV/0!</v>
      </c>
      <c r="AP409" s="404" t="e">
        <f t="shared" si="498"/>
        <v>#DIV/0!</v>
      </c>
      <c r="AQ409" s="404" t="e">
        <f t="shared" si="499"/>
        <v>#DIV/0!</v>
      </c>
      <c r="AR409" s="404" t="e">
        <f t="shared" si="500"/>
        <v>#DIV/0!</v>
      </c>
      <c r="AS409" s="404" t="e">
        <f t="shared" si="501"/>
        <v>#DIV/0!</v>
      </c>
      <c r="AT409" s="404" t="e">
        <f t="shared" si="502"/>
        <v>#DIV/0!</v>
      </c>
      <c r="AU409" s="404" t="e">
        <f t="shared" si="503"/>
        <v>#DIV/0!</v>
      </c>
      <c r="AV409" s="404">
        <f t="shared" si="504"/>
        <v>-1</v>
      </c>
      <c r="AW409" s="404">
        <f t="shared" si="505"/>
        <v>-1</v>
      </c>
    </row>
    <row r="410" spans="1:49" ht="30" x14ac:dyDescent="0.25">
      <c r="A410" s="341">
        <v>23603</v>
      </c>
      <c r="B410" s="342" t="s">
        <v>1022</v>
      </c>
      <c r="C410" s="368"/>
      <c r="D410" s="368">
        <v>400000000</v>
      </c>
      <c r="E410" s="368"/>
      <c r="F410" s="368">
        <v>99142109</v>
      </c>
      <c r="G410" s="368">
        <f t="shared" si="494"/>
        <v>499142109</v>
      </c>
      <c r="H410" s="200"/>
      <c r="I410" s="200"/>
      <c r="J410" s="200"/>
      <c r="K410" s="200"/>
      <c r="L410" s="200"/>
      <c r="M410" s="200"/>
      <c r="N410" s="200"/>
      <c r="O410" s="200"/>
      <c r="P410" s="200"/>
      <c r="Q410" s="200"/>
      <c r="R410" s="200">
        <v>166380703</v>
      </c>
      <c r="S410" s="200">
        <v>166380703</v>
      </c>
      <c r="T410" s="200">
        <v>166380703</v>
      </c>
      <c r="U410" s="397">
        <f t="shared" si="510"/>
        <v>166380703</v>
      </c>
      <c r="V410" s="63">
        <f t="shared" si="511"/>
        <v>499142109</v>
      </c>
      <c r="W410" s="396">
        <f t="shared" si="512"/>
        <v>499142109</v>
      </c>
      <c r="X410" s="396">
        <f t="shared" si="513"/>
        <v>0</v>
      </c>
      <c r="Y410" s="396">
        <f t="shared" si="515"/>
        <v>166380703</v>
      </c>
      <c r="AA410" s="200"/>
      <c r="AB410" s="210"/>
      <c r="AC410" s="210"/>
      <c r="AD410" s="210"/>
      <c r="AE410" s="210"/>
      <c r="AF410" s="210"/>
      <c r="AG410" s="210"/>
      <c r="AH410" s="368"/>
      <c r="AI410" s="368"/>
      <c r="AJ410" s="368">
        <v>0</v>
      </c>
      <c r="AK410" s="210">
        <f t="shared" si="509"/>
        <v>0</v>
      </c>
      <c r="AM410" s="404" t="e">
        <f t="shared" si="495"/>
        <v>#DIV/0!</v>
      </c>
      <c r="AN410" s="404" t="e">
        <f t="shared" si="496"/>
        <v>#DIV/0!</v>
      </c>
      <c r="AO410" s="404" t="e">
        <f t="shared" si="497"/>
        <v>#DIV/0!</v>
      </c>
      <c r="AP410" s="404" t="e">
        <f t="shared" si="498"/>
        <v>#DIV/0!</v>
      </c>
      <c r="AQ410" s="404" t="e">
        <f t="shared" si="499"/>
        <v>#DIV/0!</v>
      </c>
      <c r="AR410" s="404" t="e">
        <f t="shared" si="500"/>
        <v>#DIV/0!</v>
      </c>
      <c r="AS410" s="404" t="e">
        <f t="shared" si="501"/>
        <v>#DIV/0!</v>
      </c>
      <c r="AT410" s="404" t="e">
        <f t="shared" si="502"/>
        <v>#DIV/0!</v>
      </c>
      <c r="AU410" s="404" t="e">
        <f t="shared" si="503"/>
        <v>#DIV/0!</v>
      </c>
      <c r="AV410" s="404">
        <f t="shared" si="504"/>
        <v>-1</v>
      </c>
      <c r="AW410" s="404">
        <f t="shared" si="505"/>
        <v>-1</v>
      </c>
    </row>
    <row r="411" spans="1:49" x14ac:dyDescent="0.25">
      <c r="A411" s="341">
        <v>23604</v>
      </c>
      <c r="B411" s="342" t="s">
        <v>1023</v>
      </c>
      <c r="C411" s="368"/>
      <c r="D411" s="368">
        <v>394000000</v>
      </c>
      <c r="E411" s="368"/>
      <c r="F411" s="368">
        <v>193800000</v>
      </c>
      <c r="G411" s="368">
        <f t="shared" si="494"/>
        <v>587800000</v>
      </c>
      <c r="H411" s="200"/>
      <c r="I411" s="200"/>
      <c r="J411" s="200"/>
      <c r="K411" s="200"/>
      <c r="L411" s="200"/>
      <c r="M411" s="200"/>
      <c r="N411" s="200"/>
      <c r="O411" s="200"/>
      <c r="P411" s="200"/>
      <c r="Q411" s="200"/>
      <c r="R411" s="200">
        <v>195933333.33333334</v>
      </c>
      <c r="S411" s="200">
        <v>195933333.33333334</v>
      </c>
      <c r="T411" s="200">
        <v>195933333.33333334</v>
      </c>
      <c r="U411" s="397">
        <f t="shared" si="510"/>
        <v>195933333.33333334</v>
      </c>
      <c r="V411" s="63">
        <f t="shared" si="511"/>
        <v>587800000</v>
      </c>
      <c r="W411" s="396">
        <f t="shared" si="512"/>
        <v>587800000</v>
      </c>
      <c r="X411" s="396">
        <f t="shared" si="513"/>
        <v>0</v>
      </c>
      <c r="Y411" s="396">
        <f t="shared" si="515"/>
        <v>195933333.33333334</v>
      </c>
      <c r="AA411" s="200"/>
      <c r="AB411" s="210"/>
      <c r="AC411" s="210"/>
      <c r="AD411" s="210"/>
      <c r="AE411" s="210"/>
      <c r="AF411" s="210"/>
      <c r="AG411" s="210"/>
      <c r="AH411" s="368"/>
      <c r="AI411" s="368"/>
      <c r="AJ411" s="368">
        <v>0</v>
      </c>
      <c r="AK411" s="210">
        <f t="shared" si="509"/>
        <v>0</v>
      </c>
      <c r="AM411" s="404" t="e">
        <f t="shared" si="495"/>
        <v>#DIV/0!</v>
      </c>
      <c r="AN411" s="404" t="e">
        <f t="shared" si="496"/>
        <v>#DIV/0!</v>
      </c>
      <c r="AO411" s="404" t="e">
        <f t="shared" si="497"/>
        <v>#DIV/0!</v>
      </c>
      <c r="AP411" s="404" t="e">
        <f t="shared" si="498"/>
        <v>#DIV/0!</v>
      </c>
      <c r="AQ411" s="404" t="e">
        <f t="shared" si="499"/>
        <v>#DIV/0!</v>
      </c>
      <c r="AR411" s="404" t="e">
        <f t="shared" si="500"/>
        <v>#DIV/0!</v>
      </c>
      <c r="AS411" s="404" t="e">
        <f t="shared" si="501"/>
        <v>#DIV/0!</v>
      </c>
      <c r="AT411" s="404" t="e">
        <f t="shared" si="502"/>
        <v>#DIV/0!</v>
      </c>
      <c r="AU411" s="404" t="e">
        <f t="shared" si="503"/>
        <v>#DIV/0!</v>
      </c>
      <c r="AV411" s="404">
        <f t="shared" si="504"/>
        <v>-1</v>
      </c>
      <c r="AW411" s="404">
        <f t="shared" si="505"/>
        <v>-1</v>
      </c>
    </row>
    <row r="412" spans="1:49" x14ac:dyDescent="0.25">
      <c r="A412" s="341">
        <v>23605</v>
      </c>
      <c r="B412" s="342" t="s">
        <v>1024</v>
      </c>
      <c r="C412" s="368"/>
      <c r="D412" s="368"/>
      <c r="E412" s="368"/>
      <c r="F412" s="368">
        <v>70000000</v>
      </c>
      <c r="G412" s="368">
        <f t="shared" si="494"/>
        <v>70000000</v>
      </c>
      <c r="H412" s="200"/>
      <c r="I412" s="200"/>
      <c r="J412" s="200"/>
      <c r="K412" s="200"/>
      <c r="L412" s="200"/>
      <c r="M412" s="200"/>
      <c r="N412" s="200"/>
      <c r="O412" s="200"/>
      <c r="P412" s="200"/>
      <c r="Q412" s="200"/>
      <c r="R412" s="200">
        <v>23333333.333333332</v>
      </c>
      <c r="S412" s="200">
        <v>23333333.333333332</v>
      </c>
      <c r="T412" s="200">
        <v>23333333.333333332</v>
      </c>
      <c r="U412" s="397">
        <f t="shared" si="510"/>
        <v>23333333.333333332</v>
      </c>
      <c r="V412" s="63">
        <f t="shared" si="511"/>
        <v>70000000</v>
      </c>
      <c r="W412" s="396">
        <f t="shared" si="512"/>
        <v>70000000</v>
      </c>
      <c r="X412" s="396">
        <f t="shared" si="513"/>
        <v>0</v>
      </c>
      <c r="Y412" s="396">
        <f t="shared" si="515"/>
        <v>23333333.333333332</v>
      </c>
      <c r="AA412" s="200"/>
      <c r="AB412" s="210"/>
      <c r="AC412" s="210"/>
      <c r="AD412" s="210"/>
      <c r="AE412" s="210"/>
      <c r="AF412" s="210"/>
      <c r="AG412" s="210"/>
      <c r="AH412" s="368"/>
      <c r="AI412" s="368"/>
      <c r="AJ412" s="368">
        <v>0</v>
      </c>
      <c r="AK412" s="210">
        <f t="shared" si="509"/>
        <v>0</v>
      </c>
      <c r="AM412" s="404" t="e">
        <f t="shared" si="495"/>
        <v>#DIV/0!</v>
      </c>
      <c r="AN412" s="404" t="e">
        <f t="shared" si="496"/>
        <v>#DIV/0!</v>
      </c>
      <c r="AO412" s="404" t="e">
        <f t="shared" si="497"/>
        <v>#DIV/0!</v>
      </c>
      <c r="AP412" s="404" t="e">
        <f t="shared" si="498"/>
        <v>#DIV/0!</v>
      </c>
      <c r="AQ412" s="404" t="e">
        <f t="shared" si="499"/>
        <v>#DIV/0!</v>
      </c>
      <c r="AR412" s="404" t="e">
        <f t="shared" si="500"/>
        <v>#DIV/0!</v>
      </c>
      <c r="AS412" s="404" t="e">
        <f t="shared" si="501"/>
        <v>#DIV/0!</v>
      </c>
      <c r="AT412" s="404" t="e">
        <f t="shared" si="502"/>
        <v>#DIV/0!</v>
      </c>
      <c r="AU412" s="404" t="e">
        <f t="shared" si="503"/>
        <v>#DIV/0!</v>
      </c>
      <c r="AV412" s="404">
        <f t="shared" si="504"/>
        <v>-1</v>
      </c>
      <c r="AW412" s="404">
        <f t="shared" si="505"/>
        <v>-1</v>
      </c>
    </row>
    <row r="413" spans="1:49" s="70" customFormat="1" x14ac:dyDescent="0.25">
      <c r="A413" s="69"/>
      <c r="B413" s="69"/>
      <c r="C413" s="69"/>
      <c r="D413" s="69"/>
      <c r="E413" s="69"/>
      <c r="F413" s="69"/>
      <c r="G413" s="69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69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</row>
    <row r="414" spans="1:49" ht="18.75" x14ac:dyDescent="0.3">
      <c r="A414" s="228" t="s">
        <v>932</v>
      </c>
      <c r="B414" s="67"/>
    </row>
    <row r="415" spans="1:49" ht="60" x14ac:dyDescent="0.25">
      <c r="A415" s="203" t="s">
        <v>651</v>
      </c>
      <c r="B415" s="429" t="s">
        <v>652</v>
      </c>
      <c r="C415" s="430"/>
      <c r="D415" s="430"/>
      <c r="E415" s="430"/>
      <c r="F415" s="430"/>
      <c r="G415" s="431"/>
      <c r="H415" s="213" t="s">
        <v>653</v>
      </c>
      <c r="I415" s="203" t="s">
        <v>654</v>
      </c>
      <c r="J415" s="203" t="s">
        <v>655</v>
      </c>
      <c r="K415" s="203" t="s">
        <v>656</v>
      </c>
      <c r="L415" s="203" t="s">
        <v>657</v>
      </c>
      <c r="M415" s="203" t="s">
        <v>658</v>
      </c>
      <c r="N415" s="203" t="s">
        <v>659</v>
      </c>
      <c r="O415" s="203" t="s">
        <v>660</v>
      </c>
      <c r="P415" s="203" t="s">
        <v>661</v>
      </c>
      <c r="Q415" s="203" t="s">
        <v>662</v>
      </c>
      <c r="R415" s="203" t="s">
        <v>663</v>
      </c>
      <c r="S415" s="203" t="s">
        <v>664</v>
      </c>
      <c r="T415" s="203" t="s">
        <v>665</v>
      </c>
      <c r="U415" s="203" t="s">
        <v>1041</v>
      </c>
      <c r="V415" s="212" t="s">
        <v>666</v>
      </c>
      <c r="W415" s="395"/>
      <c r="X415" s="395"/>
      <c r="Y415" s="395"/>
      <c r="AA415" s="45" t="s">
        <v>918</v>
      </c>
      <c r="AB415" s="45" t="s">
        <v>919</v>
      </c>
      <c r="AC415" s="45" t="s">
        <v>920</v>
      </c>
      <c r="AD415" s="45" t="s">
        <v>921</v>
      </c>
      <c r="AE415" s="45" t="s">
        <v>922</v>
      </c>
      <c r="AF415" s="45" t="s">
        <v>923</v>
      </c>
      <c r="AG415" s="45" t="s">
        <v>924</v>
      </c>
      <c r="AH415" s="203" t="s">
        <v>1011</v>
      </c>
      <c r="AI415" s="203" t="s">
        <v>1012</v>
      </c>
      <c r="AJ415" s="203" t="s">
        <v>1042</v>
      </c>
      <c r="AK415" s="203" t="s">
        <v>1043</v>
      </c>
      <c r="AL415" s="385"/>
      <c r="AM415" s="403" t="s">
        <v>925</v>
      </c>
      <c r="AN415" s="403" t="s">
        <v>926</v>
      </c>
      <c r="AO415" s="403" t="s">
        <v>927</v>
      </c>
      <c r="AP415" s="403" t="s">
        <v>928</v>
      </c>
      <c r="AQ415" s="403" t="s">
        <v>929</v>
      </c>
      <c r="AR415" s="403" t="s">
        <v>930</v>
      </c>
      <c r="AS415" s="403" t="s">
        <v>931</v>
      </c>
      <c r="AT415" s="403" t="s">
        <v>1026</v>
      </c>
      <c r="AU415" s="403" t="s">
        <v>1027</v>
      </c>
      <c r="AV415" s="403" t="s">
        <v>1028</v>
      </c>
      <c r="AW415" s="403" t="s">
        <v>1030</v>
      </c>
    </row>
    <row r="416" spans="1:49" s="70" customFormat="1" x14ac:dyDescent="0.25">
      <c r="A416" s="215" t="s">
        <v>668</v>
      </c>
      <c r="B416" s="432" t="s">
        <v>6</v>
      </c>
      <c r="C416" s="432"/>
      <c r="D416" s="432"/>
      <c r="E416" s="432"/>
      <c r="F416" s="432"/>
      <c r="G416" s="432"/>
      <c r="H416" s="216"/>
      <c r="I416" s="217">
        <f t="shared" ref="I416:U416" si="516">+I2</f>
        <v>9678701223.0830956</v>
      </c>
      <c r="J416" s="217">
        <f t="shared" si="516"/>
        <v>16363372119.137642</v>
      </c>
      <c r="K416" s="217">
        <f t="shared" si="516"/>
        <v>12117171348.457642</v>
      </c>
      <c r="L416" s="217">
        <f t="shared" si="516"/>
        <v>11833153345.022085</v>
      </c>
      <c r="M416" s="217">
        <f t="shared" si="516"/>
        <v>11489525002.902084</v>
      </c>
      <c r="N416" s="217">
        <f t="shared" si="516"/>
        <v>14172610781.053753</v>
      </c>
      <c r="O416" s="217">
        <f t="shared" si="516"/>
        <v>11624815565.693989</v>
      </c>
      <c r="P416" s="217">
        <f t="shared" si="516"/>
        <v>14120235872.552561</v>
      </c>
      <c r="Q416" s="217">
        <f t="shared" si="516"/>
        <v>12415304439.43256</v>
      </c>
      <c r="R416" s="217">
        <f t="shared" si="516"/>
        <v>13753094346.059227</v>
      </c>
      <c r="S416" s="217">
        <f t="shared" si="516"/>
        <v>14231754227.289227</v>
      </c>
      <c r="T416" s="217">
        <f t="shared" si="516"/>
        <v>20212929395.23756</v>
      </c>
      <c r="U416" s="217">
        <f t="shared" si="516"/>
        <v>127567984043.39464</v>
      </c>
      <c r="V416" s="214"/>
      <c r="W416" s="214"/>
      <c r="X416" s="214"/>
      <c r="Y416" s="214"/>
      <c r="Z416" s="214"/>
      <c r="AA416" s="217">
        <f t="shared" ref="AA416:AG419" si="517">+AA2</f>
        <v>5824471472.54</v>
      </c>
      <c r="AB416" s="217">
        <f t="shared" si="517"/>
        <v>11217366423.65</v>
      </c>
      <c r="AC416" s="217">
        <f t="shared" si="517"/>
        <v>9348008282.5499992</v>
      </c>
      <c r="AD416" s="217">
        <f t="shared" si="517"/>
        <v>7671076168.04</v>
      </c>
      <c r="AE416" s="217">
        <f t="shared" si="517"/>
        <v>9151162949.0599995</v>
      </c>
      <c r="AF416" s="217">
        <f t="shared" si="517"/>
        <v>13328431334.610001</v>
      </c>
      <c r="AG416" s="217">
        <f t="shared" si="517"/>
        <v>10017016841.58</v>
      </c>
      <c r="AH416" s="217">
        <f t="shared" ref="AH416:AJ416" si="518">+AH2</f>
        <v>9394861634.0799999</v>
      </c>
      <c r="AI416" s="217">
        <f t="shared" si="518"/>
        <v>9645107760.3899994</v>
      </c>
      <c r="AJ416" s="217">
        <f t="shared" si="518"/>
        <v>9107929886.2099991</v>
      </c>
      <c r="AK416" s="217">
        <f>+AK2</f>
        <v>94705432752.710007</v>
      </c>
      <c r="AM416" s="225">
        <f t="shared" ref="AM416:AS419" si="519">+AM2</f>
        <v>-0.39821765975697226</v>
      </c>
      <c r="AN416" s="225">
        <f t="shared" si="519"/>
        <v>-0.31448320419659559</v>
      </c>
      <c r="AO416" s="225">
        <f t="shared" si="519"/>
        <v>-0.22853213726816868</v>
      </c>
      <c r="AP416" s="225">
        <f t="shared" si="519"/>
        <v>-0.35173018177212823</v>
      </c>
      <c r="AQ416" s="225">
        <f t="shared" si="519"/>
        <v>-0.20352121199540008</v>
      </c>
      <c r="AR416" s="225">
        <f t="shared" si="519"/>
        <v>-5.9564145201268723E-2</v>
      </c>
      <c r="AS416" s="225">
        <f t="shared" si="519"/>
        <v>-0.13830746088211207</v>
      </c>
      <c r="AT416" s="225">
        <f t="shared" ref="AT416:AV416" si="520">+AT2</f>
        <v>-0.33465264186258525</v>
      </c>
      <c r="AU416" s="225">
        <f t="shared" si="520"/>
        <v>-0.22312756747583809</v>
      </c>
      <c r="AV416" s="225">
        <f t="shared" si="520"/>
        <v>-0.33775413321295511</v>
      </c>
      <c r="AW416" s="225">
        <f>+AW2</f>
        <v>5.6545157568217004</v>
      </c>
    </row>
    <row r="417" spans="1:49" x14ac:dyDescent="0.25">
      <c r="A417" s="215">
        <v>21</v>
      </c>
      <c r="B417" s="432" t="s">
        <v>7</v>
      </c>
      <c r="C417" s="432"/>
      <c r="D417" s="432"/>
      <c r="E417" s="432"/>
      <c r="F417" s="432"/>
      <c r="G417" s="432"/>
      <c r="H417" s="216"/>
      <c r="I417" s="217">
        <f t="shared" ref="I417:U417" si="521">+I3</f>
        <v>8778668609.9164295</v>
      </c>
      <c r="J417" s="217">
        <f t="shared" si="521"/>
        <v>14742554730.806429</v>
      </c>
      <c r="K417" s="217">
        <f t="shared" si="521"/>
        <v>8895891126.0964298</v>
      </c>
      <c r="L417" s="217">
        <f t="shared" si="521"/>
        <v>8744648190.2164288</v>
      </c>
      <c r="M417" s="217">
        <f t="shared" si="521"/>
        <v>8740019848.0964279</v>
      </c>
      <c r="N417" s="217">
        <f t="shared" si="521"/>
        <v>11695605626.248096</v>
      </c>
      <c r="O417" s="217">
        <f t="shared" si="521"/>
        <v>8214331463.9766665</v>
      </c>
      <c r="P417" s="217">
        <f t="shared" si="521"/>
        <v>8936493786.775238</v>
      </c>
      <c r="Q417" s="217">
        <f t="shared" si="521"/>
        <v>8916243133.6552372</v>
      </c>
      <c r="R417" s="217">
        <f t="shared" si="521"/>
        <v>9092732469.5852375</v>
      </c>
      <c r="S417" s="217">
        <f t="shared" si="521"/>
        <v>9169684956.8452377</v>
      </c>
      <c r="T417" s="217">
        <f t="shared" si="521"/>
        <v>16095989676.05357</v>
      </c>
      <c r="U417" s="217">
        <f t="shared" si="521"/>
        <v>96757188985.37262</v>
      </c>
      <c r="V417" s="214"/>
      <c r="W417" s="214"/>
      <c r="X417" s="214"/>
      <c r="Y417" s="214"/>
      <c r="Z417" s="214"/>
      <c r="AA417" s="217">
        <f t="shared" si="517"/>
        <v>5746336723.54</v>
      </c>
      <c r="AB417" s="217">
        <f t="shared" si="517"/>
        <v>10969964150.65</v>
      </c>
      <c r="AC417" s="217">
        <f t="shared" si="517"/>
        <v>8798014705.5499992</v>
      </c>
      <c r="AD417" s="217">
        <f t="shared" si="517"/>
        <v>7073421288.1599998</v>
      </c>
      <c r="AE417" s="217">
        <f t="shared" si="517"/>
        <v>8808000563.0599995</v>
      </c>
      <c r="AF417" s="217">
        <f t="shared" si="517"/>
        <v>12357072839.91</v>
      </c>
      <c r="AG417" s="217">
        <f t="shared" si="517"/>
        <v>8443207243.1899996</v>
      </c>
      <c r="AH417" s="217">
        <f t="shared" ref="AH417:AJ417" si="522">+AH3</f>
        <v>8191098238.9799995</v>
      </c>
      <c r="AI417" s="217">
        <f t="shared" si="522"/>
        <v>7628010644.3899994</v>
      </c>
      <c r="AJ417" s="217">
        <f t="shared" si="522"/>
        <v>7212381767.5</v>
      </c>
      <c r="AK417" s="217">
        <f>+AK3</f>
        <v>85227508164.930008</v>
      </c>
      <c r="AL417" s="70"/>
      <c r="AM417" s="225">
        <f t="shared" si="519"/>
        <v>-0.34542047560049044</v>
      </c>
      <c r="AN417" s="225">
        <f t="shared" si="519"/>
        <v>-0.25589802100399361</v>
      </c>
      <c r="AO417" s="225">
        <f t="shared" si="519"/>
        <v>-1.1002430128591215E-2</v>
      </c>
      <c r="AP417" s="225">
        <f t="shared" si="519"/>
        <v>-0.19111425247801378</v>
      </c>
      <c r="AQ417" s="225">
        <f t="shared" si="519"/>
        <v>7.7780961765639145E-3</v>
      </c>
      <c r="AR417" s="225">
        <f t="shared" si="519"/>
        <v>5.6556901352538116E-2</v>
      </c>
      <c r="AS417" s="225">
        <f t="shared" si="519"/>
        <v>2.7862983155360926E-2</v>
      </c>
      <c r="AT417" s="225">
        <f t="shared" ref="AT417:AV417" si="523">+AT3</f>
        <v>-8.3410291058258187E-2</v>
      </c>
      <c r="AU417" s="225">
        <f t="shared" si="523"/>
        <v>-0.14448153442593747</v>
      </c>
      <c r="AV417" s="225">
        <f t="shared" si="523"/>
        <v>-0.20679709959299059</v>
      </c>
      <c r="AW417" s="225">
        <f>+AW3</f>
        <v>8.294485968278229</v>
      </c>
    </row>
    <row r="418" spans="1:49" x14ac:dyDescent="0.25">
      <c r="A418" s="218">
        <v>211</v>
      </c>
      <c r="B418" s="433" t="s">
        <v>8</v>
      </c>
      <c r="C418" s="433"/>
      <c r="D418" s="433"/>
      <c r="E418" s="433"/>
      <c r="F418" s="433"/>
      <c r="G418" s="433"/>
      <c r="H418" s="219"/>
      <c r="I418" s="220">
        <f t="shared" ref="I418:U418" si="524">+I4</f>
        <v>7888881119.6916676</v>
      </c>
      <c r="J418" s="220">
        <f t="shared" si="524"/>
        <v>8190764568.5816679</v>
      </c>
      <c r="K418" s="220">
        <f t="shared" si="524"/>
        <v>7893027854.3716679</v>
      </c>
      <c r="L418" s="220">
        <f t="shared" si="524"/>
        <v>7951902366.4916668</v>
      </c>
      <c r="M418" s="220">
        <f t="shared" si="524"/>
        <v>7658524901.3716669</v>
      </c>
      <c r="N418" s="220">
        <f t="shared" si="524"/>
        <v>10867118068.901669</v>
      </c>
      <c r="O418" s="220">
        <f t="shared" si="524"/>
        <v>7317486764.2016668</v>
      </c>
      <c r="P418" s="220">
        <f t="shared" si="524"/>
        <v>7980301827.2716675</v>
      </c>
      <c r="Q418" s="220">
        <f t="shared" si="524"/>
        <v>7918125563.6516666</v>
      </c>
      <c r="R418" s="220">
        <f t="shared" si="524"/>
        <v>8174253672.081666</v>
      </c>
      <c r="S418" s="220">
        <f t="shared" si="524"/>
        <v>8135560048.3416672</v>
      </c>
      <c r="T418" s="220">
        <f t="shared" si="524"/>
        <v>15207910845.011665</v>
      </c>
      <c r="U418" s="220">
        <f t="shared" si="524"/>
        <v>81840386706.616669</v>
      </c>
      <c r="V418" s="214"/>
      <c r="W418" s="214"/>
      <c r="X418" s="214"/>
      <c r="Y418" s="214"/>
      <c r="Z418" s="214"/>
      <c r="AA418" s="220">
        <f t="shared" si="517"/>
        <v>5197058370</v>
      </c>
      <c r="AB418" s="220">
        <f t="shared" si="517"/>
        <v>6449358150.1700001</v>
      </c>
      <c r="AC418" s="220">
        <f t="shared" si="517"/>
        <v>7816904309.1999998</v>
      </c>
      <c r="AD418" s="220">
        <f t="shared" si="517"/>
        <v>6691406089</v>
      </c>
      <c r="AE418" s="220">
        <f t="shared" si="517"/>
        <v>8131861672</v>
      </c>
      <c r="AF418" s="220">
        <f t="shared" si="517"/>
        <v>11261616813.279999</v>
      </c>
      <c r="AG418" s="220">
        <f t="shared" si="517"/>
        <v>7631795083</v>
      </c>
      <c r="AH418" s="220">
        <f t="shared" ref="AH418:AJ418" si="525">+AH4</f>
        <v>7572889992</v>
      </c>
      <c r="AI418" s="220">
        <f t="shared" si="525"/>
        <v>7104637236.3999996</v>
      </c>
      <c r="AJ418" s="220">
        <f t="shared" si="525"/>
        <v>6613265119</v>
      </c>
      <c r="AK418" s="220">
        <f>+AK4</f>
        <v>74470792834.050003</v>
      </c>
      <c r="AL418" s="70"/>
      <c r="AM418" s="226">
        <f t="shared" si="519"/>
        <v>-0.34121730431106762</v>
      </c>
      <c r="AN418" s="226">
        <f t="shared" si="519"/>
        <v>-0.21260608870280517</v>
      </c>
      <c r="AO418" s="226">
        <f t="shared" si="519"/>
        <v>-9.644403462925312E-3</v>
      </c>
      <c r="AP418" s="226">
        <f t="shared" si="519"/>
        <v>-0.15851505959168238</v>
      </c>
      <c r="AQ418" s="226">
        <f t="shared" si="519"/>
        <v>6.1805214022814879E-2</v>
      </c>
      <c r="AR418" s="226">
        <f t="shared" si="519"/>
        <v>3.6302057443110297E-2</v>
      </c>
      <c r="AS418" s="226">
        <f t="shared" si="519"/>
        <v>4.2953042339069269E-2</v>
      </c>
      <c r="AT418" s="226">
        <f t="shared" ref="AT418:AV418" si="526">+AT4</f>
        <v>-5.1052183750668341E-2</v>
      </c>
      <c r="AU418" s="226">
        <f t="shared" si="526"/>
        <v>-0.10273748764303556</v>
      </c>
      <c r="AV418" s="226">
        <f t="shared" si="526"/>
        <v>-0.19096404585694032</v>
      </c>
      <c r="AW418" s="226">
        <f>+AW4</f>
        <v>8.1537389425611764</v>
      </c>
    </row>
    <row r="419" spans="1:49" s="70" customFormat="1" x14ac:dyDescent="0.25">
      <c r="A419" s="221">
        <v>2111</v>
      </c>
      <c r="B419" s="428" t="s">
        <v>9</v>
      </c>
      <c r="C419" s="428"/>
      <c r="D419" s="428"/>
      <c r="E419" s="428"/>
      <c r="F419" s="428"/>
      <c r="G419" s="428"/>
      <c r="H419" s="223"/>
      <c r="I419" s="224">
        <f t="shared" ref="I419:U419" si="527">+I5</f>
        <v>5915444291.0600004</v>
      </c>
      <c r="J419" s="224">
        <f t="shared" si="527"/>
        <v>5784910739.9500008</v>
      </c>
      <c r="K419" s="224">
        <f t="shared" si="527"/>
        <v>5254834971.8400011</v>
      </c>
      <c r="L419" s="224">
        <f t="shared" si="527"/>
        <v>5614557910.8299999</v>
      </c>
      <c r="M419" s="224">
        <f t="shared" si="527"/>
        <v>5202138094.21</v>
      </c>
      <c r="N419" s="224">
        <f t="shared" si="527"/>
        <v>8500736284.7400007</v>
      </c>
      <c r="O419" s="224">
        <f t="shared" si="527"/>
        <v>5170862818.5699997</v>
      </c>
      <c r="P419" s="224">
        <f t="shared" si="527"/>
        <v>5202891734.7399998</v>
      </c>
      <c r="Q419" s="224">
        <f t="shared" si="527"/>
        <v>5410629862.4899998</v>
      </c>
      <c r="R419" s="224">
        <f t="shared" si="527"/>
        <v>5786350318.4199991</v>
      </c>
      <c r="S419" s="224">
        <f t="shared" si="527"/>
        <v>5788098202.5100002</v>
      </c>
      <c r="T419" s="224">
        <f t="shared" si="527"/>
        <v>12292319706.630001</v>
      </c>
      <c r="U419" s="224">
        <f t="shared" si="527"/>
        <v>57843357026.850006</v>
      </c>
      <c r="V419" s="53"/>
      <c r="W419" s="53"/>
      <c r="X419" s="53"/>
      <c r="Y419" s="53"/>
      <c r="Z419" s="53"/>
      <c r="AA419" s="224">
        <f t="shared" si="517"/>
        <v>4945787153</v>
      </c>
      <c r="AB419" s="224">
        <f t="shared" si="517"/>
        <v>5103654829.1700001</v>
      </c>
      <c r="AC419" s="224">
        <f t="shared" si="517"/>
        <v>6024007130</v>
      </c>
      <c r="AD419" s="224">
        <f t="shared" si="517"/>
        <v>4735114203</v>
      </c>
      <c r="AE419" s="224">
        <f t="shared" si="517"/>
        <v>4673536012</v>
      </c>
      <c r="AF419" s="224">
        <f t="shared" si="517"/>
        <v>8168196645</v>
      </c>
      <c r="AG419" s="224">
        <f t="shared" si="517"/>
        <v>5999134789</v>
      </c>
      <c r="AH419" s="224">
        <f t="shared" ref="AH419:AJ419" si="528">+AH5</f>
        <v>5064448762</v>
      </c>
      <c r="AI419" s="224">
        <f t="shared" si="528"/>
        <v>5628017464</v>
      </c>
      <c r="AJ419" s="224">
        <f t="shared" si="528"/>
        <v>4943441967</v>
      </c>
      <c r="AK419" s="224">
        <f>+AK5</f>
        <v>55285338954.169998</v>
      </c>
      <c r="AL419" s="69"/>
      <c r="AM419" s="227">
        <f t="shared" si="519"/>
        <v>-0.16391957904589541</v>
      </c>
      <c r="AN419" s="227">
        <f t="shared" si="519"/>
        <v>-0.11776429082566775</v>
      </c>
      <c r="AO419" s="227">
        <f t="shared" si="519"/>
        <v>0.1463741796425379</v>
      </c>
      <c r="AP419" s="227">
        <f t="shared" si="519"/>
        <v>-0.15663632325060331</v>
      </c>
      <c r="AQ419" s="227">
        <f t="shared" si="519"/>
        <v>-0.1016124663815319</v>
      </c>
      <c r="AR419" s="227">
        <f t="shared" si="519"/>
        <v>-3.9118922008785924E-2</v>
      </c>
      <c r="AS419" s="227">
        <f t="shared" si="519"/>
        <v>0.16018061191943564</v>
      </c>
      <c r="AT419" s="227">
        <f t="shared" ref="AT419:AV419" si="529">+AT5</f>
        <v>-2.6608851346186638E-2</v>
      </c>
      <c r="AU419" s="227">
        <f t="shared" si="529"/>
        <v>4.0177873377935582E-2</v>
      </c>
      <c r="AV419" s="227">
        <f t="shared" si="529"/>
        <v>-0.14567184927202279</v>
      </c>
      <c r="AW419" s="227">
        <f>+AW5</f>
        <v>8.5515551084111863</v>
      </c>
    </row>
    <row r="420" spans="1:49" s="70" customFormat="1" x14ac:dyDescent="0.25">
      <c r="A420" s="221">
        <v>2112</v>
      </c>
      <c r="B420" s="428" t="s">
        <v>18</v>
      </c>
      <c r="C420" s="428"/>
      <c r="D420" s="428"/>
      <c r="E420" s="428"/>
      <c r="F420" s="428"/>
      <c r="G420" s="428"/>
      <c r="H420" s="222">
        <f t="shared" ref="H420:U420" si="530">+H39</f>
        <v>29245215454.979996</v>
      </c>
      <c r="I420" s="224">
        <f t="shared" si="530"/>
        <v>1973436828.6316671</v>
      </c>
      <c r="J420" s="224">
        <f t="shared" si="530"/>
        <v>2405853828.6316671</v>
      </c>
      <c r="K420" s="224">
        <f t="shared" si="530"/>
        <v>2638192882.5316668</v>
      </c>
      <c r="L420" s="224">
        <f t="shared" si="530"/>
        <v>2337344455.6616669</v>
      </c>
      <c r="M420" s="224">
        <f t="shared" si="530"/>
        <v>2456386807.1616669</v>
      </c>
      <c r="N420" s="224">
        <f t="shared" si="530"/>
        <v>2366381784.1616669</v>
      </c>
      <c r="O420" s="224">
        <f t="shared" si="530"/>
        <v>2146623945.6316671</v>
      </c>
      <c r="P420" s="224">
        <f t="shared" si="530"/>
        <v>2777410092.5316672</v>
      </c>
      <c r="Q420" s="224">
        <f t="shared" si="530"/>
        <v>2507495701.1616669</v>
      </c>
      <c r="R420" s="224">
        <f t="shared" si="530"/>
        <v>2387903353.6616669</v>
      </c>
      <c r="S420" s="224">
        <f t="shared" si="530"/>
        <v>2347461845.8316669</v>
      </c>
      <c r="T420" s="224">
        <f t="shared" si="530"/>
        <v>2915591138.3816633</v>
      </c>
      <c r="U420" s="224">
        <f t="shared" si="530"/>
        <v>23997029679.76667</v>
      </c>
      <c r="V420" s="53"/>
      <c r="W420" s="53"/>
      <c r="X420" s="53"/>
      <c r="Y420" s="53"/>
      <c r="Z420" s="53"/>
      <c r="AA420" s="224">
        <f t="shared" ref="AA420:AG420" si="531">+AA39</f>
        <v>251271217</v>
      </c>
      <c r="AB420" s="224">
        <f t="shared" si="531"/>
        <v>1345703321</v>
      </c>
      <c r="AC420" s="224">
        <f t="shared" si="531"/>
        <v>1792897179.2</v>
      </c>
      <c r="AD420" s="224">
        <f t="shared" si="531"/>
        <v>1956291886</v>
      </c>
      <c r="AE420" s="224">
        <f t="shared" si="531"/>
        <v>3458325660</v>
      </c>
      <c r="AF420" s="224">
        <f t="shared" si="531"/>
        <v>3093420168.2799997</v>
      </c>
      <c r="AG420" s="224">
        <f t="shared" si="531"/>
        <v>1632660294</v>
      </c>
      <c r="AH420" s="224">
        <f t="shared" ref="AH420:AJ420" si="532">+AH39</f>
        <v>2508441230</v>
      </c>
      <c r="AI420" s="224">
        <f t="shared" si="532"/>
        <v>1476619772.4000001</v>
      </c>
      <c r="AJ420" s="224">
        <f t="shared" si="532"/>
        <v>1669823152</v>
      </c>
      <c r="AK420" s="224">
        <f>+AK39</f>
        <v>19185453879.880001</v>
      </c>
      <c r="AL420" s="69"/>
      <c r="AM420" s="227">
        <f t="shared" ref="AM420:AS420" si="533">+AM39</f>
        <v>-0.87267329090324852</v>
      </c>
      <c r="AN420" s="227">
        <f t="shared" si="533"/>
        <v>-0.44065457968185429</v>
      </c>
      <c r="AO420" s="227">
        <f t="shared" si="533"/>
        <v>-0.32040708961374453</v>
      </c>
      <c r="AP420" s="227">
        <f t="shared" si="533"/>
        <v>-0.1630279904781072</v>
      </c>
      <c r="AQ420" s="227">
        <f t="shared" si="533"/>
        <v>0.40789131822282687</v>
      </c>
      <c r="AR420" s="227">
        <f t="shared" si="533"/>
        <v>0.30723630015428777</v>
      </c>
      <c r="AS420" s="227">
        <f t="shared" si="533"/>
        <v>-0.23942882621689371</v>
      </c>
      <c r="AT420" s="227">
        <f t="shared" ref="AT420:AV420" si="534">+AT39</f>
        <v>-9.6841609114517363E-2</v>
      </c>
      <c r="AU420" s="227">
        <f t="shared" si="534"/>
        <v>-0.41111772526034041</v>
      </c>
      <c r="AV420" s="227">
        <f t="shared" si="534"/>
        <v>-0.3007157725041702</v>
      </c>
      <c r="AW420" s="227">
        <f>+AW39</f>
        <v>7.1728501419297457</v>
      </c>
    </row>
    <row r="421" spans="1:49" s="70" customFormat="1" x14ac:dyDescent="0.25">
      <c r="A421" s="218">
        <v>212</v>
      </c>
      <c r="B421" s="433" t="s">
        <v>21</v>
      </c>
      <c r="C421" s="433"/>
      <c r="D421" s="433"/>
      <c r="E421" s="433"/>
      <c r="F421" s="433"/>
      <c r="G421" s="433"/>
      <c r="H421" s="219"/>
      <c r="I421" s="220">
        <f t="shared" ref="I421:U421" si="535">+I59</f>
        <v>797087354.0580951</v>
      </c>
      <c r="J421" s="220">
        <f t="shared" si="535"/>
        <v>2158410312.5580955</v>
      </c>
      <c r="K421" s="220">
        <f t="shared" si="535"/>
        <v>1001196605.0580951</v>
      </c>
      <c r="L421" s="220">
        <f t="shared" si="535"/>
        <v>791079157.05809522</v>
      </c>
      <c r="M421" s="220">
        <f t="shared" si="535"/>
        <v>988794810.5580951</v>
      </c>
      <c r="N421" s="220">
        <f t="shared" si="535"/>
        <v>813243143.89142859</v>
      </c>
      <c r="O421" s="220">
        <f t="shared" si="535"/>
        <v>881600286.31999993</v>
      </c>
      <c r="P421" s="220">
        <f t="shared" si="535"/>
        <v>940635195.04857135</v>
      </c>
      <c r="Q421" s="220">
        <f t="shared" si="535"/>
        <v>891839687.04857135</v>
      </c>
      <c r="R421" s="220">
        <f t="shared" si="535"/>
        <v>903234384.04857135</v>
      </c>
      <c r="S421" s="220">
        <f t="shared" si="535"/>
        <v>1018880495.0485713</v>
      </c>
      <c r="T421" s="220">
        <f t="shared" si="535"/>
        <v>795378694.87523818</v>
      </c>
      <c r="U421" s="220">
        <f t="shared" si="535"/>
        <v>10167120935.647617</v>
      </c>
      <c r="V421" s="214"/>
      <c r="W421" s="214"/>
      <c r="X421" s="214"/>
      <c r="Y421" s="214"/>
      <c r="Z421" s="214"/>
      <c r="AA421" s="220">
        <f t="shared" ref="AA421:AG422" si="536">+AA59</f>
        <v>464110801.54000002</v>
      </c>
      <c r="AB421" s="220">
        <f t="shared" si="536"/>
        <v>441391018.48000002</v>
      </c>
      <c r="AC421" s="220">
        <f t="shared" si="536"/>
        <v>861663215.3499999</v>
      </c>
      <c r="AD421" s="220">
        <f t="shared" si="536"/>
        <v>382015199.15999997</v>
      </c>
      <c r="AE421" s="220">
        <f t="shared" si="536"/>
        <v>546194152.05999994</v>
      </c>
      <c r="AF421" s="220">
        <f t="shared" si="536"/>
        <v>1095087026.6300001</v>
      </c>
      <c r="AG421" s="220">
        <f t="shared" si="536"/>
        <v>687137751.18999994</v>
      </c>
      <c r="AH421" s="220">
        <f t="shared" ref="AH421:AJ421" si="537">+AH59</f>
        <v>615517445.98000002</v>
      </c>
      <c r="AI421" s="220">
        <f t="shared" si="537"/>
        <v>464878536.98999995</v>
      </c>
      <c r="AJ421" s="220">
        <f t="shared" si="537"/>
        <v>577408726.5</v>
      </c>
      <c r="AK421" s="220">
        <f>+AK59</f>
        <v>6135403873.8799992</v>
      </c>
      <c r="AM421" s="226">
        <f t="shared" ref="AM421:AS422" si="538">+AM59</f>
        <v>-0.41774160739454702</v>
      </c>
      <c r="AN421" s="226">
        <f t="shared" si="538"/>
        <v>-0.79550180245531066</v>
      </c>
      <c r="AO421" s="226">
        <f t="shared" si="538"/>
        <v>-0.13936662290220078</v>
      </c>
      <c r="AP421" s="226">
        <f t="shared" si="538"/>
        <v>-0.51709611389502763</v>
      </c>
      <c r="AQ421" s="226">
        <f t="shared" si="538"/>
        <v>-0.44761628375484969</v>
      </c>
      <c r="AR421" s="226">
        <f t="shared" si="538"/>
        <v>0.34656779446049518</v>
      </c>
      <c r="AS421" s="226">
        <f t="shared" si="538"/>
        <v>-0.22057902900840792</v>
      </c>
      <c r="AT421" s="226">
        <f t="shared" ref="AT421:AV421" si="539">+AT59</f>
        <v>-0.34563638568912286</v>
      </c>
      <c r="AU421" s="226">
        <f t="shared" si="539"/>
        <v>-0.47874203879796423</v>
      </c>
      <c r="AV421" s="226">
        <f t="shared" si="539"/>
        <v>-0.36073212369099766</v>
      </c>
      <c r="AW421" s="226">
        <f>+AW59</f>
        <v>5.0217109893614325</v>
      </c>
    </row>
    <row r="422" spans="1:49" s="70" customFormat="1" x14ac:dyDescent="0.25">
      <c r="A422" s="221" t="s">
        <v>942</v>
      </c>
      <c r="B422" s="428" t="s">
        <v>22</v>
      </c>
      <c r="C422" s="428"/>
      <c r="D422" s="428"/>
      <c r="E422" s="428"/>
      <c r="F422" s="428"/>
      <c r="G422" s="428"/>
      <c r="H422" s="223"/>
      <c r="I422" s="224">
        <f t="shared" ref="I422:U422" si="540">+I60</f>
        <v>20416666.666666668</v>
      </c>
      <c r="J422" s="224">
        <f t="shared" si="540"/>
        <v>149024123.16666669</v>
      </c>
      <c r="K422" s="224">
        <f t="shared" si="540"/>
        <v>88801473.166666672</v>
      </c>
      <c r="L422" s="224">
        <f t="shared" si="540"/>
        <v>87701473.166666672</v>
      </c>
      <c r="M422" s="224">
        <f t="shared" si="540"/>
        <v>87924123.166666672</v>
      </c>
      <c r="N422" s="224">
        <f t="shared" si="540"/>
        <v>159072456.5</v>
      </c>
      <c r="O422" s="224">
        <f t="shared" si="540"/>
        <v>137429598.92857143</v>
      </c>
      <c r="P422" s="224">
        <f t="shared" si="540"/>
        <v>115646327.92857143</v>
      </c>
      <c r="Q422" s="224">
        <f t="shared" si="540"/>
        <v>116972833.92857143</v>
      </c>
      <c r="R422" s="224">
        <f t="shared" si="540"/>
        <v>135293571.42857143</v>
      </c>
      <c r="S422" s="224">
        <f t="shared" si="540"/>
        <v>245796786.4285714</v>
      </c>
      <c r="T422" s="224">
        <f t="shared" si="540"/>
        <v>46315412.095238097</v>
      </c>
      <c r="U422" s="224">
        <f t="shared" si="540"/>
        <v>1098282648.0476191</v>
      </c>
      <c r="V422" s="53"/>
      <c r="W422" s="53"/>
      <c r="X422" s="53"/>
      <c r="Y422" s="53"/>
      <c r="Z422" s="53"/>
      <c r="AA422" s="224">
        <f t="shared" si="536"/>
        <v>16200000</v>
      </c>
      <c r="AB422" s="224">
        <f t="shared" si="536"/>
        <v>133479361</v>
      </c>
      <c r="AC422" s="224">
        <f t="shared" si="536"/>
        <v>169854914</v>
      </c>
      <c r="AD422" s="224">
        <f t="shared" si="536"/>
        <v>6109864</v>
      </c>
      <c r="AE422" s="224">
        <f t="shared" si="536"/>
        <v>168948742</v>
      </c>
      <c r="AF422" s="224">
        <f t="shared" si="536"/>
        <v>4429501</v>
      </c>
      <c r="AG422" s="224">
        <f t="shared" si="536"/>
        <v>7836896</v>
      </c>
      <c r="AH422" s="224">
        <f t="shared" ref="AH422:AJ422" si="541">+AH60</f>
        <v>74786396</v>
      </c>
      <c r="AI422" s="224">
        <f t="shared" si="541"/>
        <v>9161550</v>
      </c>
      <c r="AJ422" s="224">
        <f t="shared" si="541"/>
        <v>52234612</v>
      </c>
      <c r="AK422" s="224">
        <f>+AK60</f>
        <v>643041836</v>
      </c>
      <c r="AL422" s="69"/>
      <c r="AM422" s="227">
        <f t="shared" si="538"/>
        <v>-0.20653061224489802</v>
      </c>
      <c r="AN422" s="227">
        <f t="shared" si="538"/>
        <v>-0.1043103749671563</v>
      </c>
      <c r="AO422" s="227">
        <f t="shared" si="538"/>
        <v>0.91274883110563398</v>
      </c>
      <c r="AP422" s="227">
        <f t="shared" si="538"/>
        <v>-0.93033339373457391</v>
      </c>
      <c r="AQ422" s="227">
        <f t="shared" si="538"/>
        <v>0.92152888098463237</v>
      </c>
      <c r="AR422" s="227">
        <f t="shared" si="538"/>
        <v>-0.97215419251415158</v>
      </c>
      <c r="AS422" s="227">
        <f t="shared" si="538"/>
        <v>-0.94297519558306209</v>
      </c>
      <c r="AT422" s="227">
        <f t="shared" ref="AT422:AV422" si="542">+AT60</f>
        <v>-0.35331802280664226</v>
      </c>
      <c r="AU422" s="227">
        <f t="shared" si="542"/>
        <v>-0.921677968359778</v>
      </c>
      <c r="AV422" s="227">
        <f t="shared" si="542"/>
        <v>-0.61391652649529327</v>
      </c>
      <c r="AW422" s="227">
        <f>+AW60</f>
        <v>1.6161523319462441</v>
      </c>
    </row>
    <row r="423" spans="1:49" s="70" customFormat="1" x14ac:dyDescent="0.25">
      <c r="A423" s="221">
        <v>2122</v>
      </c>
      <c r="B423" s="428" t="s">
        <v>43</v>
      </c>
      <c r="C423" s="428"/>
      <c r="D423" s="428"/>
      <c r="E423" s="428"/>
      <c r="F423" s="428"/>
      <c r="G423" s="428"/>
      <c r="H423" s="222"/>
      <c r="I423" s="224">
        <f t="shared" ref="I423:U423" si="543">+I105</f>
        <v>776670687.39142847</v>
      </c>
      <c r="J423" s="224">
        <f t="shared" si="543"/>
        <v>2009386189.3914287</v>
      </c>
      <c r="K423" s="224">
        <f t="shared" si="543"/>
        <v>912395131.89142847</v>
      </c>
      <c r="L423" s="224">
        <f t="shared" si="543"/>
        <v>703377683.89142859</v>
      </c>
      <c r="M423" s="224">
        <f t="shared" si="543"/>
        <v>900870687.39142847</v>
      </c>
      <c r="N423" s="224">
        <f t="shared" si="543"/>
        <v>654170687.39142859</v>
      </c>
      <c r="O423" s="224">
        <f t="shared" si="543"/>
        <v>744170687.39142847</v>
      </c>
      <c r="P423" s="224">
        <f t="shared" si="543"/>
        <v>824988867.11999989</v>
      </c>
      <c r="Q423" s="224">
        <f t="shared" si="543"/>
        <v>774866853.11999989</v>
      </c>
      <c r="R423" s="224">
        <f t="shared" si="543"/>
        <v>767940812.61999989</v>
      </c>
      <c r="S423" s="224">
        <f t="shared" si="543"/>
        <v>773083708.61999989</v>
      </c>
      <c r="T423" s="224">
        <f t="shared" si="543"/>
        <v>749063282.78000009</v>
      </c>
      <c r="U423" s="224">
        <f t="shared" si="543"/>
        <v>9068838287.5999985</v>
      </c>
      <c r="V423" s="53"/>
      <c r="W423" s="53"/>
      <c r="X423" s="53"/>
      <c r="Y423" s="53"/>
      <c r="Z423" s="53"/>
      <c r="AA423" s="224">
        <f t="shared" ref="AA423:AG423" si="544">+AA105</f>
        <v>447910801.54000002</v>
      </c>
      <c r="AB423" s="224">
        <f t="shared" si="544"/>
        <v>307911657.48000002</v>
      </c>
      <c r="AC423" s="224">
        <f t="shared" si="544"/>
        <v>691808301.3499999</v>
      </c>
      <c r="AD423" s="224">
        <f t="shared" si="544"/>
        <v>375905335.15999997</v>
      </c>
      <c r="AE423" s="224">
        <f t="shared" si="544"/>
        <v>377245410.05999994</v>
      </c>
      <c r="AF423" s="224">
        <f t="shared" si="544"/>
        <v>1090657525.6300001</v>
      </c>
      <c r="AG423" s="224">
        <f t="shared" si="544"/>
        <v>679300855.18999994</v>
      </c>
      <c r="AH423" s="224">
        <f t="shared" ref="AH423:AJ423" si="545">+AH105</f>
        <v>540731049.98000002</v>
      </c>
      <c r="AI423" s="224">
        <f t="shared" si="545"/>
        <v>455716986.98999995</v>
      </c>
      <c r="AJ423" s="224">
        <f t="shared" si="545"/>
        <v>525174114.5</v>
      </c>
      <c r="AK423" s="224">
        <f>+AK105</f>
        <v>5492362037.8799992</v>
      </c>
      <c r="AL423" s="69"/>
      <c r="AM423" s="227">
        <f t="shared" ref="AM423:AS423" si="546">+AM105</f>
        <v>-0.42329379901747111</v>
      </c>
      <c r="AN423" s="227">
        <f t="shared" si="546"/>
        <v>-0.84676332548435829</v>
      </c>
      <c r="AO423" s="227">
        <f t="shared" si="546"/>
        <v>-0.24176677716829112</v>
      </c>
      <c r="AP423" s="227">
        <f t="shared" si="546"/>
        <v>-0.46557113799757166</v>
      </c>
      <c r="AQ423" s="227">
        <f t="shared" si="546"/>
        <v>-0.58124355100024838</v>
      </c>
      <c r="AR423" s="227">
        <f t="shared" si="546"/>
        <v>0.66723692554783631</v>
      </c>
      <c r="AS423" s="227">
        <f t="shared" si="546"/>
        <v>-8.7170636119543177E-2</v>
      </c>
      <c r="AT423" s="227">
        <f t="shared" ref="AT423:AV423" si="547">+AT105</f>
        <v>-0.34455957949145605</v>
      </c>
      <c r="AU423" s="227">
        <f t="shared" si="547"/>
        <v>-0.41187704035208578</v>
      </c>
      <c r="AV423" s="227">
        <f t="shared" si="547"/>
        <v>-0.31612683442588185</v>
      </c>
      <c r="AW423" s="227">
        <f>+AW105</f>
        <v>6.1044855513566443</v>
      </c>
    </row>
    <row r="424" spans="1:49" s="70" customFormat="1" x14ac:dyDescent="0.25">
      <c r="A424" s="218">
        <v>214</v>
      </c>
      <c r="B424" s="433" t="s">
        <v>824</v>
      </c>
      <c r="C424" s="433"/>
      <c r="D424" s="433"/>
      <c r="E424" s="433"/>
      <c r="F424" s="433"/>
      <c r="G424" s="433"/>
      <c r="H424" s="219"/>
      <c r="I424" s="220">
        <f t="shared" ref="I424:U424" si="548">+I232</f>
        <v>0</v>
      </c>
      <c r="J424" s="220">
        <f t="shared" si="548"/>
        <v>0</v>
      </c>
      <c r="K424" s="220">
        <f t="shared" si="548"/>
        <v>0</v>
      </c>
      <c r="L424" s="220">
        <f t="shared" si="548"/>
        <v>0</v>
      </c>
      <c r="M424" s="220">
        <f t="shared" si="548"/>
        <v>0</v>
      </c>
      <c r="N424" s="220">
        <f t="shared" si="548"/>
        <v>13577746.788333334</v>
      </c>
      <c r="O424" s="220">
        <f t="shared" si="548"/>
        <v>13577746.788333334</v>
      </c>
      <c r="P424" s="220">
        <f t="shared" si="548"/>
        <v>13577746.788333334</v>
      </c>
      <c r="Q424" s="220">
        <f t="shared" si="548"/>
        <v>13577746.788333334</v>
      </c>
      <c r="R424" s="220">
        <f t="shared" si="548"/>
        <v>13577746.788333334</v>
      </c>
      <c r="S424" s="220">
        <f t="shared" si="548"/>
        <v>13577746.788333334</v>
      </c>
      <c r="T424" s="220">
        <f t="shared" si="548"/>
        <v>0</v>
      </c>
      <c r="U424" s="220">
        <f t="shared" si="548"/>
        <v>67888733.941666663</v>
      </c>
      <c r="V424" s="214"/>
      <c r="W424" s="214"/>
      <c r="X424" s="214"/>
      <c r="Y424" s="214"/>
      <c r="Z424" s="214"/>
      <c r="AA424" s="220">
        <f t="shared" ref="AA424:AG424" si="549">+AA232</f>
        <v>0</v>
      </c>
      <c r="AB424" s="220">
        <f t="shared" si="549"/>
        <v>0</v>
      </c>
      <c r="AC424" s="220">
        <f t="shared" si="549"/>
        <v>0</v>
      </c>
      <c r="AD424" s="220">
        <f t="shared" si="549"/>
        <v>0</v>
      </c>
      <c r="AE424" s="220">
        <f t="shared" si="549"/>
        <v>0</v>
      </c>
      <c r="AF424" s="220">
        <f t="shared" si="549"/>
        <v>0</v>
      </c>
      <c r="AG424" s="220">
        <f t="shared" si="549"/>
        <v>0</v>
      </c>
      <c r="AH424" s="220">
        <f t="shared" ref="AH424:AJ424" si="550">+AH232</f>
        <v>0</v>
      </c>
      <c r="AI424" s="220">
        <f t="shared" si="550"/>
        <v>0</v>
      </c>
      <c r="AJ424" s="220">
        <f t="shared" si="550"/>
        <v>0</v>
      </c>
      <c r="AK424" s="220">
        <f>+AK232</f>
        <v>0</v>
      </c>
      <c r="AM424" s="226" t="e">
        <f t="shared" ref="AM424:AS424" si="551">+AM232</f>
        <v>#DIV/0!</v>
      </c>
      <c r="AN424" s="226" t="e">
        <f t="shared" si="551"/>
        <v>#DIV/0!</v>
      </c>
      <c r="AO424" s="226" t="e">
        <f t="shared" si="551"/>
        <v>#DIV/0!</v>
      </c>
      <c r="AP424" s="226" t="e">
        <f t="shared" si="551"/>
        <v>#DIV/0!</v>
      </c>
      <c r="AQ424" s="226" t="e">
        <f t="shared" si="551"/>
        <v>#DIV/0!</v>
      </c>
      <c r="AR424" s="226">
        <f t="shared" si="551"/>
        <v>-1</v>
      </c>
      <c r="AS424" s="226">
        <f t="shared" si="551"/>
        <v>-1</v>
      </c>
      <c r="AT424" s="226">
        <f t="shared" ref="AT424:AV424" si="552">+AT232</f>
        <v>-1</v>
      </c>
      <c r="AU424" s="226">
        <f t="shared" si="552"/>
        <v>-1</v>
      </c>
      <c r="AV424" s="226">
        <f t="shared" si="552"/>
        <v>-1</v>
      </c>
      <c r="AW424" s="226">
        <v>0</v>
      </c>
    </row>
    <row r="425" spans="1:49" s="70" customFormat="1" x14ac:dyDescent="0.25">
      <c r="A425" s="218">
        <v>217</v>
      </c>
      <c r="B425" s="433" t="s">
        <v>99</v>
      </c>
      <c r="C425" s="433"/>
      <c r="D425" s="433"/>
      <c r="E425" s="433"/>
      <c r="F425" s="433"/>
      <c r="G425" s="433"/>
      <c r="H425" s="219"/>
      <c r="I425" s="220">
        <f t="shared" ref="I425:U425" si="553">+I236</f>
        <v>0</v>
      </c>
      <c r="J425" s="220">
        <f t="shared" si="553"/>
        <v>4366488983</v>
      </c>
      <c r="K425" s="220">
        <f t="shared" si="553"/>
        <v>0</v>
      </c>
      <c r="L425" s="220">
        <f t="shared" si="553"/>
        <v>0</v>
      </c>
      <c r="M425" s="220">
        <f t="shared" si="553"/>
        <v>0</v>
      </c>
      <c r="N425" s="220">
        <f t="shared" si="553"/>
        <v>0</v>
      </c>
      <c r="O425" s="220">
        <f t="shared" si="553"/>
        <v>0</v>
      </c>
      <c r="P425" s="220">
        <f t="shared" si="553"/>
        <v>0</v>
      </c>
      <c r="Q425" s="220">
        <f t="shared" si="553"/>
        <v>0</v>
      </c>
      <c r="R425" s="220">
        <f t="shared" si="553"/>
        <v>0</v>
      </c>
      <c r="S425" s="220">
        <f t="shared" si="553"/>
        <v>0</v>
      </c>
      <c r="T425" s="220">
        <f t="shared" si="553"/>
        <v>0</v>
      </c>
      <c r="U425" s="220">
        <f t="shared" si="553"/>
        <v>4366488983</v>
      </c>
      <c r="V425" s="214"/>
      <c r="W425" s="214"/>
      <c r="X425" s="214"/>
      <c r="Y425" s="214"/>
      <c r="Z425" s="214"/>
      <c r="AA425" s="220">
        <f t="shared" ref="AA425:AG425" si="554">+AA236</f>
        <v>0</v>
      </c>
      <c r="AB425" s="220">
        <f t="shared" si="554"/>
        <v>4079214982</v>
      </c>
      <c r="AC425" s="220">
        <f t="shared" si="554"/>
        <v>57691478</v>
      </c>
      <c r="AD425" s="220">
        <f t="shared" si="554"/>
        <v>0</v>
      </c>
      <c r="AE425" s="220">
        <f t="shared" si="554"/>
        <v>9037535</v>
      </c>
      <c r="AF425" s="220">
        <f t="shared" si="554"/>
        <v>0</v>
      </c>
      <c r="AG425" s="220">
        <f t="shared" si="554"/>
        <v>1749701</v>
      </c>
      <c r="AH425" s="220">
        <f t="shared" ref="AH425:AJ425" si="555">+AH236</f>
        <v>0</v>
      </c>
      <c r="AI425" s="220">
        <f t="shared" si="555"/>
        <v>56824642</v>
      </c>
      <c r="AJ425" s="220">
        <f t="shared" si="555"/>
        <v>13680114</v>
      </c>
      <c r="AK425" s="220">
        <f>+AK236</f>
        <v>4218198452</v>
      </c>
      <c r="AM425" s="226" t="e">
        <f t="shared" ref="AM425:AS425" si="556">+AM236</f>
        <v>#DIV/0!</v>
      </c>
      <c r="AN425" s="226">
        <f t="shared" si="556"/>
        <v>-6.5790616240746391E-2</v>
      </c>
      <c r="AO425" s="226" t="e">
        <f t="shared" si="556"/>
        <v>#DIV/0!</v>
      </c>
      <c r="AP425" s="226" t="e">
        <f t="shared" si="556"/>
        <v>#DIV/0!</v>
      </c>
      <c r="AQ425" s="226" t="e">
        <f t="shared" si="556"/>
        <v>#DIV/0!</v>
      </c>
      <c r="AR425" s="226" t="e">
        <f t="shared" si="556"/>
        <v>#DIV/0!</v>
      </c>
      <c r="AS425" s="226" t="e">
        <f t="shared" si="556"/>
        <v>#DIV/0!</v>
      </c>
      <c r="AT425" s="226" t="e">
        <f t="shared" ref="AT425:AV425" si="557">+AT236</f>
        <v>#DIV/0!</v>
      </c>
      <c r="AU425" s="226" t="e">
        <f t="shared" si="557"/>
        <v>#DIV/0!</v>
      </c>
      <c r="AV425" s="226" t="e">
        <f t="shared" si="557"/>
        <v>#DIV/0!</v>
      </c>
      <c r="AW425" s="226" t="e">
        <f>+AW236</f>
        <v>#DIV/0!</v>
      </c>
    </row>
    <row r="426" spans="1:49" s="70" customFormat="1" x14ac:dyDescent="0.25">
      <c r="A426" s="218">
        <v>218</v>
      </c>
      <c r="B426" s="433" t="s">
        <v>768</v>
      </c>
      <c r="C426" s="433"/>
      <c r="D426" s="433"/>
      <c r="E426" s="433"/>
      <c r="F426" s="433"/>
      <c r="G426" s="433"/>
      <c r="H426" s="219"/>
      <c r="I426" s="220">
        <f t="shared" ref="I426:U426" si="558">+I238</f>
        <v>92700136.166666672</v>
      </c>
      <c r="J426" s="220">
        <f t="shared" si="558"/>
        <v>26890866.666666668</v>
      </c>
      <c r="K426" s="220">
        <f t="shared" si="558"/>
        <v>1666666.6666666667</v>
      </c>
      <c r="L426" s="220">
        <f t="shared" si="558"/>
        <v>1666666.6666666667</v>
      </c>
      <c r="M426" s="220">
        <f t="shared" si="558"/>
        <v>92700136.166666672</v>
      </c>
      <c r="N426" s="220">
        <f t="shared" si="558"/>
        <v>1666666.6666666667</v>
      </c>
      <c r="O426" s="220">
        <f t="shared" si="558"/>
        <v>1666666.6666666667</v>
      </c>
      <c r="P426" s="220">
        <f t="shared" si="558"/>
        <v>1979017.6666666667</v>
      </c>
      <c r="Q426" s="220">
        <f t="shared" si="558"/>
        <v>92700136.166666672</v>
      </c>
      <c r="R426" s="220">
        <f t="shared" si="558"/>
        <v>1666666.6666666667</v>
      </c>
      <c r="S426" s="220">
        <f t="shared" si="558"/>
        <v>1666666.6666666667</v>
      </c>
      <c r="T426" s="220">
        <f t="shared" si="558"/>
        <v>92700136.166666672</v>
      </c>
      <c r="U426" s="220">
        <f t="shared" si="558"/>
        <v>315303626.16666669</v>
      </c>
      <c r="V426" s="214"/>
      <c r="W426" s="214"/>
      <c r="X426" s="214"/>
      <c r="Y426" s="214"/>
      <c r="Z426" s="214"/>
      <c r="AA426" s="220">
        <f t="shared" ref="AA426:AG426" si="559">+AA238</f>
        <v>85167552</v>
      </c>
      <c r="AB426" s="220">
        <f t="shared" si="559"/>
        <v>0</v>
      </c>
      <c r="AC426" s="220">
        <f t="shared" si="559"/>
        <v>61755703</v>
      </c>
      <c r="AD426" s="220">
        <f t="shared" si="559"/>
        <v>0</v>
      </c>
      <c r="AE426" s="220">
        <f t="shared" si="559"/>
        <v>120907204</v>
      </c>
      <c r="AF426" s="220">
        <f t="shared" si="559"/>
        <v>369000</v>
      </c>
      <c r="AG426" s="220">
        <f t="shared" si="559"/>
        <v>122524708</v>
      </c>
      <c r="AH426" s="220">
        <f t="shared" ref="AH426:AJ426" si="560">+AH238</f>
        <v>2690801</v>
      </c>
      <c r="AI426" s="220">
        <f t="shared" si="560"/>
        <v>1670229</v>
      </c>
      <c r="AJ426" s="220">
        <f t="shared" si="560"/>
        <v>8027808</v>
      </c>
      <c r="AK426" s="220">
        <f>+AK238</f>
        <v>403113005</v>
      </c>
      <c r="AM426" s="226">
        <f t="shared" ref="AM426:AS426" si="561">+AM238</f>
        <v>-8.1257530766985595E-2</v>
      </c>
      <c r="AN426" s="226">
        <f t="shared" si="561"/>
        <v>-1</v>
      </c>
      <c r="AO426" s="226">
        <f t="shared" si="561"/>
        <v>36.053421800000002</v>
      </c>
      <c r="AP426" s="226">
        <f t="shared" si="561"/>
        <v>-1</v>
      </c>
      <c r="AQ426" s="226">
        <f t="shared" si="561"/>
        <v>0.30428291693789433</v>
      </c>
      <c r="AR426" s="226">
        <f t="shared" si="561"/>
        <v>-0.77859999999999996</v>
      </c>
      <c r="AS426" s="226">
        <f t="shared" si="561"/>
        <v>72.5148248</v>
      </c>
      <c r="AT426" s="226">
        <f t="shared" ref="AT426:AV426" si="562">+AT238</f>
        <v>0.35966497183030027</v>
      </c>
      <c r="AU426" s="226">
        <f t="shared" si="562"/>
        <v>-0.98198245365036918</v>
      </c>
      <c r="AV426" s="226">
        <f t="shared" si="562"/>
        <v>3.8166847999999995</v>
      </c>
      <c r="AW426" s="226">
        <f>+AW238</f>
        <v>240.86780299999998</v>
      </c>
    </row>
    <row r="427" spans="1:49" s="70" customFormat="1" x14ac:dyDescent="0.25">
      <c r="A427" s="215">
        <v>23</v>
      </c>
      <c r="B427" s="432" t="s">
        <v>104</v>
      </c>
      <c r="C427" s="432"/>
      <c r="D427" s="432"/>
      <c r="E427" s="432"/>
      <c r="F427" s="432"/>
      <c r="G427" s="432"/>
      <c r="H427" s="216"/>
      <c r="I427" s="217">
        <f t="shared" ref="I427:U427" si="563">+I246</f>
        <v>900032613.16666675</v>
      </c>
      <c r="J427" s="217">
        <f t="shared" si="563"/>
        <v>1620817388.331212</v>
      </c>
      <c r="K427" s="217">
        <f t="shared" si="563"/>
        <v>3221280222.3612123</v>
      </c>
      <c r="L427" s="217">
        <f t="shared" si="563"/>
        <v>3088505154.8056569</v>
      </c>
      <c r="M427" s="217">
        <f t="shared" si="563"/>
        <v>2749505154.8056564</v>
      </c>
      <c r="N427" s="217">
        <f t="shared" si="563"/>
        <v>2477005154.8056564</v>
      </c>
      <c r="O427" s="217">
        <f t="shared" si="563"/>
        <v>3410484101.7173233</v>
      </c>
      <c r="P427" s="217">
        <f t="shared" si="563"/>
        <v>5183742085.7773228</v>
      </c>
      <c r="Q427" s="217">
        <f t="shared" si="563"/>
        <v>3499061305.7773228</v>
      </c>
      <c r="R427" s="217">
        <f t="shared" si="563"/>
        <v>4660361876.4739895</v>
      </c>
      <c r="S427" s="217">
        <f t="shared" si="563"/>
        <v>5062069270.4439898</v>
      </c>
      <c r="T427" s="217">
        <f t="shared" si="563"/>
        <v>4116939719.1839895</v>
      </c>
      <c r="U427" s="217">
        <f t="shared" si="563"/>
        <v>30810795058.022018</v>
      </c>
      <c r="V427" s="214"/>
      <c r="W427" s="214"/>
      <c r="X427" s="214"/>
      <c r="Y427" s="214"/>
      <c r="Z427" s="214"/>
      <c r="AA427" s="217">
        <f t="shared" ref="AA427:AG428" si="564">+AA246</f>
        <v>78134749</v>
      </c>
      <c r="AB427" s="217">
        <f t="shared" si="564"/>
        <v>247402273</v>
      </c>
      <c r="AC427" s="217">
        <f t="shared" si="564"/>
        <v>549993577</v>
      </c>
      <c r="AD427" s="217">
        <f t="shared" si="564"/>
        <v>597654879.88</v>
      </c>
      <c r="AE427" s="217">
        <f t="shared" si="564"/>
        <v>343162386</v>
      </c>
      <c r="AF427" s="217">
        <f t="shared" si="564"/>
        <v>971358494.70000005</v>
      </c>
      <c r="AG427" s="217">
        <f t="shared" si="564"/>
        <v>1573809598.3899999</v>
      </c>
      <c r="AH427" s="217">
        <f t="shared" ref="AH427:AJ427" si="565">+AH246</f>
        <v>1203763395.0999999</v>
      </c>
      <c r="AI427" s="217">
        <f t="shared" si="565"/>
        <v>2017097116</v>
      </c>
      <c r="AJ427" s="217">
        <f t="shared" si="565"/>
        <v>1895548118.71</v>
      </c>
      <c r="AK427" s="217">
        <f>+AK246</f>
        <v>9477924587.7800007</v>
      </c>
      <c r="AM427" s="225">
        <f t="shared" ref="AM427:AS428" si="566">+AM246</f>
        <v>-0.91318675806080918</v>
      </c>
      <c r="AN427" s="225">
        <f t="shared" si="566"/>
        <v>-0.84735956389589051</v>
      </c>
      <c r="AO427" s="225">
        <f t="shared" si="566"/>
        <v>-0.82926242393254057</v>
      </c>
      <c r="AP427" s="225">
        <f t="shared" si="566"/>
        <v>-0.80649056746754655</v>
      </c>
      <c r="AQ427" s="225">
        <f t="shared" si="566"/>
        <v>-0.87519121926350574</v>
      </c>
      <c r="AR427" s="225">
        <f t="shared" si="566"/>
        <v>-0.60784962727450931</v>
      </c>
      <c r="AS427" s="225">
        <f t="shared" si="566"/>
        <v>-0.53853777016655202</v>
      </c>
      <c r="AT427" s="225">
        <f t="shared" ref="AT427:AV427" si="567">+AT246</f>
        <v>-0.76778100160446339</v>
      </c>
      <c r="AU427" s="225">
        <f t="shared" si="567"/>
        <v>-0.42353193050102955</v>
      </c>
      <c r="AV427" s="225">
        <f t="shared" si="567"/>
        <v>-0.59326160307873688</v>
      </c>
      <c r="AW427" s="225">
        <f>+AW246</f>
        <v>0.87234193793414838</v>
      </c>
    </row>
    <row r="428" spans="1:49" x14ac:dyDescent="0.25">
      <c r="A428" s="218">
        <v>231</v>
      </c>
      <c r="B428" s="433" t="s">
        <v>105</v>
      </c>
      <c r="C428" s="433"/>
      <c r="D428" s="433"/>
      <c r="E428" s="433"/>
      <c r="F428" s="433"/>
      <c r="G428" s="433"/>
      <c r="H428" s="219"/>
      <c r="I428" s="220">
        <f t="shared" ref="I428:U428" si="568">+I247</f>
        <v>639583333.33333337</v>
      </c>
      <c r="J428" s="220">
        <f t="shared" si="568"/>
        <v>64583333.333333328</v>
      </c>
      <c r="K428" s="220">
        <f t="shared" si="568"/>
        <v>1675255290.3333333</v>
      </c>
      <c r="L428" s="220">
        <f t="shared" si="568"/>
        <v>1935255290.3333333</v>
      </c>
      <c r="M428" s="220">
        <f t="shared" si="568"/>
        <v>1701255290.3333333</v>
      </c>
      <c r="N428" s="220">
        <f t="shared" si="568"/>
        <v>1445255290.3333333</v>
      </c>
      <c r="O428" s="220">
        <f t="shared" si="568"/>
        <v>1395255290.3333333</v>
      </c>
      <c r="P428" s="220">
        <f t="shared" si="568"/>
        <v>1445255290.3333333</v>
      </c>
      <c r="Q428" s="220">
        <f t="shared" si="568"/>
        <v>1395255290.3333333</v>
      </c>
      <c r="R428" s="220">
        <f t="shared" si="568"/>
        <v>1945255290.3333333</v>
      </c>
      <c r="S428" s="220">
        <f t="shared" si="568"/>
        <v>2177055793.333333</v>
      </c>
      <c r="T428" s="220">
        <f t="shared" si="568"/>
        <v>1445255290.3333333</v>
      </c>
      <c r="U428" s="220">
        <f t="shared" si="568"/>
        <v>13642208989.333334</v>
      </c>
      <c r="V428" s="214"/>
      <c r="W428" s="214"/>
      <c r="X428" s="214"/>
      <c r="Y428" s="214"/>
      <c r="Z428" s="214"/>
      <c r="AA428" s="220">
        <f t="shared" si="564"/>
        <v>65344249</v>
      </c>
      <c r="AB428" s="220">
        <f t="shared" si="564"/>
        <v>140506251</v>
      </c>
      <c r="AC428" s="220">
        <f t="shared" si="564"/>
        <v>223466375</v>
      </c>
      <c r="AD428" s="220">
        <f t="shared" si="564"/>
        <v>416836290.77999997</v>
      </c>
      <c r="AE428" s="220">
        <f t="shared" si="564"/>
        <v>241960357</v>
      </c>
      <c r="AF428" s="220">
        <f t="shared" si="564"/>
        <v>230976720</v>
      </c>
      <c r="AG428" s="220">
        <f t="shared" si="564"/>
        <v>611748359</v>
      </c>
      <c r="AH428" s="220">
        <f t="shared" ref="AH428:AJ428" si="569">+AH247</f>
        <v>478292742</v>
      </c>
      <c r="AI428" s="220">
        <f t="shared" si="569"/>
        <v>953332377</v>
      </c>
      <c r="AJ428" s="220">
        <f t="shared" si="569"/>
        <v>920745975</v>
      </c>
      <c r="AK428" s="220">
        <f>+AK247</f>
        <v>4283209695.7799997</v>
      </c>
      <c r="AL428" s="70"/>
      <c r="AM428" s="226">
        <f t="shared" si="566"/>
        <v>-0.89783309602605865</v>
      </c>
      <c r="AN428" s="226">
        <f t="shared" si="566"/>
        <v>1.1755806606451615</v>
      </c>
      <c r="AO428" s="226">
        <f t="shared" si="566"/>
        <v>-0.86660756943167994</v>
      </c>
      <c r="AP428" s="226">
        <f t="shared" si="566"/>
        <v>-0.78460914543827287</v>
      </c>
      <c r="AQ428" s="226">
        <f t="shared" si="566"/>
        <v>-0.8577753977461009</v>
      </c>
      <c r="AR428" s="226">
        <f t="shared" si="566"/>
        <v>-0.84018275418543698</v>
      </c>
      <c r="AS428" s="226">
        <f t="shared" si="566"/>
        <v>-0.5615509482470048</v>
      </c>
      <c r="AT428" s="226">
        <f t="shared" ref="AT428:AV428" si="570">+AT247</f>
        <v>-0.66906003029424188</v>
      </c>
      <c r="AU428" s="226">
        <f t="shared" si="570"/>
        <v>-0.3167326555900431</v>
      </c>
      <c r="AV428" s="226">
        <f t="shared" si="570"/>
        <v>-0.52667087987087613</v>
      </c>
      <c r="AW428" s="226">
        <f>+AW247</f>
        <v>0.96743221230076648</v>
      </c>
    </row>
    <row r="429" spans="1:49" x14ac:dyDescent="0.25">
      <c r="A429" s="218">
        <v>232</v>
      </c>
      <c r="B429" s="433" t="s">
        <v>119</v>
      </c>
      <c r="C429" s="433"/>
      <c r="D429" s="433"/>
      <c r="E429" s="433"/>
      <c r="F429" s="433"/>
      <c r="G429" s="433"/>
      <c r="H429" s="219"/>
      <c r="I429" s="220">
        <f t="shared" ref="I429:U429" si="571">+I276</f>
        <v>260449279.83333334</v>
      </c>
      <c r="J429" s="220">
        <f t="shared" si="571"/>
        <v>753127805.10606062</v>
      </c>
      <c r="K429" s="220">
        <f t="shared" si="571"/>
        <v>765616209.10606062</v>
      </c>
      <c r="L429" s="220">
        <f t="shared" si="571"/>
        <v>616185785.55050516</v>
      </c>
      <c r="M429" s="220">
        <f t="shared" si="571"/>
        <v>361185785.55050504</v>
      </c>
      <c r="N429" s="220">
        <f t="shared" si="571"/>
        <v>494685785.55050504</v>
      </c>
      <c r="O429" s="220">
        <f t="shared" si="571"/>
        <v>462185785.55050504</v>
      </c>
      <c r="P429" s="220">
        <f t="shared" si="571"/>
        <v>581057325.55050504</v>
      </c>
      <c r="Q429" s="220">
        <f t="shared" si="571"/>
        <v>312185785.55050504</v>
      </c>
      <c r="R429" s="220">
        <f t="shared" si="571"/>
        <v>312185785.55050504</v>
      </c>
      <c r="S429" s="220">
        <f t="shared" si="571"/>
        <v>462185785.55050504</v>
      </c>
      <c r="T429" s="220">
        <f t="shared" si="571"/>
        <v>365874189.55050504</v>
      </c>
      <c r="U429" s="220">
        <f t="shared" si="571"/>
        <v>4918865332.8989897</v>
      </c>
      <c r="V429" s="214"/>
      <c r="W429" s="214"/>
      <c r="X429" s="214"/>
      <c r="Y429" s="214"/>
      <c r="Z429" s="214"/>
      <c r="AA429" s="220">
        <f t="shared" ref="AA429:AG429" si="572">+AA276</f>
        <v>12017000</v>
      </c>
      <c r="AB429" s="220">
        <f t="shared" si="572"/>
        <v>10081693</v>
      </c>
      <c r="AC429" s="220">
        <f t="shared" si="572"/>
        <v>182622043</v>
      </c>
      <c r="AD429" s="220">
        <f t="shared" si="572"/>
        <v>40090635</v>
      </c>
      <c r="AE429" s="220">
        <f t="shared" si="572"/>
        <v>66483178</v>
      </c>
      <c r="AF429" s="220">
        <f t="shared" si="572"/>
        <v>549673921</v>
      </c>
      <c r="AG429" s="220">
        <f t="shared" si="572"/>
        <v>225841095.81</v>
      </c>
      <c r="AH429" s="220">
        <f t="shared" ref="AH429:AJ429" si="573">+AH276</f>
        <v>416924010.05000001</v>
      </c>
      <c r="AI429" s="220">
        <f t="shared" si="573"/>
        <v>139417121</v>
      </c>
      <c r="AJ429" s="220">
        <f t="shared" si="573"/>
        <v>395355490.70999998</v>
      </c>
      <c r="AK429" s="220">
        <f>+AK276</f>
        <v>2038506187.5699999</v>
      </c>
      <c r="AL429" s="70"/>
      <c r="AM429" s="226">
        <f t="shared" ref="AM429:AS429" si="574">+AM276</f>
        <v>-0.95386049826019903</v>
      </c>
      <c r="AN429" s="226">
        <f t="shared" si="574"/>
        <v>-0.98661356952744528</v>
      </c>
      <c r="AO429" s="226">
        <f t="shared" si="574"/>
        <v>-0.76147051116742825</v>
      </c>
      <c r="AP429" s="226">
        <f t="shared" si="574"/>
        <v>-0.93493742319261275</v>
      </c>
      <c r="AQ429" s="226">
        <f t="shared" si="574"/>
        <v>-0.815930801654697</v>
      </c>
      <c r="AR429" s="226">
        <f t="shared" si="574"/>
        <v>0.11115770263805354</v>
      </c>
      <c r="AS429" s="226">
        <f t="shared" si="574"/>
        <v>-0.5113629564764679</v>
      </c>
      <c r="AT429" s="226">
        <f t="shared" ref="AT429:AV429" si="575">+AT276</f>
        <v>-0.28247353278783971</v>
      </c>
      <c r="AU429" s="226">
        <f t="shared" si="575"/>
        <v>-0.55341617891361272</v>
      </c>
      <c r="AV429" s="226">
        <f t="shared" si="575"/>
        <v>0.26641092903328184</v>
      </c>
      <c r="AW429" s="226">
        <f>+AW276</f>
        <v>3.4105774156207658</v>
      </c>
    </row>
    <row r="430" spans="1:49" x14ac:dyDescent="0.25">
      <c r="A430" s="218">
        <v>233</v>
      </c>
      <c r="B430" s="433" t="s">
        <v>150</v>
      </c>
      <c r="C430" s="433"/>
      <c r="D430" s="433"/>
      <c r="E430" s="433"/>
      <c r="F430" s="433"/>
      <c r="G430" s="433"/>
      <c r="H430" s="219"/>
      <c r="I430" s="220">
        <f t="shared" ref="I430:U430" si="576">+I314</f>
        <v>0</v>
      </c>
      <c r="J430" s="220">
        <f t="shared" si="576"/>
        <v>0</v>
      </c>
      <c r="K430" s="220">
        <f t="shared" si="576"/>
        <v>24200000</v>
      </c>
      <c r="L430" s="220">
        <f t="shared" si="576"/>
        <v>10000000</v>
      </c>
      <c r="M430" s="220">
        <f t="shared" si="576"/>
        <v>10000000</v>
      </c>
      <c r="N430" s="220">
        <f t="shared" si="576"/>
        <v>10000000</v>
      </c>
      <c r="O430" s="220">
        <f t="shared" si="576"/>
        <v>0</v>
      </c>
      <c r="P430" s="220">
        <f t="shared" si="576"/>
        <v>10000000</v>
      </c>
      <c r="Q430" s="220">
        <f t="shared" si="576"/>
        <v>10000000</v>
      </c>
      <c r="R430" s="220">
        <f t="shared" si="576"/>
        <v>10000000</v>
      </c>
      <c r="S430" s="220">
        <f t="shared" si="576"/>
        <v>10000000</v>
      </c>
      <c r="T430" s="220">
        <f t="shared" si="576"/>
        <v>0</v>
      </c>
      <c r="U430" s="220">
        <f t="shared" si="576"/>
        <v>84200000</v>
      </c>
      <c r="V430" s="214"/>
      <c r="W430" s="214"/>
      <c r="X430" s="214"/>
      <c r="Y430" s="214"/>
      <c r="Z430" s="214"/>
      <c r="AA430" s="220">
        <f t="shared" ref="AA430:AG430" si="577">+AA314</f>
        <v>0</v>
      </c>
      <c r="AB430" s="220">
        <f t="shared" si="577"/>
        <v>0</v>
      </c>
      <c r="AC430" s="220">
        <f t="shared" si="577"/>
        <v>0</v>
      </c>
      <c r="AD430" s="220">
        <f t="shared" si="577"/>
        <v>0</v>
      </c>
      <c r="AE430" s="220">
        <f t="shared" si="577"/>
        <v>0</v>
      </c>
      <c r="AF430" s="220">
        <f t="shared" si="577"/>
        <v>0</v>
      </c>
      <c r="AG430" s="220">
        <f t="shared" si="577"/>
        <v>0</v>
      </c>
      <c r="AH430" s="220">
        <f t="shared" ref="AH430:AJ430" si="578">+AH314</f>
        <v>0</v>
      </c>
      <c r="AI430" s="220">
        <f t="shared" si="578"/>
        <v>0</v>
      </c>
      <c r="AJ430" s="220">
        <f t="shared" si="578"/>
        <v>0</v>
      </c>
      <c r="AK430" s="220">
        <f>+AK314</f>
        <v>0</v>
      </c>
      <c r="AL430" s="70"/>
      <c r="AM430" s="226" t="e">
        <f t="shared" ref="AM430:AS430" si="579">+AM314</f>
        <v>#DIV/0!</v>
      </c>
      <c r="AN430" s="226" t="e">
        <f t="shared" si="579"/>
        <v>#DIV/0!</v>
      </c>
      <c r="AO430" s="226">
        <f t="shared" si="579"/>
        <v>-1</v>
      </c>
      <c r="AP430" s="226">
        <f t="shared" si="579"/>
        <v>-1</v>
      </c>
      <c r="AQ430" s="226">
        <f t="shared" si="579"/>
        <v>-1</v>
      </c>
      <c r="AR430" s="226">
        <f t="shared" si="579"/>
        <v>-1</v>
      </c>
      <c r="AS430" s="226" t="e">
        <f t="shared" si="579"/>
        <v>#DIV/0!</v>
      </c>
      <c r="AT430" s="226">
        <f t="shared" ref="AT430:AV430" si="580">+AT314</f>
        <v>-1</v>
      </c>
      <c r="AU430" s="226">
        <f t="shared" si="580"/>
        <v>-1</v>
      </c>
      <c r="AV430" s="226">
        <f t="shared" si="580"/>
        <v>-1</v>
      </c>
      <c r="AW430" s="226">
        <f>+AW314</f>
        <v>-1</v>
      </c>
    </row>
    <row r="431" spans="1:49" x14ac:dyDescent="0.25">
      <c r="A431" s="218">
        <v>234</v>
      </c>
      <c r="B431" s="433" t="s">
        <v>154</v>
      </c>
      <c r="C431" s="433"/>
      <c r="D431" s="433"/>
      <c r="E431" s="433"/>
      <c r="F431" s="433"/>
      <c r="G431" s="433"/>
      <c r="H431" s="219"/>
      <c r="I431" s="220">
        <f t="shared" ref="I431:U431" si="581">+I319</f>
        <v>0</v>
      </c>
      <c r="J431" s="220">
        <f t="shared" si="581"/>
        <v>180000000</v>
      </c>
      <c r="K431" s="220">
        <f t="shared" si="581"/>
        <v>40000000</v>
      </c>
      <c r="L431" s="220">
        <f t="shared" si="581"/>
        <v>0</v>
      </c>
      <c r="M431" s="220">
        <f t="shared" si="581"/>
        <v>150000000</v>
      </c>
      <c r="N431" s="220">
        <f t="shared" si="581"/>
        <v>0</v>
      </c>
      <c r="O431" s="220">
        <f t="shared" si="581"/>
        <v>3421792</v>
      </c>
      <c r="P431" s="220">
        <f t="shared" si="581"/>
        <v>1451682241.26</v>
      </c>
      <c r="Q431" s="220">
        <f t="shared" si="581"/>
        <v>85873001.25999999</v>
      </c>
      <c r="R431" s="220">
        <f t="shared" si="581"/>
        <v>85873001.25999999</v>
      </c>
      <c r="S431" s="220">
        <f t="shared" si="581"/>
        <v>85873001.25999999</v>
      </c>
      <c r="T431" s="220">
        <f t="shared" si="581"/>
        <v>0</v>
      </c>
      <c r="U431" s="220">
        <f t="shared" si="581"/>
        <v>1996850035.78</v>
      </c>
      <c r="V431" s="214"/>
      <c r="W431" s="214"/>
      <c r="X431" s="214"/>
      <c r="Y431" s="214"/>
      <c r="Z431" s="214"/>
      <c r="AA431" s="220">
        <f t="shared" ref="AA431:AG431" si="582">+AA319</f>
        <v>773500</v>
      </c>
      <c r="AB431" s="220">
        <f t="shared" si="582"/>
        <v>0</v>
      </c>
      <c r="AC431" s="220">
        <f t="shared" si="582"/>
        <v>4300000</v>
      </c>
      <c r="AD431" s="220">
        <f t="shared" si="582"/>
        <v>9031130</v>
      </c>
      <c r="AE431" s="220">
        <f t="shared" si="582"/>
        <v>8031130</v>
      </c>
      <c r="AF431" s="220">
        <f t="shared" si="582"/>
        <v>8031130</v>
      </c>
      <c r="AG431" s="220">
        <f t="shared" si="582"/>
        <v>18058128.640000001</v>
      </c>
      <c r="AH431" s="220">
        <f t="shared" ref="AH431:AJ431" si="583">+AH319</f>
        <v>12592686</v>
      </c>
      <c r="AI431" s="220">
        <f t="shared" si="583"/>
        <v>28234670.039999999</v>
      </c>
      <c r="AJ431" s="220">
        <f t="shared" si="583"/>
        <v>156915796</v>
      </c>
      <c r="AK431" s="220">
        <f>+AK319</f>
        <v>245968170.67999998</v>
      </c>
      <c r="AL431" s="70"/>
      <c r="AM431" s="226" t="e">
        <f t="shared" ref="AM431:AS431" si="584">+AM319</f>
        <v>#DIV/0!</v>
      </c>
      <c r="AN431" s="226">
        <f t="shared" si="584"/>
        <v>-1</v>
      </c>
      <c r="AO431" s="226">
        <f t="shared" si="584"/>
        <v>-0.89249999999999996</v>
      </c>
      <c r="AP431" s="226" t="e">
        <f t="shared" si="584"/>
        <v>#DIV/0!</v>
      </c>
      <c r="AQ431" s="226">
        <f t="shared" si="584"/>
        <v>-0.94645913333333331</v>
      </c>
      <c r="AR431" s="226" t="e">
        <f t="shared" si="584"/>
        <v>#DIV/0!</v>
      </c>
      <c r="AS431" s="226">
        <f t="shared" si="584"/>
        <v>4.2773893445305857</v>
      </c>
      <c r="AT431" s="226">
        <f t="shared" ref="AT431:AV431" si="585">+AT319</f>
        <v>-0.99132545288349738</v>
      </c>
      <c r="AU431" s="226">
        <f t="shared" si="585"/>
        <v>-0.67120434099521997</v>
      </c>
      <c r="AV431" s="226">
        <f t="shared" si="585"/>
        <v>0.82730070799437683</v>
      </c>
      <c r="AW431" s="226">
        <f>+AW319</f>
        <v>1.8643248409971784</v>
      </c>
    </row>
    <row r="432" spans="1:49" x14ac:dyDescent="0.25">
      <c r="A432" s="218">
        <v>235</v>
      </c>
      <c r="B432" s="433" t="s">
        <v>794</v>
      </c>
      <c r="C432" s="433"/>
      <c r="D432" s="433"/>
      <c r="E432" s="433"/>
      <c r="F432" s="433"/>
      <c r="G432" s="433"/>
      <c r="H432" s="219"/>
      <c r="I432" s="220">
        <f t="shared" ref="I432:U432" si="586">+I331</f>
        <v>0</v>
      </c>
      <c r="J432" s="220">
        <f t="shared" si="586"/>
        <v>623106249.89181817</v>
      </c>
      <c r="K432" s="220">
        <f t="shared" si="586"/>
        <v>716208722.92181814</v>
      </c>
      <c r="L432" s="220">
        <f t="shared" si="586"/>
        <v>527064078.92181826</v>
      </c>
      <c r="M432" s="220">
        <f t="shared" si="586"/>
        <v>527064078.92181826</v>
      </c>
      <c r="N432" s="220">
        <f t="shared" si="586"/>
        <v>527064078.92181826</v>
      </c>
      <c r="O432" s="220">
        <f t="shared" si="586"/>
        <v>1549621233.8334849</v>
      </c>
      <c r="P432" s="220">
        <f t="shared" si="586"/>
        <v>1695747228.6334848</v>
      </c>
      <c r="Q432" s="220">
        <f t="shared" si="586"/>
        <v>1695747228.6334848</v>
      </c>
      <c r="R432" s="220">
        <f t="shared" si="586"/>
        <v>1878067096.3301516</v>
      </c>
      <c r="S432" s="220">
        <f t="shared" si="586"/>
        <v>1897973987.3001516</v>
      </c>
      <c r="T432" s="220">
        <f t="shared" si="586"/>
        <v>1876829536.3001516</v>
      </c>
      <c r="U432" s="220">
        <f t="shared" si="586"/>
        <v>9739689997.009697</v>
      </c>
      <c r="V432" s="214"/>
      <c r="W432" s="214"/>
      <c r="X432" s="214"/>
      <c r="Y432" s="214"/>
      <c r="Z432" s="214"/>
      <c r="AA432" s="220">
        <f t="shared" ref="AA432:AG432" si="587">+AA331</f>
        <v>0</v>
      </c>
      <c r="AB432" s="220">
        <f t="shared" si="587"/>
        <v>96814329</v>
      </c>
      <c r="AC432" s="220">
        <f t="shared" si="587"/>
        <v>139605159</v>
      </c>
      <c r="AD432" s="220">
        <f t="shared" si="587"/>
        <v>131696824.09999999</v>
      </c>
      <c r="AE432" s="220">
        <f t="shared" si="587"/>
        <v>26687721</v>
      </c>
      <c r="AF432" s="220">
        <f t="shared" si="587"/>
        <v>182676723.69999999</v>
      </c>
      <c r="AG432" s="220">
        <f t="shared" si="587"/>
        <v>718162014.94000006</v>
      </c>
      <c r="AH432" s="220">
        <f t="shared" ref="AH432:AJ432" si="588">+AH331</f>
        <v>295953957.05000001</v>
      </c>
      <c r="AI432" s="220">
        <f t="shared" si="588"/>
        <v>896112947.96000004</v>
      </c>
      <c r="AJ432" s="220">
        <f t="shared" si="588"/>
        <v>422530857</v>
      </c>
      <c r="AK432" s="220">
        <f>+AK331</f>
        <v>2910240533.7500005</v>
      </c>
      <c r="AL432" s="70"/>
      <c r="AM432" s="226" t="e">
        <f t="shared" ref="AM432:AS432" si="589">+AM331</f>
        <v>#DIV/0!</v>
      </c>
      <c r="AN432" s="226">
        <f t="shared" si="589"/>
        <v>-0.84462629123554989</v>
      </c>
      <c r="AO432" s="226">
        <f t="shared" si="589"/>
        <v>-0.80507754997667158</v>
      </c>
      <c r="AP432" s="226">
        <f t="shared" si="589"/>
        <v>-0.75013128504335957</v>
      </c>
      <c r="AQ432" s="226">
        <f t="shared" si="589"/>
        <v>-0.9493653199538975</v>
      </c>
      <c r="AR432" s="226">
        <f t="shared" si="589"/>
        <v>-0.65340699356008047</v>
      </c>
      <c r="AS432" s="226">
        <f t="shared" si="589"/>
        <v>-0.53655641826525824</v>
      </c>
      <c r="AT432" s="226">
        <f t="shared" ref="AT432:AV432" si="590">+AT331</f>
        <v>-0.82547283459900211</v>
      </c>
      <c r="AU432" s="226">
        <f t="shared" si="590"/>
        <v>-0.47155275690343823</v>
      </c>
      <c r="AV432" s="226">
        <f t="shared" si="590"/>
        <v>-0.77501823133707581</v>
      </c>
      <c r="AW432" s="226">
        <f>+AW331</f>
        <v>0.53334057959866332</v>
      </c>
    </row>
    <row r="433" spans="1:7" x14ac:dyDescent="0.25">
      <c r="A433" s="70"/>
      <c r="B433" s="70"/>
      <c r="C433" s="70"/>
      <c r="D433" s="70"/>
      <c r="E433" s="70"/>
      <c r="F433" s="70"/>
      <c r="G433" s="70"/>
    </row>
  </sheetData>
  <mergeCells count="18">
    <mergeCell ref="B432:G432"/>
    <mergeCell ref="B421:G421"/>
    <mergeCell ref="B422:G422"/>
    <mergeCell ref="B423:G423"/>
    <mergeCell ref="B424:G424"/>
    <mergeCell ref="B425:G425"/>
    <mergeCell ref="B426:G426"/>
    <mergeCell ref="B427:G427"/>
    <mergeCell ref="B428:G428"/>
    <mergeCell ref="B429:G429"/>
    <mergeCell ref="B430:G430"/>
    <mergeCell ref="B431:G431"/>
    <mergeCell ref="B420:G420"/>
    <mergeCell ref="B415:G415"/>
    <mergeCell ref="B416:G416"/>
    <mergeCell ref="B417:G417"/>
    <mergeCell ref="B418:G418"/>
    <mergeCell ref="B419:G419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5"/>
  <sheetViews>
    <sheetView showGridLines="0" topLeftCell="B1" workbookViewId="0">
      <selection activeCell="D17" sqref="D17"/>
    </sheetView>
  </sheetViews>
  <sheetFormatPr baseColWidth="10" defaultRowHeight="15" x14ac:dyDescent="0.25"/>
  <cols>
    <col min="1" max="1" width="0" hidden="1" customWidth="1"/>
    <col min="2" max="2" width="26.42578125" bestFit="1" customWidth="1"/>
    <col min="3" max="3" width="16" customWidth="1"/>
    <col min="4" max="4" width="16.28515625" bestFit="1" customWidth="1"/>
    <col min="5" max="5" width="1.28515625" customWidth="1"/>
    <col min="6" max="6" width="0" hidden="1" customWidth="1"/>
    <col min="7" max="7" width="34.85546875" customWidth="1"/>
    <col min="8" max="8" width="16.28515625" bestFit="1" customWidth="1"/>
    <col min="9" max="9" width="15.140625" bestFit="1" customWidth="1"/>
    <col min="10" max="10" width="2.28515625" customWidth="1"/>
  </cols>
  <sheetData>
    <row r="2" spans="1:12" ht="18.75" x14ac:dyDescent="0.3">
      <c r="B2" s="269" t="s">
        <v>954</v>
      </c>
    </row>
    <row r="3" spans="1:12" ht="30" x14ac:dyDescent="0.25">
      <c r="A3" s="258" t="str">
        <f>+'PAC de Ingresos'!A186</f>
        <v>Código</v>
      </c>
      <c r="B3" s="261" t="str">
        <f>+'PAC de Ingresos'!B186</f>
        <v>Nombre</v>
      </c>
      <c r="C3" s="260" t="s">
        <v>1037</v>
      </c>
      <c r="D3" s="260" t="s">
        <v>1038</v>
      </c>
      <c r="F3" s="258" t="e">
        <f>+'PAC de Gastos'!#REF!</f>
        <v>#REF!</v>
      </c>
      <c r="G3" s="261" t="s">
        <v>652</v>
      </c>
      <c r="H3" s="260" t="s">
        <v>1037</v>
      </c>
      <c r="I3" s="260" t="s">
        <v>1038</v>
      </c>
      <c r="K3" s="260" t="s">
        <v>948</v>
      </c>
      <c r="L3" s="260" t="s">
        <v>949</v>
      </c>
    </row>
    <row r="4" spans="1:12" x14ac:dyDescent="0.25">
      <c r="A4" s="259">
        <f>+'PAC de Ingresos'!A187</f>
        <v>1</v>
      </c>
      <c r="B4" s="236" t="str">
        <f>+'PAC de Ingresos'!B187</f>
        <v>PRESUPUESTO DE 'INGRESOS</v>
      </c>
      <c r="C4" s="239">
        <f>+C5+C10</f>
        <v>139290098427.35165</v>
      </c>
      <c r="D4" s="239">
        <f>+D5+D10</f>
        <v>117948374696.81999</v>
      </c>
      <c r="F4" s="230" t="str">
        <f>+'PAC de Gastos'!A416</f>
        <v>2</v>
      </c>
      <c r="G4" s="242" t="str">
        <f>+'PAC de Gastos'!B416</f>
        <v>GASTOS</v>
      </c>
      <c r="H4" s="239">
        <f>+'PAC de Gastos'!U416</f>
        <v>127567984043.39464</v>
      </c>
      <c r="I4" s="239">
        <f>+'PAC de Gastos'!AK416</f>
        <v>94705432752.710007</v>
      </c>
      <c r="K4" s="263">
        <f>(H4-C4)/C4</f>
        <v>-8.4156121047403942E-2</v>
      </c>
      <c r="L4" s="263">
        <f>(I4-D4)/D4</f>
        <v>-0.19706029865909325</v>
      </c>
    </row>
    <row r="5" spans="1:12" x14ac:dyDescent="0.25">
      <c r="A5" s="259" t="str">
        <f>+'PAC de Ingresos'!A188</f>
        <v>11</v>
      </c>
      <c r="B5" s="434" t="str">
        <f>+'PAC de Ingresos'!B188</f>
        <v>INGRESOS CORRIENTES</v>
      </c>
      <c r="C5" s="435">
        <f>+C7+C9</f>
        <v>115974493163.20999</v>
      </c>
      <c r="D5" s="435">
        <f>+D7+D9</f>
        <v>94380006346.959991</v>
      </c>
      <c r="F5" s="230">
        <f>+'PAC de Gastos'!A417</f>
        <v>21</v>
      </c>
      <c r="G5" s="242" t="str">
        <f>+'PAC de Gastos'!B417</f>
        <v>GASTOS DE FUNCIONAMIENTO</v>
      </c>
      <c r="H5" s="239">
        <f>+'PAC de Gastos'!U417</f>
        <v>96757188985.37262</v>
      </c>
      <c r="I5" s="239">
        <f>+'PAC de Gastos'!AK417</f>
        <v>85227508164.930008</v>
      </c>
      <c r="K5" s="262"/>
      <c r="L5" s="262"/>
    </row>
    <row r="6" spans="1:12" x14ac:dyDescent="0.25">
      <c r="A6" s="259" t="str">
        <f>+'PAC de Ingresos'!A189</f>
        <v>1125</v>
      </c>
      <c r="B6" s="434"/>
      <c r="C6" s="434">
        <f>+'PAC de Ingresos'!T189</f>
        <v>43340298767.276657</v>
      </c>
      <c r="D6" s="434">
        <f>+'PAC de Ingresos'!U189</f>
        <v>46439868569.899994</v>
      </c>
      <c r="F6" s="230">
        <f>+'PAC de Gastos'!A418</f>
        <v>211</v>
      </c>
      <c r="G6" s="235" t="s">
        <v>944</v>
      </c>
      <c r="H6" s="234">
        <f>+'PAC de Gastos'!U418</f>
        <v>81840386706.616669</v>
      </c>
      <c r="I6" s="234">
        <f>+'PAC de Gastos'!AK418</f>
        <v>74470792834.050003</v>
      </c>
      <c r="K6" s="262"/>
      <c r="L6" s="262"/>
    </row>
    <row r="7" spans="1:12" x14ac:dyDescent="0.25">
      <c r="A7" s="259" t="str">
        <f>+'PAC de Ingresos'!A190</f>
        <v>1126</v>
      </c>
      <c r="B7" s="436" t="str">
        <f>+'PAC de Ingresos'!B189</f>
        <v>Venta de Bienes y Servicios</v>
      </c>
      <c r="C7" s="437">
        <f>+'PAC de Ingresos'!T189</f>
        <v>43340298767.276657</v>
      </c>
      <c r="D7" s="437">
        <f>+'PAC de Ingresos'!AJ189</f>
        <v>26242239004.530003</v>
      </c>
      <c r="F7" s="230">
        <f>+'PAC de Gastos'!A421</f>
        <v>212</v>
      </c>
      <c r="G7" s="235" t="s">
        <v>943</v>
      </c>
      <c r="H7" s="234">
        <f>+'PAC de Gastos'!U421</f>
        <v>10167120935.647617</v>
      </c>
      <c r="I7" s="234">
        <f>+'PAC de Gastos'!AK421</f>
        <v>6135403873.8799992</v>
      </c>
      <c r="K7" s="262"/>
      <c r="L7" s="262"/>
    </row>
    <row r="8" spans="1:12" x14ac:dyDescent="0.25">
      <c r="A8" s="259" t="str">
        <f>+'PAC de Ingresos'!A191</f>
        <v>12</v>
      </c>
      <c r="B8" s="436"/>
      <c r="C8" s="436">
        <f>+'PAC de Ingresos'!T191</f>
        <v>23315605264.14167</v>
      </c>
      <c r="D8" s="436">
        <f>+'PAC de Ingresos'!U191</f>
        <v>23441386380.77</v>
      </c>
      <c r="F8" s="230">
        <f>+'PAC de Gastos'!A424</f>
        <v>214</v>
      </c>
      <c r="G8" s="235" t="s">
        <v>945</v>
      </c>
      <c r="H8" s="234">
        <f>+'PAC de Gastos'!U424</f>
        <v>67888733.941666663</v>
      </c>
      <c r="I8" s="234">
        <f>+'PAC de Gastos'!AK424</f>
        <v>0</v>
      </c>
      <c r="K8" s="262"/>
      <c r="L8" s="262"/>
    </row>
    <row r="9" spans="1:12" x14ac:dyDescent="0.25">
      <c r="B9" s="236" t="str">
        <f>+'PAC de Ingresos'!B190</f>
        <v>TRANSFERENCIAS CORRIENTES</v>
      </c>
      <c r="C9" s="239">
        <f>+'PAC de Ingresos'!T190</f>
        <v>72634194395.933334</v>
      </c>
      <c r="D9" s="239">
        <f>+'PAC de Ingresos'!AJ190</f>
        <v>68137767342.429993</v>
      </c>
      <c r="F9" s="230">
        <f>+'PAC de Gastos'!A425</f>
        <v>217</v>
      </c>
      <c r="G9" s="235" t="s">
        <v>946</v>
      </c>
      <c r="H9" s="234">
        <f>+'PAC de Gastos'!U425</f>
        <v>4366488983</v>
      </c>
      <c r="I9" s="234">
        <f>+'PAC de Gastos'!AK425</f>
        <v>4218198452</v>
      </c>
      <c r="K9" s="262"/>
      <c r="L9" s="262"/>
    </row>
    <row r="10" spans="1:12" x14ac:dyDescent="0.25">
      <c r="B10" s="434" t="str">
        <f>+'PAC de Ingresos'!B191</f>
        <v>RECURSOS DE CAPITAL</v>
      </c>
      <c r="C10" s="435">
        <f>+'PAC de Ingresos'!T191</f>
        <v>23315605264.14167</v>
      </c>
      <c r="D10" s="435">
        <f>+'PAC de Ingresos'!AJ191</f>
        <v>23568368349.859997</v>
      </c>
      <c r="F10" s="230">
        <f>+'PAC de Gastos'!A426</f>
        <v>218</v>
      </c>
      <c r="G10" s="235" t="s">
        <v>947</v>
      </c>
      <c r="H10" s="234">
        <f>+'PAC de Gastos'!U426</f>
        <v>315303626.16666669</v>
      </c>
      <c r="I10" s="234">
        <f>+'PAC de Gastos'!AK426</f>
        <v>403113005</v>
      </c>
      <c r="K10" s="262"/>
      <c r="L10" s="262"/>
    </row>
    <row r="11" spans="1:12" x14ac:dyDescent="0.25">
      <c r="B11" s="434"/>
      <c r="C11" s="434">
        <f>+'PAC de Ingresos'!T194</f>
        <v>0</v>
      </c>
      <c r="D11" s="434">
        <f>+'PAC de Ingresos'!U194</f>
        <v>0</v>
      </c>
      <c r="F11" s="230">
        <f>+'PAC de Gastos'!A427</f>
        <v>23</v>
      </c>
      <c r="G11" s="242" t="str">
        <f>+'PAC de Gastos'!B427</f>
        <v>GASTOS DE INVERSIÓN</v>
      </c>
      <c r="H11" s="239">
        <f>+'PAC de Gastos'!U427</f>
        <v>30810795058.022018</v>
      </c>
      <c r="I11" s="239">
        <f>+'PAC de Gastos'!AK427</f>
        <v>9477924587.7800007</v>
      </c>
      <c r="K11" s="262"/>
      <c r="L11" s="262"/>
    </row>
    <row r="12" spans="1:12" x14ac:dyDescent="0.25">
      <c r="F12" s="230"/>
    </row>
    <row r="14" spans="1:12" x14ac:dyDescent="0.25">
      <c r="I14" s="229"/>
    </row>
    <row r="15" spans="1:12" x14ac:dyDescent="0.25">
      <c r="I15" s="231"/>
    </row>
  </sheetData>
  <mergeCells count="9">
    <mergeCell ref="B10:B11"/>
    <mergeCell ref="C10:C11"/>
    <mergeCell ref="D10:D11"/>
    <mergeCell ref="B5:B6"/>
    <mergeCell ref="B7:B8"/>
    <mergeCell ref="C5:C6"/>
    <mergeCell ref="D5:D6"/>
    <mergeCell ref="C7:C8"/>
    <mergeCell ref="D7:D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"/>
  <sheetViews>
    <sheetView showGridLines="0" workbookViewId="0">
      <selection activeCell="J6" sqref="J6"/>
    </sheetView>
  </sheetViews>
  <sheetFormatPr baseColWidth="10" defaultRowHeight="15" x14ac:dyDescent="0.25"/>
  <cols>
    <col min="1" max="1" width="40.28515625" customWidth="1"/>
    <col min="2" max="2" width="15.7109375" hidden="1" customWidth="1"/>
    <col min="3" max="3" width="13.7109375" hidden="1" customWidth="1"/>
    <col min="4" max="6" width="14.7109375" hidden="1" customWidth="1"/>
    <col min="7" max="7" width="13.7109375" hidden="1" customWidth="1"/>
    <col min="8" max="9" width="14.7109375" hidden="1" customWidth="1"/>
    <col min="10" max="11" width="15.7109375" bestFit="1" customWidth="1"/>
    <col min="12" max="12" width="2.85546875" customWidth="1"/>
    <col min="13" max="13" width="35.85546875" customWidth="1"/>
    <col min="14" max="19" width="14.7109375" hidden="1" customWidth="1"/>
    <col min="20" max="20" width="16.140625" customWidth="1"/>
    <col min="21" max="21" width="14.7109375" bestFit="1" customWidth="1"/>
    <col min="22" max="22" width="1.42578125" customWidth="1"/>
    <col min="23" max="23" width="13.7109375" bestFit="1" customWidth="1"/>
  </cols>
  <sheetData>
    <row r="1" spans="1:24" ht="18.75" x14ac:dyDescent="0.3">
      <c r="A1" s="269" t="s">
        <v>933</v>
      </c>
    </row>
    <row r="2" spans="1:24" x14ac:dyDescent="0.25">
      <c r="A2" s="452" t="s">
        <v>934</v>
      </c>
      <c r="B2" s="246"/>
      <c r="C2" s="246"/>
      <c r="D2" s="246"/>
      <c r="E2" s="246"/>
      <c r="F2" s="246"/>
      <c r="G2" s="246"/>
      <c r="H2" s="246"/>
      <c r="I2" s="246"/>
      <c r="J2" s="445" t="s">
        <v>938</v>
      </c>
      <c r="K2" s="445" t="s">
        <v>939</v>
      </c>
      <c r="M2" s="454" t="s">
        <v>936</v>
      </c>
      <c r="N2" s="244"/>
      <c r="O2" s="244"/>
      <c r="P2" s="244"/>
      <c r="Q2" s="244"/>
      <c r="R2" s="244"/>
      <c r="S2" s="244"/>
      <c r="T2" s="445" t="s">
        <v>938</v>
      </c>
      <c r="U2" s="445" t="s">
        <v>939</v>
      </c>
      <c r="W2" s="440" t="s">
        <v>948</v>
      </c>
      <c r="X2" s="440" t="s">
        <v>949</v>
      </c>
    </row>
    <row r="3" spans="1:24" x14ac:dyDescent="0.25">
      <c r="A3" s="453"/>
      <c r="B3" s="243"/>
      <c r="C3" s="243"/>
      <c r="D3" s="243"/>
      <c r="E3" s="243"/>
      <c r="F3" s="243"/>
      <c r="G3" s="243"/>
      <c r="H3" s="243"/>
      <c r="I3" s="243"/>
      <c r="J3" s="445"/>
      <c r="K3" s="446"/>
      <c r="M3" s="455"/>
      <c r="N3" s="243"/>
      <c r="O3" s="243"/>
      <c r="P3" s="243"/>
      <c r="Q3" s="243"/>
      <c r="R3" s="243"/>
      <c r="S3" s="243"/>
      <c r="T3" s="445"/>
      <c r="U3" s="446"/>
      <c r="W3" s="440"/>
      <c r="X3" s="440"/>
    </row>
    <row r="4" spans="1:24" s="238" customFormat="1" x14ac:dyDescent="0.25">
      <c r="A4" s="245" t="s">
        <v>935</v>
      </c>
      <c r="B4" s="236"/>
      <c r="C4" s="236"/>
      <c r="D4" s="236"/>
      <c r="E4" s="236"/>
      <c r="F4" s="236"/>
      <c r="G4" s="236"/>
      <c r="H4" s="236"/>
      <c r="I4" s="236"/>
      <c r="J4" s="237">
        <f>+J5+J14</f>
        <v>111277212967.40997</v>
      </c>
      <c r="K4" s="237">
        <f>+K5+K14</f>
        <v>87565282911.190002</v>
      </c>
      <c r="M4" s="236" t="str">
        <f>+A4</f>
        <v>FONDOS COMUNES</v>
      </c>
      <c r="N4" s="237">
        <f t="shared" ref="N4:S4" si="0">SUM(N5:N16)</f>
        <v>29245215454.979996</v>
      </c>
      <c r="O4" s="237">
        <f t="shared" si="0"/>
        <v>9575755963.9745235</v>
      </c>
      <c r="P4" s="237">
        <f t="shared" si="0"/>
        <v>12534476060.364523</v>
      </c>
      <c r="Q4" s="237">
        <f t="shared" si="0"/>
        <v>9897087731.1545238</v>
      </c>
      <c r="R4" s="237">
        <f t="shared" si="0"/>
        <v>9535727347.2745228</v>
      </c>
      <c r="S4" s="237">
        <f t="shared" si="0"/>
        <v>9728814658.6545219</v>
      </c>
      <c r="T4" s="237">
        <f>+T5+T6+T7+T11+T12+T13+T15</f>
        <v>100574300251.43095</v>
      </c>
      <c r="U4" s="237">
        <f>+U5+U6+U7+U11+U12+U13+U15</f>
        <v>87755549971.680008</v>
      </c>
      <c r="W4" s="267">
        <f>(T4-J4)/J4</f>
        <v>-9.6182429722728655E-2</v>
      </c>
      <c r="X4" s="267">
        <f>(U4-K4)/K4</f>
        <v>2.1728595416402314E-3</v>
      </c>
    </row>
    <row r="5" spans="1:24" s="238" customFormat="1" x14ac:dyDescent="0.25">
      <c r="A5" s="236" t="e">
        <f>+'PAC de Ingresos'!#REF!</f>
        <v>#REF!</v>
      </c>
      <c r="B5" s="239" t="e">
        <f>+'PAC de Ingresos'!G3</f>
        <v>#REF!</v>
      </c>
      <c r="C5" s="239">
        <f>+'PAC de Ingresos'!H3</f>
        <v>8850440422.793335</v>
      </c>
      <c r="D5" s="239">
        <f>+'PAC de Ingresos'!I3</f>
        <v>20582809810.556664</v>
      </c>
      <c r="E5" s="239">
        <f>+'PAC de Ingresos'!J3</f>
        <v>16908873629.143333</v>
      </c>
      <c r="F5" s="239">
        <f>+'PAC de Ingresos'!K3</f>
        <v>12102315026.873331</v>
      </c>
      <c r="G5" s="239">
        <f>+'PAC de Ingresos'!L3</f>
        <v>5443783383.1733341</v>
      </c>
      <c r="H5" s="239">
        <f>+'PAC de Ingresos'!M3</f>
        <v>9880858313.0066681</v>
      </c>
      <c r="I5" s="239">
        <f>+'PAC de Ingresos'!N3</f>
        <v>6426037966.6933346</v>
      </c>
      <c r="J5" s="239">
        <f>+J6+J7</f>
        <v>106391546927.87665</v>
      </c>
      <c r="K5" s="239">
        <f>+K6+K7</f>
        <v>82743860771.529999</v>
      </c>
      <c r="M5" s="240" t="s">
        <v>950</v>
      </c>
      <c r="N5" s="241">
        <f>+'PAC de Gastos'!H419</f>
        <v>0</v>
      </c>
      <c r="O5" s="241">
        <f>+'PAC de Gastos'!I419</f>
        <v>5915444291.0600004</v>
      </c>
      <c r="P5" s="241">
        <f>+'PAC de Gastos'!J419</f>
        <v>5784910739.9500008</v>
      </c>
      <c r="Q5" s="241">
        <f>+'PAC de Gastos'!K419</f>
        <v>5254834971.8400011</v>
      </c>
      <c r="R5" s="241">
        <f>+'PAC de Gastos'!L419</f>
        <v>5614557910.8299999</v>
      </c>
      <c r="S5" s="241">
        <f>+'PAC de Gastos'!M419</f>
        <v>5202138094.21</v>
      </c>
      <c r="T5" s="241">
        <f>+'PAC de Gastos'!U419+4366488983</f>
        <v>62209846009.850006</v>
      </c>
      <c r="U5" s="241">
        <f>+'PAC de Gastos'!AK419+4147693696</f>
        <v>59433032650.169998</v>
      </c>
    </row>
    <row r="6" spans="1:24" ht="30" x14ac:dyDescent="0.25">
      <c r="A6" s="233" t="e">
        <f>+'PAC de Ingresos'!#REF!</f>
        <v>#REF!</v>
      </c>
      <c r="B6" s="234" t="e">
        <f>+'PAC de Ingresos'!G5</f>
        <v>#REF!</v>
      </c>
      <c r="C6" s="234">
        <f>+'PAC de Ingresos'!H5</f>
        <v>4320482844.3266678</v>
      </c>
      <c r="D6" s="234">
        <f>+'PAC de Ingresos'!I5</f>
        <v>11866998366.956663</v>
      </c>
      <c r="E6" s="234">
        <f>+'PAC de Ingresos'!J5</f>
        <v>3873856146.6766672</v>
      </c>
      <c r="F6" s="234">
        <f>+'PAC de Ingresos'!K5</f>
        <v>537974633.40666664</v>
      </c>
      <c r="G6" s="234">
        <f>+'PAC de Ingresos'!L5</f>
        <v>913825804.70666659</v>
      </c>
      <c r="H6" s="234">
        <f>+'PAC de Ingresos'!M5</f>
        <v>1085424628.1566668</v>
      </c>
      <c r="I6" s="234">
        <f>+'PAC de Ingresos'!N5</f>
        <v>1735014639.9766669</v>
      </c>
      <c r="J6" s="234">
        <f>+'PAC de Ingresos'!T5</f>
        <v>43340298767.276657</v>
      </c>
      <c r="K6" s="234">
        <f>+'PAC de Ingresos'!AJ5</f>
        <v>26242239004.530003</v>
      </c>
      <c r="M6" s="266" t="s">
        <v>951</v>
      </c>
      <c r="N6" s="234">
        <f>+'PAC de Gastos'!H420</f>
        <v>29245215454.979996</v>
      </c>
      <c r="O6" s="234">
        <f>+'PAC de Gastos'!I420</f>
        <v>1973436828.6316671</v>
      </c>
      <c r="P6" s="234">
        <f>+'PAC de Gastos'!J420</f>
        <v>2405853828.6316671</v>
      </c>
      <c r="Q6" s="234">
        <f>+'PAC de Gastos'!K420</f>
        <v>2638192882.5316668</v>
      </c>
      <c r="R6" s="234">
        <f>+'PAC de Gastos'!L420</f>
        <v>2337344455.6616669</v>
      </c>
      <c r="S6" s="234">
        <f>+'PAC de Gastos'!M420</f>
        <v>2456386807.1616669</v>
      </c>
      <c r="T6" s="234">
        <f>+'PAC de Gastos'!U420</f>
        <v>23997029679.76667</v>
      </c>
      <c r="U6" s="234">
        <f>+'PAC de Gastos'!AK420</f>
        <v>19185453879.880001</v>
      </c>
    </row>
    <row r="7" spans="1:24" s="238" customFormat="1" x14ac:dyDescent="0.25">
      <c r="A7" s="236" t="e">
        <f>+'PAC de Ingresos'!#REF!</f>
        <v>#REF!</v>
      </c>
      <c r="B7" s="239">
        <f>+'PAC de Ingresos'!G124</f>
        <v>81745252610</v>
      </c>
      <c r="C7" s="239">
        <f>+'PAC de Ingresos'!H124</f>
        <v>4529957578.4666672</v>
      </c>
      <c r="D7" s="239">
        <f>+'PAC de Ingresos'!I124</f>
        <v>8715811443.6000004</v>
      </c>
      <c r="E7" s="239">
        <f>+'PAC de Ingresos'!J124</f>
        <v>13035017482.466665</v>
      </c>
      <c r="F7" s="239">
        <f>+'PAC de Ingresos'!K124</f>
        <v>11564340393.466665</v>
      </c>
      <c r="G7" s="239">
        <f>+'PAC de Ingresos'!L124</f>
        <v>4529957578.4666672</v>
      </c>
      <c r="H7" s="239">
        <f>+'PAC de Ingresos'!M124</f>
        <v>8795433684.8500004</v>
      </c>
      <c r="I7" s="239">
        <f>+'PAC de Ingresos'!N124</f>
        <v>4691023326.7166672</v>
      </c>
      <c r="J7" s="239">
        <f>+J8+J10+J11+J12+J13+J9</f>
        <v>63051248160.599991</v>
      </c>
      <c r="K7" s="239">
        <f>+K8+K10+K11+K12+K13+K9</f>
        <v>56501621767</v>
      </c>
      <c r="M7" s="242" t="str">
        <f>+'PAC de Gastos'!B421</f>
        <v>ADQUISICIÓN DE BIENES  Y SERVICIOS</v>
      </c>
      <c r="N7" s="239">
        <f>+'PAC de Gastos'!H421</f>
        <v>0</v>
      </c>
      <c r="O7" s="239">
        <f>+'PAC de Gastos'!I421</f>
        <v>797087354.0580951</v>
      </c>
      <c r="P7" s="239">
        <f>+'PAC de Gastos'!J421</f>
        <v>2158410312.5580955</v>
      </c>
      <c r="Q7" s="239">
        <f>+'PAC de Gastos'!K421</f>
        <v>1001196605.0580951</v>
      </c>
      <c r="R7" s="239">
        <f>+'PAC de Gastos'!L421</f>
        <v>791079157.05809522</v>
      </c>
      <c r="S7" s="239">
        <f>+'PAC de Gastos'!M421</f>
        <v>988794810.5580951</v>
      </c>
      <c r="T7" s="239">
        <f>+T8+T10</f>
        <v>10167120935.647617</v>
      </c>
      <c r="U7" s="239">
        <f>+U8+U10</f>
        <v>6135403873.8799992</v>
      </c>
    </row>
    <row r="8" spans="1:24" x14ac:dyDescent="0.25">
      <c r="A8" s="233" t="e">
        <f>+'PAC de Ingresos'!#REF!</f>
        <v>#REF!</v>
      </c>
      <c r="B8" s="234">
        <f>+'PAC de Ingresos'!G127</f>
        <v>62787807977</v>
      </c>
      <c r="C8" s="234">
        <f>+'PAC de Ingresos'!H127</f>
        <v>4185853865.1333332</v>
      </c>
      <c r="D8" s="234">
        <f>+'PAC de Ingresos'!I127</f>
        <v>8371707730.2666664</v>
      </c>
      <c r="E8" s="234">
        <f>+'PAC de Ingresos'!J127</f>
        <v>4185853865.1333332</v>
      </c>
      <c r="F8" s="234">
        <f>+'PAC de Ingresos'!K127</f>
        <v>4185853865.1333332</v>
      </c>
      <c r="G8" s="234">
        <f>+'PAC de Ingresos'!L127</f>
        <v>4185853865.1333332</v>
      </c>
      <c r="H8" s="234">
        <f>+'PAC de Ingresos'!M127</f>
        <v>8371707730.2666664</v>
      </c>
      <c r="I8" s="234">
        <f>+'PAC de Ingresos'!N127</f>
        <v>4185853865.1333332</v>
      </c>
      <c r="J8" s="234">
        <f>+'PAC de Ingresos'!T127</f>
        <v>50230246381.599991</v>
      </c>
      <c r="K8" s="234">
        <f>+'PAC de Ingresos'!AJ127</f>
        <v>51368319950</v>
      </c>
      <c r="M8" s="235" t="s">
        <v>952</v>
      </c>
      <c r="N8" s="234">
        <f>+'PAC de Gastos'!H422</f>
        <v>0</v>
      </c>
      <c r="O8" s="234">
        <f>+'PAC de Gastos'!I422</f>
        <v>20416666.666666668</v>
      </c>
      <c r="P8" s="234">
        <f>+'PAC de Gastos'!J422</f>
        <v>149024123.16666669</v>
      </c>
      <c r="Q8" s="234">
        <f>+'PAC de Gastos'!K422</f>
        <v>88801473.166666672</v>
      </c>
      <c r="R8" s="234">
        <f>+'PAC de Gastos'!L422</f>
        <v>87701473.166666672</v>
      </c>
      <c r="S8" s="234">
        <f>+'PAC de Gastos'!M422</f>
        <v>87924123.166666672</v>
      </c>
      <c r="T8" s="234">
        <f>+'PAC de Gastos'!U422</f>
        <v>1098282648.0476191</v>
      </c>
      <c r="U8" s="234">
        <f>+'PAC de Gastos'!AK422</f>
        <v>643041836</v>
      </c>
    </row>
    <row r="9" spans="1:24" x14ac:dyDescent="0.25">
      <c r="A9" s="233" t="e">
        <f>+'PAC de Ingresos'!#REF!</f>
        <v>#REF!</v>
      </c>
      <c r="B9" s="234"/>
      <c r="C9" s="234"/>
      <c r="D9" s="234"/>
      <c r="E9" s="234"/>
      <c r="F9" s="234"/>
      <c r="G9" s="234"/>
      <c r="H9" s="234"/>
      <c r="I9" s="234"/>
      <c r="J9" s="234">
        <f>+'PAC de Ingresos'!T128</f>
        <v>1415826322</v>
      </c>
      <c r="K9" s="234">
        <f>+'PAC de Ingresos'!AJ128</f>
        <v>1415826322</v>
      </c>
      <c r="M9" s="235"/>
      <c r="N9" s="234"/>
      <c r="O9" s="234"/>
      <c r="P9" s="234"/>
      <c r="Q9" s="234"/>
      <c r="R9" s="234"/>
      <c r="S9" s="234"/>
      <c r="T9" s="234"/>
      <c r="U9" s="234"/>
    </row>
    <row r="10" spans="1:24" x14ac:dyDescent="0.25">
      <c r="A10" s="233" t="e">
        <f>+'PAC de Ingresos'!#REF!</f>
        <v>#REF!</v>
      </c>
      <c r="B10" s="234">
        <f>+'PAC de Ingresos'!G129</f>
        <v>956870000</v>
      </c>
      <c r="C10" s="234">
        <f>+'PAC de Ingresos'!H129</f>
        <v>0</v>
      </c>
      <c r="D10" s="234">
        <f>+'PAC de Ingresos'!I129</f>
        <v>0</v>
      </c>
      <c r="E10" s="234">
        <f>+'PAC de Ingresos'!J129</f>
        <v>0</v>
      </c>
      <c r="F10" s="234">
        <f>+'PAC de Ingresos'!K129</f>
        <v>0</v>
      </c>
      <c r="G10" s="234">
        <f>+'PAC de Ingresos'!L129</f>
        <v>0</v>
      </c>
      <c r="H10" s="234">
        <f>+'PAC de Ingresos'!M129</f>
        <v>0</v>
      </c>
      <c r="I10" s="234">
        <f>+'PAC de Ingresos'!N129</f>
        <v>0</v>
      </c>
      <c r="J10" s="234">
        <f>+'PAC de Ingresos'!T129</f>
        <v>956870000</v>
      </c>
      <c r="K10" s="234">
        <f>+'PAC de Ingresos'!AJ129</f>
        <v>1235953462</v>
      </c>
      <c r="M10" s="235" t="s">
        <v>953</v>
      </c>
      <c r="N10" s="234">
        <f>+'PAC de Gastos'!H423</f>
        <v>0</v>
      </c>
      <c r="O10" s="234">
        <f>+'PAC de Gastos'!I423</f>
        <v>776670687.39142847</v>
      </c>
      <c r="P10" s="234">
        <f>+'PAC de Gastos'!J423</f>
        <v>2009386189.3914287</v>
      </c>
      <c r="Q10" s="234">
        <f>+'PAC de Gastos'!K423</f>
        <v>912395131.89142847</v>
      </c>
      <c r="R10" s="234">
        <f>+'PAC de Gastos'!L423</f>
        <v>703377683.89142859</v>
      </c>
      <c r="S10" s="234">
        <f>+'PAC de Gastos'!M423</f>
        <v>900870687.39142847</v>
      </c>
      <c r="T10" s="234">
        <f>+'PAC de Gastos'!U423</f>
        <v>9068838287.5999985</v>
      </c>
      <c r="U10" s="234">
        <f>+'PAC de Gastos'!AK423</f>
        <v>5492362037.8799992</v>
      </c>
    </row>
    <row r="11" spans="1:24" x14ac:dyDescent="0.25">
      <c r="A11" s="233" t="e">
        <f>+'PAC de Ingresos'!#REF!</f>
        <v>#REF!</v>
      </c>
      <c r="B11" s="234">
        <f>+'PAC de Ingresos'!G132</f>
        <v>8505059904</v>
      </c>
      <c r="C11" s="234">
        <f>+'PAC de Ingresos'!H132</f>
        <v>0</v>
      </c>
      <c r="D11" s="234">
        <f>+'PAC de Ingresos'!I132</f>
        <v>0</v>
      </c>
      <c r="E11" s="234">
        <f>+'PAC de Ingresos'!J132</f>
        <v>8505059904</v>
      </c>
      <c r="F11" s="234">
        <f>+'PAC de Ingresos'!K132</f>
        <v>0</v>
      </c>
      <c r="G11" s="234">
        <f>+'PAC de Ingresos'!L132</f>
        <v>0</v>
      </c>
      <c r="H11" s="234">
        <f>+'PAC de Ingresos'!M132</f>
        <v>0</v>
      </c>
      <c r="I11" s="234">
        <f>+'PAC de Ingresos'!N132</f>
        <v>0</v>
      </c>
      <c r="J11" s="234">
        <f>+'PAC de Ingresos'!T132</f>
        <v>8505059904</v>
      </c>
      <c r="K11" s="234">
        <f>+'PAC de Ingresos'!AJ132</f>
        <v>0</v>
      </c>
      <c r="M11" s="242"/>
      <c r="N11" s="239"/>
      <c r="O11" s="239"/>
      <c r="P11" s="239"/>
      <c r="Q11" s="239"/>
      <c r="R11" s="239"/>
      <c r="S11" s="239"/>
      <c r="T11" s="239"/>
      <c r="U11" s="239"/>
    </row>
    <row r="12" spans="1:24" x14ac:dyDescent="0.25">
      <c r="A12" s="265" t="e">
        <f>+'PAC de Ingresos'!#REF!</f>
        <v>#REF!</v>
      </c>
      <c r="B12" s="234">
        <f>+'PAC de Ingresos'!G139</f>
        <v>0</v>
      </c>
      <c r="C12" s="234">
        <f>+'PAC de Ingresos'!H139</f>
        <v>0</v>
      </c>
      <c r="D12" s="234">
        <f>+'PAC de Ingresos'!I139</f>
        <v>0</v>
      </c>
      <c r="E12" s="234">
        <f>+'PAC de Ingresos'!J139</f>
        <v>0</v>
      </c>
      <c r="F12" s="234">
        <f>+'PAC de Ingresos'!K139</f>
        <v>0</v>
      </c>
      <c r="G12" s="234">
        <f>+'PAC de Ingresos'!L139</f>
        <v>0</v>
      </c>
      <c r="H12" s="234">
        <f>+'PAC de Ingresos'!M139</f>
        <v>0</v>
      </c>
      <c r="I12" s="234">
        <f>+'PAC de Ingresos'!N139</f>
        <v>0</v>
      </c>
      <c r="J12" s="234">
        <f>+'PAC de Ingresos'!T139</f>
        <v>1030476658</v>
      </c>
      <c r="K12" s="234">
        <f>+'PAC de Ingresos'!AJ139</f>
        <v>1030476658</v>
      </c>
      <c r="M12" s="242"/>
      <c r="N12" s="239"/>
      <c r="O12" s="239"/>
      <c r="P12" s="239"/>
      <c r="Q12" s="239"/>
      <c r="R12" s="239"/>
      <c r="S12" s="239"/>
      <c r="T12" s="239"/>
      <c r="U12" s="239"/>
    </row>
    <row r="13" spans="1:24" x14ac:dyDescent="0.25">
      <c r="A13" s="265" t="e">
        <f>+'PAC de Ingresos'!#REF!</f>
        <v>#REF!</v>
      </c>
      <c r="B13" s="234">
        <f>+'PAC de Ingresos'!G142</f>
        <v>1095322674</v>
      </c>
      <c r="C13" s="234">
        <f>+'PAC de Ingresos'!H142</f>
        <v>91276889.5</v>
      </c>
      <c r="D13" s="234">
        <f>+'PAC de Ingresos'!I142</f>
        <v>91276889.5</v>
      </c>
      <c r="E13" s="234">
        <f>+'PAC de Ingresos'!J142</f>
        <v>91276889.5</v>
      </c>
      <c r="F13" s="234">
        <f>+'PAC de Ingresos'!K142</f>
        <v>91276889.5</v>
      </c>
      <c r="G13" s="234">
        <f>+'PAC de Ingresos'!L142</f>
        <v>91276889.5</v>
      </c>
      <c r="H13" s="234">
        <f>+'PAC de Ingresos'!M142</f>
        <v>91276889.5</v>
      </c>
      <c r="I13" s="234">
        <f>+'PAC de Ingresos'!N142</f>
        <v>91276889.5</v>
      </c>
      <c r="J13" s="234">
        <f>+'PAC de Ingresos'!T142</f>
        <v>912768895</v>
      </c>
      <c r="K13" s="234">
        <f>+'PAC de Ingresos'!AJ142</f>
        <v>1451045375</v>
      </c>
      <c r="M13" s="447" t="str">
        <f>+'PAC de Gastos'!B426</f>
        <v>GASTOS POR TRIBUTOS, MULTAS, SANCIONES E INTERESES DE MORA</v>
      </c>
      <c r="N13" s="239">
        <f>+'PAC de Gastos'!H426</f>
        <v>0</v>
      </c>
      <c r="O13" s="239">
        <f>+'PAC de Gastos'!I426</f>
        <v>92700136.166666672</v>
      </c>
      <c r="P13" s="239">
        <f>+'PAC de Gastos'!J426</f>
        <v>26890866.666666668</v>
      </c>
      <c r="Q13" s="239">
        <f>+'PAC de Gastos'!K426</f>
        <v>1666666.6666666667</v>
      </c>
      <c r="R13" s="239">
        <f>+'PAC de Gastos'!L426</f>
        <v>1666666.6666666667</v>
      </c>
      <c r="S13" s="239">
        <f>+'PAC de Gastos'!M426</f>
        <v>92700136.166666672</v>
      </c>
      <c r="T13" s="438">
        <f>+'PAC de Gastos'!U426</f>
        <v>315303626.16666669</v>
      </c>
      <c r="U13" s="438">
        <f>+'PAC de Gastos'!AK426</f>
        <v>403113005</v>
      </c>
    </row>
    <row r="14" spans="1:24" s="238" customFormat="1" x14ac:dyDescent="0.25">
      <c r="A14" s="236" t="s">
        <v>940</v>
      </c>
      <c r="B14" s="239"/>
      <c r="C14" s="239"/>
      <c r="D14" s="239"/>
      <c r="E14" s="239"/>
      <c r="F14" s="239"/>
      <c r="G14" s="239"/>
      <c r="H14" s="239"/>
      <c r="I14" s="239"/>
      <c r="J14" s="239">
        <f>+J16+J15</f>
        <v>4885666039.5333328</v>
      </c>
      <c r="K14" s="239">
        <f>+K16+K15</f>
        <v>4821422139.6599998</v>
      </c>
      <c r="M14" s="448"/>
      <c r="N14" s="239"/>
      <c r="O14" s="239"/>
      <c r="P14" s="239"/>
      <c r="Q14" s="239"/>
      <c r="R14" s="239"/>
      <c r="S14" s="239"/>
      <c r="T14" s="439"/>
      <c r="U14" s="439"/>
    </row>
    <row r="15" spans="1:24" x14ac:dyDescent="0.25">
      <c r="A15" s="233" t="s">
        <v>978</v>
      </c>
      <c r="B15" s="234"/>
      <c r="C15" s="234"/>
      <c r="D15" s="234"/>
      <c r="E15" s="234"/>
      <c r="F15" s="234"/>
      <c r="G15" s="234"/>
      <c r="H15" s="234"/>
      <c r="I15" s="234"/>
      <c r="J15" s="234">
        <v>4248370902</v>
      </c>
      <c r="K15" s="234">
        <f>+J15</f>
        <v>4248370902</v>
      </c>
      <c r="M15" s="309" t="s">
        <v>104</v>
      </c>
      <c r="N15" s="234"/>
      <c r="O15" s="234"/>
      <c r="P15" s="234"/>
      <c r="Q15" s="234"/>
      <c r="R15" s="234"/>
      <c r="S15" s="234"/>
      <c r="T15" s="307">
        <v>3885000000</v>
      </c>
      <c r="U15" s="307">
        <v>2598546562.75</v>
      </c>
      <c r="V15" s="231"/>
    </row>
    <row r="16" spans="1:24" x14ac:dyDescent="0.25">
      <c r="A16" s="233" t="e">
        <f>+'PAC de Ingresos'!#REF!</f>
        <v>#REF!</v>
      </c>
      <c r="B16" s="234">
        <f>+'PAC de Ingresos'!G177</f>
        <v>0</v>
      </c>
      <c r="C16" s="234">
        <f>+'PAC de Ingresos'!H177</f>
        <v>0</v>
      </c>
      <c r="D16" s="234">
        <f>+'PAC de Ingresos'!I177</f>
        <v>360566197</v>
      </c>
      <c r="E16" s="234">
        <f>+'PAC de Ingresos'!J177</f>
        <v>0</v>
      </c>
      <c r="F16" s="234">
        <f>+'PAC de Ingresos'!K177</f>
        <v>0</v>
      </c>
      <c r="G16" s="234">
        <f>+'PAC de Ingresos'!L177</f>
        <v>0</v>
      </c>
      <c r="H16" s="234">
        <f>+'PAC de Ingresos'!M177</f>
        <v>0</v>
      </c>
      <c r="I16" s="234">
        <f>+'PAC de Ingresos'!N177</f>
        <v>0</v>
      </c>
      <c r="J16" s="234">
        <f>+'PAC de Ingresos'!T168</f>
        <v>637295137.5333333</v>
      </c>
      <c r="K16" s="234">
        <f>+'PAC de Ingresos'!AJ177+'PAC de Ingresos'!AJ170+'PAC de Ingresos'!AJ181+'PAC de Ingresos'!AJ182</f>
        <v>573051237.65999997</v>
      </c>
      <c r="M16" s="310"/>
      <c r="N16" s="234"/>
      <c r="O16" s="234"/>
      <c r="P16" s="234"/>
      <c r="Q16" s="234"/>
      <c r="R16" s="234"/>
      <c r="S16" s="234"/>
      <c r="T16" s="308"/>
      <c r="U16" s="308"/>
      <c r="V16" s="231"/>
    </row>
    <row r="17" spans="1:24" s="255" customFormat="1" ht="8.4499999999999993" customHeight="1" x14ac:dyDescent="0.25">
      <c r="A17" s="253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M17" s="256"/>
      <c r="N17" s="254"/>
      <c r="O17" s="254"/>
      <c r="P17" s="254"/>
      <c r="Q17" s="254"/>
      <c r="R17" s="254"/>
      <c r="S17" s="254"/>
      <c r="T17" s="254"/>
      <c r="U17" s="254"/>
      <c r="V17" s="257"/>
    </row>
    <row r="18" spans="1:24" x14ac:dyDescent="0.25">
      <c r="A18" s="247" t="s">
        <v>937</v>
      </c>
      <c r="B18" s="248"/>
      <c r="C18" s="248"/>
      <c r="D18" s="248"/>
      <c r="E18" s="248"/>
      <c r="F18" s="248"/>
      <c r="G18" s="248"/>
      <c r="H18" s="248"/>
      <c r="I18" s="248"/>
      <c r="J18" s="250">
        <f>+J19+J25</f>
        <v>27069037878.866661</v>
      </c>
      <c r="K18" s="250">
        <f>+K19+K25</f>
        <v>27093150570.629997</v>
      </c>
      <c r="M18" s="247" t="str">
        <f>+A18</f>
        <v>DESTINACIÓN ESPECIFICA</v>
      </c>
      <c r="N18" s="248"/>
      <c r="O18" s="248"/>
      <c r="P18" s="248"/>
      <c r="Q18" s="248"/>
      <c r="R18" s="248"/>
      <c r="S18" s="248"/>
      <c r="T18" s="250">
        <f>+T19</f>
        <v>15523889997.009697</v>
      </c>
      <c r="U18" s="250">
        <f>+U19</f>
        <v>3005151963.7500005</v>
      </c>
      <c r="W18" s="268">
        <f>(T18-J18)/J18</f>
        <v>-0.42650750771125456</v>
      </c>
      <c r="X18" s="268">
        <f>(U18-K18)/K18</f>
        <v>-0.88908074917622537</v>
      </c>
    </row>
    <row r="19" spans="1:24" x14ac:dyDescent="0.25">
      <c r="A19" s="247" t="e">
        <f>+A5</f>
        <v>#REF!</v>
      </c>
      <c r="B19" s="248"/>
      <c r="C19" s="248"/>
      <c r="D19" s="248"/>
      <c r="E19" s="248"/>
      <c r="F19" s="248"/>
      <c r="G19" s="248"/>
      <c r="H19" s="248"/>
      <c r="I19" s="248"/>
      <c r="J19" s="250">
        <f>+J20+J24</f>
        <v>8577579136.666666</v>
      </c>
      <c r="K19" s="250">
        <f>+K20+K24</f>
        <v>8341450254.4300003</v>
      </c>
      <c r="M19" s="449" t="str">
        <f>+M15</f>
        <v>GASTOS DE INVERSIÓN</v>
      </c>
      <c r="N19" s="248"/>
      <c r="O19" s="248"/>
      <c r="P19" s="248"/>
      <c r="Q19" s="248"/>
      <c r="R19" s="248"/>
      <c r="S19" s="248"/>
      <c r="T19" s="450">
        <f>SUM(T21:T28)</f>
        <v>15523889997.009697</v>
      </c>
      <c r="U19" s="450">
        <f>SUM(U21:U28)</f>
        <v>3005151963.7500005</v>
      </c>
    </row>
    <row r="20" spans="1:24" x14ac:dyDescent="0.25">
      <c r="A20" s="247" t="e">
        <f>+A7</f>
        <v>#REF!</v>
      </c>
      <c r="B20" s="248"/>
      <c r="C20" s="248"/>
      <c r="D20" s="248"/>
      <c r="E20" s="248"/>
      <c r="F20" s="248"/>
      <c r="G20" s="248"/>
      <c r="H20" s="248"/>
      <c r="I20" s="248"/>
      <c r="J20" s="250">
        <f>SUM(J21:J23)</f>
        <v>7649605440.666666</v>
      </c>
      <c r="K20" s="250">
        <f>SUM(K21:K23)</f>
        <v>6786919029.4300003</v>
      </c>
      <c r="M20" s="449"/>
      <c r="N20" s="232"/>
      <c r="O20" s="232"/>
      <c r="P20" s="232"/>
      <c r="Q20" s="232"/>
      <c r="R20" s="232"/>
      <c r="S20" s="232"/>
      <c r="T20" s="451"/>
      <c r="U20" s="451"/>
    </row>
    <row r="21" spans="1:24" x14ac:dyDescent="0.25">
      <c r="A21" s="249" t="e">
        <f>+'PAC de Ingresos'!#REF!</f>
        <v>#REF!</v>
      </c>
      <c r="B21" s="232"/>
      <c r="C21" s="232"/>
      <c r="D21" s="232"/>
      <c r="E21" s="232"/>
      <c r="F21" s="232"/>
      <c r="G21" s="232"/>
      <c r="H21" s="232"/>
      <c r="I21" s="232"/>
      <c r="J21" s="251">
        <f>+'PAC de Ingresos'!T130</f>
        <v>2818488965</v>
      </c>
      <c r="K21" s="251">
        <f>+'PAC de Ingresos'!AJ130</f>
        <v>2818488965</v>
      </c>
      <c r="M21" s="441" t="str">
        <f>+'PAC de Gastos'!B428</f>
        <v>EJE 1. EXCELENCIA ACADÉMICA</v>
      </c>
      <c r="N21" s="249"/>
      <c r="O21" s="249"/>
      <c r="P21" s="249"/>
      <c r="Q21" s="249"/>
      <c r="R21" s="249"/>
      <c r="S21" s="249"/>
      <c r="T21" s="443">
        <f>+[3]Hoja1!$E$6+[3]Hoja1!$F$6</f>
        <v>2682200000</v>
      </c>
      <c r="U21" s="444"/>
      <c r="V21" s="231"/>
      <c r="W21" s="231"/>
    </row>
    <row r="22" spans="1:24" x14ac:dyDescent="0.25">
      <c r="A22" s="249" t="e">
        <f>+'PAC de Ingresos'!#REF!</f>
        <v>#REF!</v>
      </c>
      <c r="B22" s="232"/>
      <c r="C22" s="232"/>
      <c r="D22" s="232"/>
      <c r="E22" s="232"/>
      <c r="F22" s="232"/>
      <c r="G22" s="232"/>
      <c r="H22" s="232"/>
      <c r="I22" s="232"/>
      <c r="J22" s="251">
        <f>+'PAC de Ingresos'!T131</f>
        <v>3692942109</v>
      </c>
      <c r="K22" s="251">
        <f>+'PAC de Ingresos'!AJ131</f>
        <v>3692942109</v>
      </c>
      <c r="M22" s="442"/>
      <c r="N22" s="249"/>
      <c r="O22" s="249"/>
      <c r="P22" s="249"/>
      <c r="Q22" s="249"/>
      <c r="R22" s="249"/>
      <c r="S22" s="249"/>
      <c r="T22" s="442"/>
      <c r="U22" s="442"/>
    </row>
    <row r="23" spans="1:24" x14ac:dyDescent="0.25">
      <c r="A23" s="249" t="e">
        <f>+'PAC de Ingresos'!#REF!</f>
        <v>#REF!</v>
      </c>
      <c r="B23" s="232"/>
      <c r="C23" s="232"/>
      <c r="D23" s="232"/>
      <c r="E23" s="232"/>
      <c r="F23" s="232"/>
      <c r="G23" s="232"/>
      <c r="H23" s="232"/>
      <c r="I23" s="232"/>
      <c r="J23" s="251">
        <f>+'PAC de Ingresos'!T135</f>
        <v>1138174366.6666665</v>
      </c>
      <c r="K23" s="251">
        <f>+'PAC de Ingresos'!AJ135</f>
        <v>275487955.43000001</v>
      </c>
      <c r="M23" s="441" t="str">
        <f>+'PAC de Gastos'!B429</f>
        <v>EJE 2. COMPROMISO SOCIAL.</v>
      </c>
      <c r="N23" s="249"/>
      <c r="O23" s="249"/>
      <c r="P23" s="249"/>
      <c r="Q23" s="249"/>
      <c r="R23" s="249"/>
      <c r="S23" s="249"/>
      <c r="T23" s="443">
        <f>+[3]Hoja1!$E$24+[3]Hoja1!$F$24</f>
        <v>2687800000</v>
      </c>
      <c r="U23" s="444"/>
    </row>
    <row r="24" spans="1:24" x14ac:dyDescent="0.25">
      <c r="A24" s="249" t="e">
        <f>+'PAC de Ingresos'!#REF!</f>
        <v>#REF!</v>
      </c>
      <c r="B24" s="232"/>
      <c r="C24" s="232"/>
      <c r="D24" s="232"/>
      <c r="E24" s="232"/>
      <c r="F24" s="232"/>
      <c r="G24" s="232"/>
      <c r="H24" s="232"/>
      <c r="I24" s="232"/>
      <c r="J24" s="251">
        <f>+'EJEC-ING.JULIO-2020'!G144</f>
        <v>927973696</v>
      </c>
      <c r="K24" s="251">
        <f>+'PAC de Ingresos'!AJ145</f>
        <v>1554531225</v>
      </c>
      <c r="M24" s="442"/>
      <c r="N24" s="249"/>
      <c r="O24" s="249"/>
      <c r="P24" s="249"/>
      <c r="Q24" s="249"/>
      <c r="R24" s="249"/>
      <c r="S24" s="249"/>
      <c r="T24" s="442"/>
      <c r="U24" s="442"/>
    </row>
    <row r="25" spans="1:24" x14ac:dyDescent="0.25">
      <c r="A25" s="247" t="str">
        <f>+A14</f>
        <v>INGRESOS NO CORRIENTES</v>
      </c>
      <c r="B25" s="248"/>
      <c r="C25" s="248"/>
      <c r="D25" s="248"/>
      <c r="E25" s="248"/>
      <c r="F25" s="248"/>
      <c r="G25" s="248"/>
      <c r="H25" s="248"/>
      <c r="I25" s="248"/>
      <c r="J25" s="250">
        <f>+J26+J27+J28</f>
        <v>18491458742.199997</v>
      </c>
      <c r="K25" s="250">
        <f>+K26+K27+K28</f>
        <v>18751700316.199997</v>
      </c>
      <c r="M25" s="441" t="str">
        <f>+'PAC de Gastos'!B430</f>
        <v>EJE 3. COMPROMISO AMBIENTAL</v>
      </c>
      <c r="N25" s="249"/>
      <c r="O25" s="249"/>
      <c r="P25" s="249"/>
      <c r="Q25" s="249"/>
      <c r="R25" s="249"/>
      <c r="S25" s="249"/>
      <c r="T25" s="443">
        <f>+'PAC de Gastos'!U430</f>
        <v>84200000</v>
      </c>
      <c r="U25" s="444">
        <f>+'PAC de Gastos'!AK430</f>
        <v>0</v>
      </c>
    </row>
    <row r="26" spans="1:24" x14ac:dyDescent="0.25">
      <c r="A26" s="249" t="e">
        <f>+'PAC de Ingresos'!#REF!</f>
        <v>#REF!</v>
      </c>
      <c r="B26" s="232"/>
      <c r="C26" s="232"/>
      <c r="D26" s="232"/>
      <c r="E26" s="232"/>
      <c r="F26" s="232"/>
      <c r="G26" s="232"/>
      <c r="H26" s="232"/>
      <c r="I26" s="232"/>
      <c r="J26" s="251">
        <f>+K26</f>
        <v>18186853759.73</v>
      </c>
      <c r="K26" s="251">
        <f>+'PAC de Ingresos'!AJ163-K15</f>
        <v>18186853759.73</v>
      </c>
      <c r="M26" s="442"/>
      <c r="N26" s="249"/>
      <c r="O26" s="249"/>
      <c r="P26" s="249"/>
      <c r="Q26" s="249"/>
      <c r="R26" s="249"/>
      <c r="S26" s="249"/>
      <c r="T26" s="442"/>
      <c r="U26" s="442"/>
    </row>
    <row r="27" spans="1:24" x14ac:dyDescent="0.25">
      <c r="A27" s="249" t="e">
        <f>+'PAC de Ingresos'!#REF!</f>
        <v>#REF!</v>
      </c>
      <c r="B27" s="232"/>
      <c r="C27" s="232"/>
      <c r="D27" s="232"/>
      <c r="E27" s="232"/>
      <c r="F27" s="232"/>
      <c r="G27" s="232"/>
      <c r="H27" s="232"/>
      <c r="I27" s="232"/>
      <c r="J27" s="251">
        <f>+K27</f>
        <v>304604982.46999699</v>
      </c>
      <c r="K27" s="251">
        <f>+'PAC de Ingresos'!AJ166</f>
        <v>304604982.46999699</v>
      </c>
      <c r="M27" s="252" t="str">
        <f>+'PAC de Gastos'!B431</f>
        <v>EJE 4. EFICIENCIA Y TRANSPARENCIA ADMINISTRATIVA</v>
      </c>
      <c r="N27" s="249"/>
      <c r="O27" s="249"/>
      <c r="P27" s="249"/>
      <c r="Q27" s="249"/>
      <c r="R27" s="249"/>
      <c r="S27" s="249"/>
      <c r="T27" s="251">
        <f>+[3]Hoja1!$E$63+[3]Hoja1!$F$63</f>
        <v>330000000</v>
      </c>
      <c r="U27" s="251">
        <f>330000000-235088570</f>
        <v>94911430</v>
      </c>
      <c r="V27" s="231"/>
      <c r="W27" s="231"/>
    </row>
    <row r="28" spans="1:24" x14ac:dyDescent="0.25">
      <c r="A28" s="249" t="s">
        <v>480</v>
      </c>
      <c r="B28" s="232"/>
      <c r="C28" s="232"/>
      <c r="D28" s="232"/>
      <c r="E28" s="232"/>
      <c r="F28" s="232"/>
      <c r="G28" s="232"/>
      <c r="H28" s="232"/>
      <c r="I28" s="232"/>
      <c r="J28" s="251"/>
      <c r="K28" s="251">
        <v>260241574</v>
      </c>
      <c r="M28" s="252" t="str">
        <f>+'PAC de Gastos'!B432</f>
        <v>INVERSIÓN -RECURSOS DE BALANCE 2019</v>
      </c>
      <c r="N28" s="249"/>
      <c r="O28" s="249"/>
      <c r="P28" s="249"/>
      <c r="Q28" s="249"/>
      <c r="R28" s="249"/>
      <c r="S28" s="249"/>
      <c r="T28" s="251">
        <f>+'PAC de Gastos'!U432</f>
        <v>9739689997.009697</v>
      </c>
      <c r="U28" s="251">
        <f>+'PAC de Gastos'!AK432</f>
        <v>2910240533.7500005</v>
      </c>
    </row>
    <row r="29" spans="1:24" x14ac:dyDescent="0.25">
      <c r="M29" s="230"/>
      <c r="T29" s="231"/>
      <c r="U29" s="229"/>
    </row>
    <row r="30" spans="1:24" x14ac:dyDescent="0.25">
      <c r="K30" s="229">
        <f>+K18+K4</f>
        <v>114658433481.82001</v>
      </c>
    </row>
    <row r="31" spans="1:24" x14ac:dyDescent="0.25">
      <c r="K31" s="229">
        <f>+'EJEC-ING.JULIO-2020'!G5</f>
        <v>87591741449.449997</v>
      </c>
      <c r="U31" s="231">
        <f>+U18+U4</f>
        <v>90760701935.430008</v>
      </c>
    </row>
    <row r="32" spans="1:24" x14ac:dyDescent="0.25">
      <c r="K32" s="231">
        <f>+K31-K30</f>
        <v>-27066692032.37001</v>
      </c>
      <c r="U32" s="229">
        <f>+'EJEC-GASTOS-JULIO-2020'!L6</f>
        <v>65815676234.329994</v>
      </c>
    </row>
    <row r="33" spans="21:21" x14ac:dyDescent="0.25">
      <c r="U33" s="231">
        <f>+U31-U32</f>
        <v>24945025701.100014</v>
      </c>
    </row>
  </sheetData>
  <mergeCells count="23">
    <mergeCell ref="A2:A3"/>
    <mergeCell ref="J2:J3"/>
    <mergeCell ref="K2:K3"/>
    <mergeCell ref="M2:M3"/>
    <mergeCell ref="T2:T3"/>
    <mergeCell ref="U25:U26"/>
    <mergeCell ref="T25:T26"/>
    <mergeCell ref="M25:M26"/>
    <mergeCell ref="M19:M20"/>
    <mergeCell ref="T19:T20"/>
    <mergeCell ref="U19:U20"/>
    <mergeCell ref="M21:M22"/>
    <mergeCell ref="T21:T22"/>
    <mergeCell ref="U21:U22"/>
    <mergeCell ref="U13:U14"/>
    <mergeCell ref="W2:W3"/>
    <mergeCell ref="X2:X3"/>
    <mergeCell ref="M23:M24"/>
    <mergeCell ref="T23:T24"/>
    <mergeCell ref="U23:U24"/>
    <mergeCell ref="U2:U3"/>
    <mergeCell ref="M13:M14"/>
    <mergeCell ref="T13:T1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0"/>
  <sheetViews>
    <sheetView topLeftCell="C1" workbookViewId="0">
      <selection activeCell="E14" sqref="E14"/>
    </sheetView>
  </sheetViews>
  <sheetFormatPr baseColWidth="10" defaultColWidth="13.85546875" defaultRowHeight="15" x14ac:dyDescent="0.25"/>
  <cols>
    <col min="1" max="2" width="8.7109375" style="285" hidden="1" customWidth="1"/>
    <col min="3" max="3" width="64.42578125" style="285" customWidth="1"/>
    <col min="4" max="4" width="20.140625" style="285" customWidth="1"/>
    <col min="5" max="8" width="18.7109375" style="285" customWidth="1"/>
    <col min="9" max="9" width="20.140625" style="285" customWidth="1"/>
    <col min="10" max="10" width="13.7109375" style="285" bestFit="1" customWidth="1"/>
    <col min="11" max="11" width="14.5703125" style="285" bestFit="1" customWidth="1"/>
    <col min="12" max="12" width="14.42578125" style="285" customWidth="1"/>
    <col min="13" max="26" width="8.7109375" style="285" customWidth="1"/>
    <col min="27" max="16384" width="13.85546875" style="285"/>
  </cols>
  <sheetData>
    <row r="1" spans="3:12" x14ac:dyDescent="0.25">
      <c r="D1" s="286"/>
      <c r="E1" s="286">
        <v>3200000000</v>
      </c>
      <c r="F1" s="286">
        <v>2500000000</v>
      </c>
      <c r="G1" s="286">
        <v>3885000000</v>
      </c>
      <c r="H1" s="286">
        <v>1365809240</v>
      </c>
      <c r="I1" s="286">
        <f>+E1+F1+G1+H1</f>
        <v>10950809240</v>
      </c>
    </row>
    <row r="2" spans="3:12" x14ac:dyDescent="0.25">
      <c r="D2" s="286"/>
      <c r="E2" s="286">
        <f>+E1-E5</f>
        <v>0</v>
      </c>
      <c r="F2" s="286">
        <f>+F1-F5</f>
        <v>0</v>
      </c>
      <c r="G2" s="286">
        <f>+G1-G5</f>
        <v>0</v>
      </c>
      <c r="H2" s="286">
        <f>+H1-H5</f>
        <v>0</v>
      </c>
      <c r="I2" s="286">
        <f>+E2+F2+G2+H2</f>
        <v>0</v>
      </c>
      <c r="K2" s="286"/>
    </row>
    <row r="3" spans="3:12" ht="16.5" x14ac:dyDescent="0.35">
      <c r="C3" s="287"/>
      <c r="D3" s="288"/>
      <c r="E3" s="456" t="s">
        <v>979</v>
      </c>
      <c r="F3" s="457"/>
      <c r="G3" s="457"/>
      <c r="H3" s="457"/>
      <c r="I3" s="458"/>
    </row>
    <row r="4" spans="3:12" ht="30" x14ac:dyDescent="0.25">
      <c r="C4" s="287"/>
      <c r="D4" s="289" t="s">
        <v>980</v>
      </c>
      <c r="E4" s="290" t="s">
        <v>973</v>
      </c>
      <c r="F4" s="290" t="s">
        <v>981</v>
      </c>
      <c r="G4" s="290" t="s">
        <v>982</v>
      </c>
      <c r="H4" s="290" t="s">
        <v>983</v>
      </c>
      <c r="I4" s="290" t="s">
        <v>666</v>
      </c>
      <c r="J4" s="306" t="s">
        <v>990</v>
      </c>
      <c r="K4" s="305" t="s">
        <v>991</v>
      </c>
    </row>
    <row r="5" spans="3:12" ht="18.75" x14ac:dyDescent="0.3">
      <c r="C5" s="291" t="s">
        <v>104</v>
      </c>
      <c r="D5" s="292">
        <f t="shared" ref="D5:I5" si="0">+D6+D24+D58+D63</f>
        <v>10950809240</v>
      </c>
      <c r="E5" s="292">
        <f t="shared" si="0"/>
        <v>3200000000</v>
      </c>
      <c r="F5" s="292">
        <f t="shared" si="0"/>
        <v>2500000000</v>
      </c>
      <c r="G5" s="292">
        <f t="shared" si="0"/>
        <v>3885000000</v>
      </c>
      <c r="H5" s="292">
        <f t="shared" si="0"/>
        <v>1365809240</v>
      </c>
      <c r="I5" s="292">
        <f t="shared" si="0"/>
        <v>10950809240</v>
      </c>
      <c r="J5" s="293">
        <v>1154000000</v>
      </c>
      <c r="K5" s="294">
        <f>+J5+G5</f>
        <v>5039000000</v>
      </c>
      <c r="L5" s="286"/>
    </row>
    <row r="6" spans="3:12" x14ac:dyDescent="0.25">
      <c r="C6" s="295" t="s">
        <v>105</v>
      </c>
      <c r="D6" s="296">
        <f t="shared" ref="D6:I6" si="1">+D7+D13+D17+D19+D22</f>
        <v>4085000000</v>
      </c>
      <c r="E6" s="296">
        <f t="shared" si="1"/>
        <v>1805163840</v>
      </c>
      <c r="F6" s="296">
        <f t="shared" si="1"/>
        <v>877036160</v>
      </c>
      <c r="G6" s="296">
        <f t="shared" si="1"/>
        <v>1402800000</v>
      </c>
      <c r="H6" s="296">
        <f t="shared" si="1"/>
        <v>0</v>
      </c>
      <c r="I6" s="296">
        <f t="shared" si="1"/>
        <v>4085000000</v>
      </c>
      <c r="J6" s="286"/>
    </row>
    <row r="7" spans="3:12" x14ac:dyDescent="0.25">
      <c r="C7" s="297" t="s">
        <v>106</v>
      </c>
      <c r="D7" s="298">
        <f t="shared" ref="D7:I7" si="2">+D8+D9</f>
        <v>515000000</v>
      </c>
      <c r="E7" s="298">
        <f t="shared" si="2"/>
        <v>385000000</v>
      </c>
      <c r="F7" s="298">
        <f t="shared" si="2"/>
        <v>80000000</v>
      </c>
      <c r="G7" s="298">
        <f t="shared" si="2"/>
        <v>50000000</v>
      </c>
      <c r="H7" s="298">
        <f t="shared" si="2"/>
        <v>0</v>
      </c>
      <c r="I7" s="298">
        <f t="shared" si="2"/>
        <v>515000000</v>
      </c>
      <c r="J7" s="286"/>
      <c r="L7" s="299"/>
    </row>
    <row r="8" spans="3:12" x14ac:dyDescent="0.25">
      <c r="C8" s="300" t="s">
        <v>984</v>
      </c>
      <c r="D8" s="288">
        <v>190000000</v>
      </c>
      <c r="E8" s="288">
        <v>190000000</v>
      </c>
      <c r="F8" s="288">
        <v>0</v>
      </c>
      <c r="G8" s="288"/>
      <c r="H8" s="288"/>
      <c r="I8" s="288">
        <f>+E8+F8+G8+H8</f>
        <v>190000000</v>
      </c>
      <c r="J8" s="286"/>
    </row>
    <row r="9" spans="3:12" x14ac:dyDescent="0.25">
      <c r="C9" s="297" t="s">
        <v>985</v>
      </c>
      <c r="D9" s="298">
        <f t="shared" ref="D9:I9" si="3">+D10+D11+D12</f>
        <v>325000000</v>
      </c>
      <c r="E9" s="298">
        <f t="shared" si="3"/>
        <v>195000000</v>
      </c>
      <c r="F9" s="298">
        <f t="shared" si="3"/>
        <v>80000000</v>
      </c>
      <c r="G9" s="298">
        <f t="shared" si="3"/>
        <v>50000000</v>
      </c>
      <c r="H9" s="298">
        <f t="shared" si="3"/>
        <v>0</v>
      </c>
      <c r="I9" s="298">
        <f t="shared" si="3"/>
        <v>325000000</v>
      </c>
      <c r="J9" s="286"/>
    </row>
    <row r="10" spans="3:12" x14ac:dyDescent="0.25">
      <c r="C10" s="300" t="s">
        <v>986</v>
      </c>
      <c r="D10" s="288">
        <v>225000000</v>
      </c>
      <c r="E10" s="288">
        <v>175000000</v>
      </c>
      <c r="F10" s="288">
        <v>0</v>
      </c>
      <c r="G10" s="288">
        <v>50000000</v>
      </c>
      <c r="H10" s="288"/>
      <c r="I10" s="288">
        <f>+E10+F10+G10+H10</f>
        <v>225000000</v>
      </c>
      <c r="J10" s="286"/>
    </row>
    <row r="11" spans="3:12" x14ac:dyDescent="0.25">
      <c r="C11" s="300" t="s">
        <v>987</v>
      </c>
      <c r="D11" s="288">
        <v>20000000</v>
      </c>
      <c r="E11" s="288">
        <v>20000000</v>
      </c>
      <c r="F11" s="288"/>
      <c r="G11" s="288"/>
      <c r="H11" s="288"/>
      <c r="I11" s="288">
        <f>+E11+F11+G11+H11</f>
        <v>20000000</v>
      </c>
      <c r="J11" s="286"/>
    </row>
    <row r="12" spans="3:12" x14ac:dyDescent="0.25">
      <c r="C12" s="300" t="s">
        <v>988</v>
      </c>
      <c r="D12" s="288">
        <v>80000000</v>
      </c>
      <c r="E12" s="288"/>
      <c r="F12" s="288">
        <v>80000000</v>
      </c>
      <c r="G12" s="288"/>
      <c r="H12" s="288"/>
      <c r="I12" s="288">
        <f>+E12+F12+G12+H12</f>
        <v>80000000</v>
      </c>
      <c r="J12" s="286"/>
    </row>
    <row r="13" spans="3:12" x14ac:dyDescent="0.25">
      <c r="C13" s="301" t="s">
        <v>107</v>
      </c>
      <c r="D13" s="296">
        <f t="shared" ref="D13:I13" si="4">+D14+D16</f>
        <v>1850000000</v>
      </c>
      <c r="E13" s="296">
        <f t="shared" si="4"/>
        <v>820163840</v>
      </c>
      <c r="F13" s="296">
        <f t="shared" si="4"/>
        <v>477036160</v>
      </c>
      <c r="G13" s="296">
        <f t="shared" si="4"/>
        <v>552800000</v>
      </c>
      <c r="H13" s="296">
        <f t="shared" si="4"/>
        <v>0</v>
      </c>
      <c r="I13" s="296">
        <f t="shared" si="4"/>
        <v>1850000000</v>
      </c>
      <c r="J13" s="286"/>
      <c r="K13" s="286"/>
    </row>
    <row r="14" spans="3:12" x14ac:dyDescent="0.25">
      <c r="C14" s="297" t="s">
        <v>108</v>
      </c>
      <c r="D14" s="298">
        <f t="shared" ref="D14:I14" si="5">+D15</f>
        <v>1400000000</v>
      </c>
      <c r="E14" s="298">
        <f t="shared" si="5"/>
        <v>820163840</v>
      </c>
      <c r="F14" s="298">
        <f t="shared" si="5"/>
        <v>27036160</v>
      </c>
      <c r="G14" s="298">
        <f t="shared" si="5"/>
        <v>552800000</v>
      </c>
      <c r="H14" s="298">
        <f t="shared" si="5"/>
        <v>0</v>
      </c>
      <c r="I14" s="298">
        <f t="shared" si="5"/>
        <v>1400000000</v>
      </c>
      <c r="J14" s="286"/>
    </row>
    <row r="15" spans="3:12" x14ac:dyDescent="0.25">
      <c r="C15" s="300" t="s">
        <v>109</v>
      </c>
      <c r="D15" s="288">
        <v>1400000000</v>
      </c>
      <c r="E15" s="288">
        <v>820163840</v>
      </c>
      <c r="F15" s="288">
        <v>27036160</v>
      </c>
      <c r="G15" s="288">
        <v>552800000</v>
      </c>
      <c r="H15" s="288"/>
      <c r="I15" s="288">
        <f>+E15+F15+G15+H15</f>
        <v>1400000000</v>
      </c>
      <c r="J15" s="286"/>
      <c r="K15" s="286"/>
    </row>
    <row r="16" spans="3:12" x14ac:dyDescent="0.25">
      <c r="C16" s="297" t="s">
        <v>773</v>
      </c>
      <c r="D16" s="298">
        <v>450000000</v>
      </c>
      <c r="E16" s="298"/>
      <c r="F16" s="298">
        <v>450000000</v>
      </c>
      <c r="G16" s="298"/>
      <c r="H16" s="298"/>
      <c r="I16" s="298">
        <f>+E16+F16+G16+H16</f>
        <v>450000000</v>
      </c>
      <c r="J16" s="286"/>
    </row>
    <row r="17" spans="3:12" x14ac:dyDescent="0.25">
      <c r="C17" s="301" t="s">
        <v>774</v>
      </c>
      <c r="D17" s="296">
        <f t="shared" ref="D17:I17" si="6">+D18</f>
        <v>650000000</v>
      </c>
      <c r="E17" s="296">
        <f t="shared" si="6"/>
        <v>350000000</v>
      </c>
      <c r="F17" s="296">
        <f t="shared" si="6"/>
        <v>300000000</v>
      </c>
      <c r="G17" s="296">
        <f t="shared" si="6"/>
        <v>0</v>
      </c>
      <c r="H17" s="296">
        <f t="shared" si="6"/>
        <v>0</v>
      </c>
      <c r="I17" s="296">
        <f t="shared" si="6"/>
        <v>650000000</v>
      </c>
      <c r="J17" s="286"/>
    </row>
    <row r="18" spans="3:12" ht="30" x14ac:dyDescent="0.25">
      <c r="C18" s="297" t="s">
        <v>110</v>
      </c>
      <c r="D18" s="298">
        <v>650000000</v>
      </c>
      <c r="E18" s="298">
        <v>350000000</v>
      </c>
      <c r="F18" s="298">
        <v>300000000</v>
      </c>
      <c r="G18" s="298"/>
      <c r="H18" s="298"/>
      <c r="I18" s="298">
        <f>+E18+F18+G18+H18</f>
        <v>650000000</v>
      </c>
      <c r="J18" s="286"/>
    </row>
    <row r="19" spans="3:12" ht="30" x14ac:dyDescent="0.25">
      <c r="C19" s="301" t="s">
        <v>775</v>
      </c>
      <c r="D19" s="296">
        <f t="shared" ref="D19:I20" si="7">+D20</f>
        <v>670000000</v>
      </c>
      <c r="E19" s="296">
        <f t="shared" si="7"/>
        <v>0</v>
      </c>
      <c r="F19" s="296">
        <f t="shared" si="7"/>
        <v>0</v>
      </c>
      <c r="G19" s="296">
        <f t="shared" si="7"/>
        <v>670000000</v>
      </c>
      <c r="H19" s="296">
        <f t="shared" si="7"/>
        <v>0</v>
      </c>
      <c r="I19" s="296">
        <f t="shared" si="7"/>
        <v>670000000</v>
      </c>
      <c r="J19" s="286"/>
    </row>
    <row r="20" spans="3:12" x14ac:dyDescent="0.25">
      <c r="C20" s="300" t="s">
        <v>116</v>
      </c>
      <c r="D20" s="288">
        <f t="shared" si="7"/>
        <v>670000000</v>
      </c>
      <c r="E20" s="288">
        <f t="shared" si="7"/>
        <v>0</v>
      </c>
      <c r="F20" s="288">
        <f t="shared" si="7"/>
        <v>0</v>
      </c>
      <c r="G20" s="288">
        <f t="shared" si="7"/>
        <v>670000000</v>
      </c>
      <c r="H20" s="288">
        <f t="shared" si="7"/>
        <v>0</v>
      </c>
      <c r="I20" s="288">
        <f t="shared" si="7"/>
        <v>670000000</v>
      </c>
      <c r="J20" s="286"/>
    </row>
    <row r="21" spans="3:12" ht="15.75" customHeight="1" x14ac:dyDescent="0.25">
      <c r="C21" s="297" t="s">
        <v>989</v>
      </c>
      <c r="D21" s="298">
        <v>670000000</v>
      </c>
      <c r="E21" s="298"/>
      <c r="F21" s="298"/>
      <c r="G21" s="298">
        <v>670000000</v>
      </c>
      <c r="H21" s="298"/>
      <c r="I21" s="298">
        <f>+E21+F21+G21+H21</f>
        <v>670000000</v>
      </c>
      <c r="J21" s="286"/>
    </row>
    <row r="22" spans="3:12" ht="15.75" customHeight="1" x14ac:dyDescent="0.25">
      <c r="C22" s="301" t="s">
        <v>118</v>
      </c>
      <c r="D22" s="296">
        <f t="shared" ref="D22:I22" si="8">+D23</f>
        <v>400000000</v>
      </c>
      <c r="E22" s="296">
        <f t="shared" si="8"/>
        <v>250000000</v>
      </c>
      <c r="F22" s="296">
        <f t="shared" si="8"/>
        <v>20000000</v>
      </c>
      <c r="G22" s="296">
        <f t="shared" si="8"/>
        <v>130000000</v>
      </c>
      <c r="H22" s="296">
        <f t="shared" si="8"/>
        <v>0</v>
      </c>
      <c r="I22" s="296">
        <f t="shared" si="8"/>
        <v>400000000</v>
      </c>
      <c r="J22" s="286"/>
    </row>
    <row r="23" spans="3:12" ht="15.75" customHeight="1" x14ac:dyDescent="0.25">
      <c r="C23" s="297" t="s">
        <v>778</v>
      </c>
      <c r="D23" s="298">
        <v>400000000</v>
      </c>
      <c r="E23" s="298">
        <v>250000000</v>
      </c>
      <c r="F23" s="298">
        <v>20000000</v>
      </c>
      <c r="G23" s="298">
        <v>130000000</v>
      </c>
      <c r="H23" s="298"/>
      <c r="I23" s="298">
        <f>+E23+F23+G23+H23</f>
        <v>400000000</v>
      </c>
      <c r="J23" s="286"/>
    </row>
    <row r="24" spans="3:12" ht="15.75" customHeight="1" x14ac:dyDescent="0.25">
      <c r="C24" s="301" t="s">
        <v>119</v>
      </c>
      <c r="D24" s="296">
        <f t="shared" ref="D24:I24" si="9">+D25+D54+D55+D56</f>
        <v>4651804202</v>
      </c>
      <c r="E24" s="296">
        <f t="shared" si="9"/>
        <v>1394836160</v>
      </c>
      <c r="F24" s="296">
        <f t="shared" si="9"/>
        <v>1292963840</v>
      </c>
      <c r="G24" s="296">
        <f t="shared" si="9"/>
        <v>1964004202</v>
      </c>
      <c r="H24" s="296">
        <f t="shared" si="9"/>
        <v>0</v>
      </c>
      <c r="I24" s="296">
        <f t="shared" si="9"/>
        <v>4651804202</v>
      </c>
      <c r="J24" s="286"/>
      <c r="K24" s="286"/>
    </row>
    <row r="25" spans="3:12" ht="15.75" customHeight="1" x14ac:dyDescent="0.25">
      <c r="C25" s="300" t="s">
        <v>120</v>
      </c>
      <c r="D25" s="288">
        <f t="shared" ref="D25:I25" si="10">+D26+D39+D43+D48</f>
        <v>4431804202</v>
      </c>
      <c r="E25" s="288">
        <f t="shared" si="10"/>
        <v>1394836160</v>
      </c>
      <c r="F25" s="288">
        <f t="shared" si="10"/>
        <v>1072963840</v>
      </c>
      <c r="G25" s="288">
        <f t="shared" si="10"/>
        <v>1964004202</v>
      </c>
      <c r="H25" s="288">
        <f t="shared" si="10"/>
        <v>0</v>
      </c>
      <c r="I25" s="288">
        <f t="shared" si="10"/>
        <v>4431804202</v>
      </c>
      <c r="J25" s="286"/>
      <c r="K25" s="286"/>
    </row>
    <row r="26" spans="3:12" ht="15.75" customHeight="1" x14ac:dyDescent="0.25">
      <c r="C26" s="297" t="s">
        <v>121</v>
      </c>
      <c r="D26" s="298">
        <f t="shared" ref="D26:I26" si="11">+D27+D28+D29+D30+D31+D32+D33+D34+D35+D36+D37+D38</f>
        <v>3603810000</v>
      </c>
      <c r="E26" s="298">
        <f t="shared" si="11"/>
        <v>1344836160</v>
      </c>
      <c r="F26" s="298">
        <f t="shared" si="11"/>
        <v>899969638</v>
      </c>
      <c r="G26" s="298">
        <f t="shared" si="11"/>
        <v>1359004202</v>
      </c>
      <c r="H26" s="298">
        <f t="shared" si="11"/>
        <v>0</v>
      </c>
      <c r="I26" s="298">
        <f t="shared" si="11"/>
        <v>3603810000</v>
      </c>
      <c r="J26" s="286"/>
      <c r="K26" s="286"/>
    </row>
    <row r="27" spans="3:12" ht="15.75" customHeight="1" x14ac:dyDescent="0.25">
      <c r="C27" s="300" t="s">
        <v>122</v>
      </c>
      <c r="D27" s="288">
        <v>90000000</v>
      </c>
      <c r="E27" s="288">
        <v>85000000</v>
      </c>
      <c r="F27" s="288">
        <v>5000000</v>
      </c>
      <c r="G27" s="288"/>
      <c r="H27" s="288"/>
      <c r="I27" s="288">
        <f t="shared" ref="I27:I38" si="12">+E27+F27+G27+H27</f>
        <v>90000000</v>
      </c>
      <c r="J27" s="286"/>
    </row>
    <row r="28" spans="3:12" ht="15.75" customHeight="1" x14ac:dyDescent="0.25">
      <c r="C28" s="300" t="s">
        <v>123</v>
      </c>
      <c r="D28" s="288">
        <v>190000000</v>
      </c>
      <c r="E28" s="288"/>
      <c r="F28" s="288">
        <v>140000000</v>
      </c>
      <c r="G28" s="288">
        <v>50000000</v>
      </c>
      <c r="H28" s="288"/>
      <c r="I28" s="288">
        <f t="shared" si="12"/>
        <v>190000000</v>
      </c>
      <c r="J28" s="286"/>
    </row>
    <row r="29" spans="3:12" ht="15.75" customHeight="1" x14ac:dyDescent="0.25">
      <c r="C29" s="300" t="s">
        <v>124</v>
      </c>
      <c r="D29" s="288">
        <v>1780000000</v>
      </c>
      <c r="E29" s="288">
        <v>900000000</v>
      </c>
      <c r="F29" s="288">
        <v>94169638</v>
      </c>
      <c r="G29" s="288">
        <v>785830362</v>
      </c>
      <c r="H29" s="288"/>
      <c r="I29" s="288">
        <f t="shared" si="12"/>
        <v>1780000000</v>
      </c>
      <c r="J29" s="286"/>
      <c r="L29" s="286"/>
    </row>
    <row r="30" spans="3:12" ht="15.75" customHeight="1" x14ac:dyDescent="0.25">
      <c r="C30" s="300" t="s">
        <v>125</v>
      </c>
      <c r="D30" s="288">
        <v>30000000</v>
      </c>
      <c r="E30" s="288">
        <v>10000000</v>
      </c>
      <c r="F30" s="288">
        <v>20000000</v>
      </c>
      <c r="G30" s="288">
        <v>0</v>
      </c>
      <c r="H30" s="288"/>
      <c r="I30" s="288">
        <f t="shared" si="12"/>
        <v>30000000</v>
      </c>
      <c r="J30" s="286"/>
    </row>
    <row r="31" spans="3:12" ht="15.75" customHeight="1" x14ac:dyDescent="0.25">
      <c r="C31" s="300" t="s">
        <v>126</v>
      </c>
      <c r="D31" s="288">
        <v>128000000</v>
      </c>
      <c r="E31" s="288">
        <v>120000000</v>
      </c>
      <c r="F31" s="288"/>
      <c r="G31" s="288">
        <v>8000000</v>
      </c>
      <c r="H31" s="288"/>
      <c r="I31" s="288">
        <f t="shared" si="12"/>
        <v>128000000</v>
      </c>
      <c r="J31" s="286"/>
    </row>
    <row r="32" spans="3:12" ht="15.75" customHeight="1" x14ac:dyDescent="0.25">
      <c r="C32" s="300" t="s">
        <v>127</v>
      </c>
      <c r="D32" s="288">
        <v>90000000</v>
      </c>
      <c r="E32" s="288">
        <v>50000000</v>
      </c>
      <c r="F32" s="288"/>
      <c r="G32" s="288">
        <v>40000000</v>
      </c>
      <c r="H32" s="288"/>
      <c r="I32" s="288">
        <f t="shared" si="12"/>
        <v>90000000</v>
      </c>
      <c r="J32" s="286"/>
    </row>
    <row r="33" spans="3:12" ht="15.75" customHeight="1" x14ac:dyDescent="0.25">
      <c r="C33" s="300" t="s">
        <v>128</v>
      </c>
      <c r="D33" s="288">
        <v>320000000</v>
      </c>
      <c r="E33" s="288">
        <v>120000000</v>
      </c>
      <c r="F33" s="288"/>
      <c r="G33" s="288">
        <v>200000000</v>
      </c>
      <c r="H33" s="288"/>
      <c r="I33" s="288">
        <f t="shared" si="12"/>
        <v>320000000</v>
      </c>
      <c r="J33" s="286"/>
    </row>
    <row r="34" spans="3:12" ht="15.75" customHeight="1" x14ac:dyDescent="0.25">
      <c r="C34" s="300" t="s">
        <v>129</v>
      </c>
      <c r="D34" s="288">
        <v>16588404</v>
      </c>
      <c r="E34" s="288"/>
      <c r="F34" s="288">
        <v>16588404</v>
      </c>
      <c r="G34" s="288"/>
      <c r="H34" s="288"/>
      <c r="I34" s="288">
        <f t="shared" si="12"/>
        <v>16588404</v>
      </c>
      <c r="J34" s="286"/>
    </row>
    <row r="35" spans="3:12" ht="15.75" customHeight="1" x14ac:dyDescent="0.25">
      <c r="C35" s="300" t="s">
        <v>130</v>
      </c>
      <c r="D35" s="288">
        <v>29005798</v>
      </c>
      <c r="E35" s="288">
        <v>29005798</v>
      </c>
      <c r="F35" s="288"/>
      <c r="G35" s="288"/>
      <c r="H35" s="288"/>
      <c r="I35" s="288">
        <f t="shared" si="12"/>
        <v>29005798</v>
      </c>
      <c r="J35" s="286"/>
    </row>
    <row r="36" spans="3:12" ht="15.75" customHeight="1" x14ac:dyDescent="0.25">
      <c r="C36" s="300" t="s">
        <v>131</v>
      </c>
      <c r="D36" s="288">
        <v>25000000</v>
      </c>
      <c r="E36" s="288"/>
      <c r="F36" s="288">
        <v>5000000</v>
      </c>
      <c r="G36" s="288">
        <v>20000000</v>
      </c>
      <c r="H36" s="288"/>
      <c r="I36" s="288">
        <f t="shared" si="12"/>
        <v>25000000</v>
      </c>
      <c r="J36" s="286"/>
    </row>
    <row r="37" spans="3:12" ht="15.75" customHeight="1" x14ac:dyDescent="0.25">
      <c r="C37" s="300" t="s">
        <v>132</v>
      </c>
      <c r="D37" s="288">
        <v>650000000</v>
      </c>
      <c r="E37" s="288">
        <v>30830362</v>
      </c>
      <c r="F37" s="288">
        <v>563995798</v>
      </c>
      <c r="G37" s="288">
        <v>55173840</v>
      </c>
      <c r="H37" s="288">
        <v>0</v>
      </c>
      <c r="I37" s="288">
        <f t="shared" si="12"/>
        <v>650000000</v>
      </c>
      <c r="J37" s="286"/>
      <c r="K37" s="286"/>
      <c r="L37" s="286"/>
    </row>
    <row r="38" spans="3:12" ht="15.75" customHeight="1" x14ac:dyDescent="0.25">
      <c r="C38" s="300" t="s">
        <v>133</v>
      </c>
      <c r="D38" s="288">
        <v>255215798</v>
      </c>
      <c r="E38" s="288"/>
      <c r="F38" s="288">
        <v>55215798</v>
      </c>
      <c r="G38" s="288">
        <v>200000000</v>
      </c>
      <c r="H38" s="288"/>
      <c r="I38" s="288">
        <f t="shared" si="12"/>
        <v>255215798</v>
      </c>
      <c r="J38" s="286"/>
    </row>
    <row r="39" spans="3:12" ht="15.75" customHeight="1" x14ac:dyDescent="0.25">
      <c r="C39" s="297" t="s">
        <v>134</v>
      </c>
      <c r="D39" s="298">
        <f t="shared" ref="D39:I39" si="13">+D40+D41+D42</f>
        <v>495000000</v>
      </c>
      <c r="E39" s="298">
        <f t="shared" si="13"/>
        <v>50000000</v>
      </c>
      <c r="F39" s="298">
        <f t="shared" si="13"/>
        <v>0</v>
      </c>
      <c r="G39" s="298">
        <f t="shared" si="13"/>
        <v>445000000</v>
      </c>
      <c r="H39" s="298">
        <f t="shared" si="13"/>
        <v>0</v>
      </c>
      <c r="I39" s="298">
        <f t="shared" si="13"/>
        <v>495000000</v>
      </c>
      <c r="J39" s="286"/>
    </row>
    <row r="40" spans="3:12" ht="15.75" customHeight="1" x14ac:dyDescent="0.25">
      <c r="C40" s="300" t="s">
        <v>135</v>
      </c>
      <c r="D40" s="288">
        <v>380000000</v>
      </c>
      <c r="E40" s="288">
        <v>50000000</v>
      </c>
      <c r="F40" s="288"/>
      <c r="G40" s="288">
        <v>330000000</v>
      </c>
      <c r="H40" s="288">
        <v>0</v>
      </c>
      <c r="I40" s="288">
        <f>+E40+F40+G40+H40</f>
        <v>380000000</v>
      </c>
      <c r="J40" s="286"/>
      <c r="K40" s="286">
        <f>G40-190000000</f>
        <v>140000000</v>
      </c>
    </row>
    <row r="41" spans="3:12" ht="15.75" customHeight="1" x14ac:dyDescent="0.25">
      <c r="C41" s="300" t="s">
        <v>136</v>
      </c>
      <c r="D41" s="288">
        <v>100000000</v>
      </c>
      <c r="E41" s="288"/>
      <c r="F41" s="288"/>
      <c r="G41" s="288">
        <v>100000000</v>
      </c>
      <c r="H41" s="288"/>
      <c r="I41" s="288">
        <f>+E41+F41+G41+H41</f>
        <v>100000000</v>
      </c>
      <c r="J41" s="286"/>
    </row>
    <row r="42" spans="3:12" ht="15.75" customHeight="1" x14ac:dyDescent="0.25">
      <c r="C42" s="300" t="s">
        <v>137</v>
      </c>
      <c r="D42" s="288">
        <v>15000000</v>
      </c>
      <c r="E42" s="288"/>
      <c r="F42" s="288"/>
      <c r="G42" s="288">
        <v>15000000</v>
      </c>
      <c r="H42" s="288"/>
      <c r="I42" s="288">
        <f>+E42+F42+G42+H42</f>
        <v>15000000</v>
      </c>
      <c r="J42" s="286"/>
    </row>
    <row r="43" spans="3:12" ht="15.75" customHeight="1" x14ac:dyDescent="0.25">
      <c r="C43" s="297" t="s">
        <v>138</v>
      </c>
      <c r="D43" s="298">
        <f t="shared" ref="D43:I43" si="14">+D44+D45+D46+D47</f>
        <v>60000000</v>
      </c>
      <c r="E43" s="298">
        <f t="shared" si="14"/>
        <v>0</v>
      </c>
      <c r="F43" s="298">
        <f t="shared" si="14"/>
        <v>0</v>
      </c>
      <c r="G43" s="298">
        <f t="shared" si="14"/>
        <v>60000000</v>
      </c>
      <c r="H43" s="298">
        <f t="shared" si="14"/>
        <v>0</v>
      </c>
      <c r="I43" s="298">
        <f t="shared" si="14"/>
        <v>60000000</v>
      </c>
      <c r="J43" s="286"/>
      <c r="L43" s="286"/>
    </row>
    <row r="44" spans="3:12" ht="15.75" customHeight="1" x14ac:dyDescent="0.25">
      <c r="C44" s="300" t="s">
        <v>139</v>
      </c>
      <c r="D44" s="288">
        <v>17000000</v>
      </c>
      <c r="E44" s="288"/>
      <c r="F44" s="288"/>
      <c r="G44" s="288">
        <v>17000000</v>
      </c>
      <c r="H44" s="288"/>
      <c r="I44" s="288">
        <f>+E44+F44+G44+H44</f>
        <v>17000000</v>
      </c>
      <c r="J44" s="286"/>
    </row>
    <row r="45" spans="3:12" ht="15.75" customHeight="1" x14ac:dyDescent="0.25">
      <c r="C45" s="300" t="s">
        <v>140</v>
      </c>
      <c r="D45" s="288">
        <v>15000000</v>
      </c>
      <c r="E45" s="288"/>
      <c r="F45" s="288"/>
      <c r="G45" s="288">
        <v>15000000</v>
      </c>
      <c r="H45" s="288"/>
      <c r="I45" s="288">
        <f>+E45+F45+G45+H45</f>
        <v>15000000</v>
      </c>
      <c r="J45" s="286"/>
    </row>
    <row r="46" spans="3:12" ht="15.75" customHeight="1" x14ac:dyDescent="0.25">
      <c r="C46" s="300" t="s">
        <v>141</v>
      </c>
      <c r="D46" s="288">
        <v>18000000</v>
      </c>
      <c r="E46" s="288"/>
      <c r="F46" s="288"/>
      <c r="G46" s="288">
        <v>18000000</v>
      </c>
      <c r="H46" s="288"/>
      <c r="I46" s="288">
        <f>+E46+F46+G46+H46</f>
        <v>18000000</v>
      </c>
      <c r="J46" s="286"/>
    </row>
    <row r="47" spans="3:12" ht="15.75" customHeight="1" x14ac:dyDescent="0.25">
      <c r="C47" s="300" t="s">
        <v>142</v>
      </c>
      <c r="D47" s="288">
        <v>10000000</v>
      </c>
      <c r="E47" s="288"/>
      <c r="F47" s="288"/>
      <c r="G47" s="288">
        <v>10000000</v>
      </c>
      <c r="H47" s="288"/>
      <c r="I47" s="288">
        <f>+E47+F47+G47+H47</f>
        <v>10000000</v>
      </c>
      <c r="J47" s="286"/>
    </row>
    <row r="48" spans="3:12" ht="15.75" customHeight="1" x14ac:dyDescent="0.25">
      <c r="C48" s="297" t="s">
        <v>143</v>
      </c>
      <c r="D48" s="298">
        <f t="shared" ref="D48:I48" si="15">+D49+D50+D51+D52</f>
        <v>272994202</v>
      </c>
      <c r="E48" s="298">
        <f t="shared" si="15"/>
        <v>0</v>
      </c>
      <c r="F48" s="298">
        <f t="shared" si="15"/>
        <v>172994202</v>
      </c>
      <c r="G48" s="298">
        <f t="shared" si="15"/>
        <v>100000000</v>
      </c>
      <c r="H48" s="298">
        <f t="shared" si="15"/>
        <v>0</v>
      </c>
      <c r="I48" s="298">
        <f t="shared" si="15"/>
        <v>272994202</v>
      </c>
      <c r="J48" s="286"/>
      <c r="L48" s="286"/>
    </row>
    <row r="49" spans="3:12" ht="15.75" customHeight="1" x14ac:dyDescent="0.25">
      <c r="C49" s="300" t="s">
        <v>144</v>
      </c>
      <c r="D49" s="288">
        <v>100000000</v>
      </c>
      <c r="E49" s="288"/>
      <c r="F49" s="288">
        <v>50000000</v>
      </c>
      <c r="G49" s="288">
        <v>50000000</v>
      </c>
      <c r="H49" s="288"/>
      <c r="I49" s="288">
        <f>+E49+F49+G49+H49</f>
        <v>100000000</v>
      </c>
      <c r="J49" s="286"/>
    </row>
    <row r="50" spans="3:12" ht="15.75" customHeight="1" x14ac:dyDescent="0.25">
      <c r="C50" s="300" t="s">
        <v>145</v>
      </c>
      <c r="D50" s="288">
        <v>100000000</v>
      </c>
      <c r="E50" s="288"/>
      <c r="F50" s="288">
        <v>50000000</v>
      </c>
      <c r="G50" s="288">
        <v>50000000</v>
      </c>
      <c r="H50" s="288"/>
      <c r="I50" s="288">
        <f>+E50+F50+G50+H50</f>
        <v>100000000</v>
      </c>
      <c r="J50" s="286"/>
    </row>
    <row r="51" spans="3:12" ht="15.75" customHeight="1" x14ac:dyDescent="0.25">
      <c r="C51" s="300" t="s">
        <v>146</v>
      </c>
      <c r="D51" s="288">
        <v>48000000</v>
      </c>
      <c r="E51" s="288"/>
      <c r="F51" s="288">
        <v>48000000</v>
      </c>
      <c r="G51" s="288"/>
      <c r="H51" s="288"/>
      <c r="I51" s="288">
        <f>+E51+F51+G51+H51</f>
        <v>48000000</v>
      </c>
      <c r="J51" s="286"/>
    </row>
    <row r="52" spans="3:12" ht="15.75" customHeight="1" x14ac:dyDescent="0.25">
      <c r="C52" s="300" t="s">
        <v>147</v>
      </c>
      <c r="D52" s="288">
        <v>24994202</v>
      </c>
      <c r="E52" s="288"/>
      <c r="F52" s="288">
        <v>24994202</v>
      </c>
      <c r="G52" s="288"/>
      <c r="H52" s="288"/>
      <c r="I52" s="288">
        <f>+E52+F52+G52+H52</f>
        <v>24994202</v>
      </c>
      <c r="J52" s="286"/>
    </row>
    <row r="53" spans="3:12" ht="15.75" customHeight="1" x14ac:dyDescent="0.25">
      <c r="C53" s="297" t="s">
        <v>148</v>
      </c>
      <c r="D53" s="298">
        <f t="shared" ref="D53:I53" si="16">+D54+D55</f>
        <v>120000000</v>
      </c>
      <c r="E53" s="298">
        <f t="shared" si="16"/>
        <v>0</v>
      </c>
      <c r="F53" s="298">
        <f t="shared" si="16"/>
        <v>120000000</v>
      </c>
      <c r="G53" s="298">
        <f t="shared" si="16"/>
        <v>0</v>
      </c>
      <c r="H53" s="298">
        <f t="shared" si="16"/>
        <v>0</v>
      </c>
      <c r="I53" s="298">
        <f t="shared" si="16"/>
        <v>120000000</v>
      </c>
      <c r="J53" s="286"/>
    </row>
    <row r="54" spans="3:12" ht="15.75" customHeight="1" x14ac:dyDescent="0.25">
      <c r="C54" s="300" t="s">
        <v>787</v>
      </c>
      <c r="D54" s="288">
        <v>80000000</v>
      </c>
      <c r="E54" s="288"/>
      <c r="F54" s="288">
        <v>80000000</v>
      </c>
      <c r="G54" s="288"/>
      <c r="H54" s="288"/>
      <c r="I54" s="288">
        <f>+E54+F54+G54+H54</f>
        <v>80000000</v>
      </c>
      <c r="J54" s="286"/>
    </row>
    <row r="55" spans="3:12" ht="15.75" customHeight="1" x14ac:dyDescent="0.25">
      <c r="C55" s="300" t="s">
        <v>788</v>
      </c>
      <c r="D55" s="288">
        <v>40000000</v>
      </c>
      <c r="E55" s="288"/>
      <c r="F55" s="288">
        <v>40000000</v>
      </c>
      <c r="G55" s="288"/>
      <c r="H55" s="288"/>
      <c r="I55" s="288">
        <f>+E55+F55+G55+H55</f>
        <v>40000000</v>
      </c>
      <c r="J55" s="286"/>
    </row>
    <row r="56" spans="3:12" ht="15.75" customHeight="1" x14ac:dyDescent="0.25">
      <c r="C56" s="297" t="s">
        <v>149</v>
      </c>
      <c r="D56" s="298">
        <f t="shared" ref="D56:I56" si="17">+D57</f>
        <v>100000000</v>
      </c>
      <c r="E56" s="298">
        <f t="shared" si="17"/>
        <v>0</v>
      </c>
      <c r="F56" s="298">
        <f t="shared" si="17"/>
        <v>100000000</v>
      </c>
      <c r="G56" s="298">
        <f t="shared" si="17"/>
        <v>0</v>
      </c>
      <c r="H56" s="298">
        <f t="shared" si="17"/>
        <v>0</v>
      </c>
      <c r="I56" s="298">
        <f t="shared" si="17"/>
        <v>100000000</v>
      </c>
      <c r="J56" s="286"/>
    </row>
    <row r="57" spans="3:12" ht="15.75" customHeight="1" x14ac:dyDescent="0.25">
      <c r="C57" s="300" t="s">
        <v>789</v>
      </c>
      <c r="D57" s="288">
        <v>100000000</v>
      </c>
      <c r="E57" s="288"/>
      <c r="F57" s="288">
        <v>100000000</v>
      </c>
      <c r="G57" s="288"/>
      <c r="H57" s="288"/>
      <c r="I57" s="288">
        <f>+E57+F57+G57+H57</f>
        <v>100000000</v>
      </c>
      <c r="J57" s="286"/>
    </row>
    <row r="58" spans="3:12" ht="15.75" customHeight="1" x14ac:dyDescent="0.25">
      <c r="C58" s="301" t="s">
        <v>150</v>
      </c>
      <c r="D58" s="296">
        <f t="shared" ref="D58:I58" si="18">+D59+D61</f>
        <v>94200000</v>
      </c>
      <c r="E58" s="296">
        <f t="shared" si="18"/>
        <v>0</v>
      </c>
      <c r="F58" s="296">
        <f t="shared" si="18"/>
        <v>0</v>
      </c>
      <c r="G58" s="296">
        <f t="shared" si="18"/>
        <v>94200000</v>
      </c>
      <c r="H58" s="296">
        <f t="shared" si="18"/>
        <v>0</v>
      </c>
      <c r="I58" s="296">
        <f t="shared" si="18"/>
        <v>94200000</v>
      </c>
      <c r="J58" s="286"/>
    </row>
    <row r="59" spans="3:12" ht="15.75" customHeight="1" x14ac:dyDescent="0.25">
      <c r="C59" s="297" t="s">
        <v>151</v>
      </c>
      <c r="D59" s="298">
        <f t="shared" ref="D59:I59" si="19">+D60</f>
        <v>80000000</v>
      </c>
      <c r="E59" s="298">
        <f t="shared" si="19"/>
        <v>0</v>
      </c>
      <c r="F59" s="298">
        <f t="shared" si="19"/>
        <v>0</v>
      </c>
      <c r="G59" s="298">
        <f t="shared" si="19"/>
        <v>80000000</v>
      </c>
      <c r="H59" s="298">
        <f t="shared" si="19"/>
        <v>0</v>
      </c>
      <c r="I59" s="298">
        <f t="shared" si="19"/>
        <v>80000000</v>
      </c>
      <c r="J59" s="286"/>
    </row>
    <row r="60" spans="3:12" ht="15.75" customHeight="1" x14ac:dyDescent="0.25">
      <c r="C60" s="300" t="s">
        <v>152</v>
      </c>
      <c r="D60" s="288">
        <v>80000000</v>
      </c>
      <c r="E60" s="288"/>
      <c r="F60" s="288"/>
      <c r="G60" s="288">
        <v>80000000</v>
      </c>
      <c r="H60" s="288"/>
      <c r="I60" s="288">
        <f>+E60+F60+G60+H60</f>
        <v>80000000</v>
      </c>
      <c r="J60" s="286"/>
    </row>
    <row r="61" spans="3:12" ht="15.75" customHeight="1" x14ac:dyDescent="0.25">
      <c r="C61" s="297" t="s">
        <v>153</v>
      </c>
      <c r="D61" s="298">
        <f t="shared" ref="D61:I61" si="20">+D62</f>
        <v>14200000</v>
      </c>
      <c r="E61" s="298">
        <f t="shared" si="20"/>
        <v>0</v>
      </c>
      <c r="F61" s="298">
        <f t="shared" si="20"/>
        <v>0</v>
      </c>
      <c r="G61" s="298">
        <f t="shared" si="20"/>
        <v>14200000</v>
      </c>
      <c r="H61" s="298">
        <f t="shared" si="20"/>
        <v>0</v>
      </c>
      <c r="I61" s="298">
        <f t="shared" si="20"/>
        <v>14200000</v>
      </c>
      <c r="J61" s="286"/>
    </row>
    <row r="62" spans="3:12" ht="15.75" customHeight="1" x14ac:dyDescent="0.25">
      <c r="C62" s="300" t="s">
        <v>790</v>
      </c>
      <c r="D62" s="288">
        <v>14200000</v>
      </c>
      <c r="E62" s="288"/>
      <c r="F62" s="288"/>
      <c r="G62" s="288">
        <v>14200000</v>
      </c>
      <c r="H62" s="288"/>
      <c r="I62" s="288">
        <f>+E62+F62+G62+H62</f>
        <v>14200000</v>
      </c>
      <c r="J62" s="286"/>
    </row>
    <row r="63" spans="3:12" ht="15.75" customHeight="1" x14ac:dyDescent="0.25">
      <c r="C63" s="301" t="s">
        <v>154</v>
      </c>
      <c r="D63" s="296">
        <f t="shared" ref="D63:I63" si="21">+D64+D69</f>
        <v>2119805038</v>
      </c>
      <c r="E63" s="296">
        <f t="shared" si="21"/>
        <v>0</v>
      </c>
      <c r="F63" s="296">
        <f t="shared" si="21"/>
        <v>330000000</v>
      </c>
      <c r="G63" s="296">
        <f t="shared" si="21"/>
        <v>423995798</v>
      </c>
      <c r="H63" s="296">
        <f t="shared" si="21"/>
        <v>1365809240</v>
      </c>
      <c r="I63" s="296">
        <f t="shared" si="21"/>
        <v>2119805038</v>
      </c>
      <c r="J63" s="286"/>
    </row>
    <row r="64" spans="3:12" ht="15.75" customHeight="1" x14ac:dyDescent="0.25">
      <c r="C64" s="297" t="s">
        <v>155</v>
      </c>
      <c r="D64" s="298">
        <f t="shared" ref="D64:I64" si="22">+D65+D66+D67+D68</f>
        <v>753995798</v>
      </c>
      <c r="E64" s="298">
        <f t="shared" si="22"/>
        <v>0</v>
      </c>
      <c r="F64" s="298">
        <f t="shared" si="22"/>
        <v>330000000</v>
      </c>
      <c r="G64" s="298">
        <f t="shared" si="22"/>
        <v>423995798</v>
      </c>
      <c r="H64" s="298">
        <f t="shared" si="22"/>
        <v>0</v>
      </c>
      <c r="I64" s="298">
        <f t="shared" si="22"/>
        <v>753995798</v>
      </c>
      <c r="J64" s="286"/>
      <c r="L64" s="286"/>
    </row>
    <row r="65" spans="3:11" ht="15.75" customHeight="1" x14ac:dyDescent="0.25">
      <c r="C65" s="300" t="s">
        <v>791</v>
      </c>
      <c r="D65" s="288">
        <v>15000000</v>
      </c>
      <c r="E65" s="288"/>
      <c r="F65" s="288"/>
      <c r="G65" s="288">
        <v>15000000</v>
      </c>
      <c r="H65" s="288"/>
      <c r="I65" s="288">
        <f>+E65+F65+G65+H65</f>
        <v>15000000</v>
      </c>
      <c r="J65" s="286"/>
    </row>
    <row r="66" spans="3:11" ht="15.75" customHeight="1" x14ac:dyDescent="0.25">
      <c r="C66" s="300" t="s">
        <v>792</v>
      </c>
      <c r="D66" s="288">
        <v>180000000</v>
      </c>
      <c r="E66" s="288"/>
      <c r="F66" s="288">
        <v>180000000</v>
      </c>
      <c r="G66" s="288"/>
      <c r="H66" s="288"/>
      <c r="I66" s="288">
        <f>+E66+F66+G66+H66</f>
        <v>180000000</v>
      </c>
      <c r="J66" s="286"/>
    </row>
    <row r="67" spans="3:11" ht="15.75" customHeight="1" x14ac:dyDescent="0.25">
      <c r="C67" s="300" t="s">
        <v>793</v>
      </c>
      <c r="D67" s="288">
        <v>533995798</v>
      </c>
      <c r="E67" s="288"/>
      <c r="F67" s="288">
        <v>150000000</v>
      </c>
      <c r="G67" s="288">
        <v>383995798</v>
      </c>
      <c r="H67" s="288"/>
      <c r="I67" s="288">
        <f>+E67+F67+G67+H67</f>
        <v>533995798</v>
      </c>
      <c r="J67" s="286"/>
      <c r="K67" s="286"/>
    </row>
    <row r="68" spans="3:11" ht="15.75" customHeight="1" x14ac:dyDescent="0.25">
      <c r="C68" s="300" t="s">
        <v>829</v>
      </c>
      <c r="D68" s="288">
        <v>25000000</v>
      </c>
      <c r="E68" s="288"/>
      <c r="F68" s="288"/>
      <c r="G68" s="288">
        <v>25000000</v>
      </c>
      <c r="H68" s="288"/>
      <c r="I68" s="288">
        <f>+E68+F68+G68+H68</f>
        <v>25000000</v>
      </c>
      <c r="J68" s="286"/>
    </row>
    <row r="69" spans="3:11" ht="15.75" customHeight="1" x14ac:dyDescent="0.25">
      <c r="C69" s="297" t="s">
        <v>156</v>
      </c>
      <c r="D69" s="298">
        <f t="shared" ref="D69:I69" si="23">+D70</f>
        <v>1365809240</v>
      </c>
      <c r="E69" s="298">
        <f t="shared" si="23"/>
        <v>0</v>
      </c>
      <c r="F69" s="298">
        <f t="shared" si="23"/>
        <v>0</v>
      </c>
      <c r="G69" s="298">
        <f t="shared" si="23"/>
        <v>0</v>
      </c>
      <c r="H69" s="298">
        <f t="shared" si="23"/>
        <v>1365809240</v>
      </c>
      <c r="I69" s="298">
        <f t="shared" si="23"/>
        <v>1365809240</v>
      </c>
      <c r="J69" s="286"/>
    </row>
    <row r="70" spans="3:11" ht="20.25" customHeight="1" x14ac:dyDescent="0.25">
      <c r="C70" s="302" t="s">
        <v>157</v>
      </c>
      <c r="D70" s="303">
        <v>1365809240</v>
      </c>
      <c r="E70" s="303"/>
      <c r="F70" s="303"/>
      <c r="G70" s="303"/>
      <c r="H70" s="303">
        <v>1365809240</v>
      </c>
      <c r="I70" s="303">
        <f>+E70+F70+G70+H70</f>
        <v>1365809240</v>
      </c>
      <c r="J70" s="286"/>
    </row>
    <row r="71" spans="3:11" ht="15.75" customHeight="1" x14ac:dyDescent="0.25">
      <c r="D71" s="286"/>
    </row>
    <row r="72" spans="3:11" ht="15.75" customHeight="1" x14ac:dyDescent="0.25">
      <c r="C72" s="304"/>
      <c r="D72" s="286"/>
    </row>
    <row r="73" spans="3:11" ht="15.75" customHeight="1" x14ac:dyDescent="0.25">
      <c r="D73" s="286"/>
    </row>
    <row r="74" spans="3:11" ht="15.75" customHeight="1" x14ac:dyDescent="0.25">
      <c r="D74" s="286"/>
    </row>
    <row r="75" spans="3:11" ht="15.75" customHeight="1" x14ac:dyDescent="0.25">
      <c r="D75" s="286"/>
    </row>
    <row r="76" spans="3:11" ht="15.75" customHeight="1" x14ac:dyDescent="0.25">
      <c r="D76" s="286"/>
    </row>
    <row r="77" spans="3:11" ht="15.75" customHeight="1" x14ac:dyDescent="0.25">
      <c r="D77" s="286"/>
    </row>
    <row r="78" spans="3:11" ht="15.75" customHeight="1" x14ac:dyDescent="0.25">
      <c r="D78" s="286"/>
    </row>
    <row r="79" spans="3:11" ht="15.75" customHeight="1" x14ac:dyDescent="0.25">
      <c r="D79" s="286"/>
    </row>
    <row r="80" spans="3:11" ht="15.75" customHeight="1" x14ac:dyDescent="0.25">
      <c r="D80" s="286"/>
    </row>
    <row r="81" spans="4:4" ht="15.75" customHeight="1" x14ac:dyDescent="0.25">
      <c r="D81" s="286"/>
    </row>
    <row r="82" spans="4:4" ht="15.75" customHeight="1" x14ac:dyDescent="0.25">
      <c r="D82" s="286"/>
    </row>
    <row r="83" spans="4:4" ht="15.75" customHeight="1" x14ac:dyDescent="0.25">
      <c r="D83" s="286"/>
    </row>
    <row r="84" spans="4:4" ht="15.75" customHeight="1" x14ac:dyDescent="0.25">
      <c r="D84" s="286"/>
    </row>
    <row r="85" spans="4:4" ht="15.75" customHeight="1" x14ac:dyDescent="0.25">
      <c r="D85" s="286"/>
    </row>
    <row r="86" spans="4:4" ht="15.75" customHeight="1" x14ac:dyDescent="0.25">
      <c r="D86" s="286"/>
    </row>
    <row r="87" spans="4:4" ht="15.75" customHeight="1" x14ac:dyDescent="0.25">
      <c r="D87" s="286"/>
    </row>
    <row r="88" spans="4:4" ht="15.75" customHeight="1" x14ac:dyDescent="0.25">
      <c r="D88" s="286"/>
    </row>
    <row r="89" spans="4:4" ht="15.75" customHeight="1" x14ac:dyDescent="0.25">
      <c r="D89" s="286"/>
    </row>
    <row r="90" spans="4:4" ht="15.75" customHeight="1" x14ac:dyDescent="0.25">
      <c r="D90" s="286"/>
    </row>
    <row r="91" spans="4:4" ht="15.75" customHeight="1" x14ac:dyDescent="0.25">
      <c r="D91" s="286"/>
    </row>
    <row r="92" spans="4:4" ht="15.75" customHeight="1" x14ac:dyDescent="0.25">
      <c r="D92" s="286"/>
    </row>
    <row r="93" spans="4:4" ht="15.75" customHeight="1" x14ac:dyDescent="0.25">
      <c r="D93" s="286"/>
    </row>
    <row r="94" spans="4:4" ht="15.75" customHeight="1" x14ac:dyDescent="0.25">
      <c r="D94" s="286"/>
    </row>
    <row r="95" spans="4:4" ht="15.75" customHeight="1" x14ac:dyDescent="0.25">
      <c r="D95" s="286"/>
    </row>
    <row r="96" spans="4:4" ht="15.75" customHeight="1" x14ac:dyDescent="0.25">
      <c r="D96" s="286"/>
    </row>
    <row r="97" spans="4:4" ht="15.75" customHeight="1" x14ac:dyDescent="0.25">
      <c r="D97" s="286"/>
    </row>
    <row r="98" spans="4:4" ht="15.75" customHeight="1" x14ac:dyDescent="0.25">
      <c r="D98" s="286"/>
    </row>
    <row r="99" spans="4:4" ht="15.75" customHeight="1" x14ac:dyDescent="0.25">
      <c r="D99" s="286"/>
    </row>
    <row r="100" spans="4:4" ht="15.75" customHeight="1" x14ac:dyDescent="0.25">
      <c r="D100" s="286"/>
    </row>
    <row r="101" spans="4:4" ht="15.75" customHeight="1" x14ac:dyDescent="0.25">
      <c r="D101" s="286"/>
    </row>
    <row r="102" spans="4:4" ht="15.75" customHeight="1" x14ac:dyDescent="0.25">
      <c r="D102" s="286"/>
    </row>
    <row r="103" spans="4:4" ht="15.75" customHeight="1" x14ac:dyDescent="0.25">
      <c r="D103" s="286"/>
    </row>
    <row r="104" spans="4:4" ht="15.75" customHeight="1" x14ac:dyDescent="0.25">
      <c r="D104" s="286"/>
    </row>
    <row r="105" spans="4:4" ht="15.75" customHeight="1" x14ac:dyDescent="0.25">
      <c r="D105" s="286"/>
    </row>
    <row r="106" spans="4:4" ht="15.75" customHeight="1" x14ac:dyDescent="0.25">
      <c r="D106" s="286"/>
    </row>
    <row r="107" spans="4:4" ht="15.75" customHeight="1" x14ac:dyDescent="0.25">
      <c r="D107" s="286"/>
    </row>
    <row r="108" spans="4:4" ht="15.75" customHeight="1" x14ac:dyDescent="0.25">
      <c r="D108" s="286"/>
    </row>
    <row r="109" spans="4:4" ht="15.75" customHeight="1" x14ac:dyDescent="0.25">
      <c r="D109" s="286"/>
    </row>
    <row r="110" spans="4:4" ht="15.75" customHeight="1" x14ac:dyDescent="0.25">
      <c r="D110" s="286"/>
    </row>
    <row r="111" spans="4:4" ht="15.75" customHeight="1" x14ac:dyDescent="0.25">
      <c r="D111" s="286"/>
    </row>
    <row r="112" spans="4:4" ht="15.75" customHeight="1" x14ac:dyDescent="0.25">
      <c r="D112" s="286"/>
    </row>
    <row r="113" spans="4:4" ht="15.75" customHeight="1" x14ac:dyDescent="0.25">
      <c r="D113" s="286"/>
    </row>
    <row r="114" spans="4:4" ht="15.75" customHeight="1" x14ac:dyDescent="0.25">
      <c r="D114" s="286"/>
    </row>
    <row r="115" spans="4:4" ht="15.75" customHeight="1" x14ac:dyDescent="0.25">
      <c r="D115" s="286"/>
    </row>
    <row r="116" spans="4:4" ht="15.75" customHeight="1" x14ac:dyDescent="0.25">
      <c r="D116" s="286"/>
    </row>
    <row r="117" spans="4:4" ht="15.75" customHeight="1" x14ac:dyDescent="0.25">
      <c r="D117" s="286"/>
    </row>
    <row r="118" spans="4:4" ht="15.75" customHeight="1" x14ac:dyDescent="0.25">
      <c r="D118" s="286"/>
    </row>
    <row r="119" spans="4:4" ht="15.75" customHeight="1" x14ac:dyDescent="0.25">
      <c r="D119" s="286"/>
    </row>
    <row r="120" spans="4:4" ht="15.75" customHeight="1" x14ac:dyDescent="0.25">
      <c r="D120" s="286"/>
    </row>
    <row r="121" spans="4:4" ht="15.75" customHeight="1" x14ac:dyDescent="0.25">
      <c r="D121" s="286"/>
    </row>
    <row r="122" spans="4:4" ht="15.75" customHeight="1" x14ac:dyDescent="0.25">
      <c r="D122" s="286"/>
    </row>
    <row r="123" spans="4:4" ht="15.75" customHeight="1" x14ac:dyDescent="0.25">
      <c r="D123" s="286"/>
    </row>
    <row r="124" spans="4:4" ht="15.75" customHeight="1" x14ac:dyDescent="0.25">
      <c r="D124" s="286"/>
    </row>
    <row r="125" spans="4:4" ht="15.75" customHeight="1" x14ac:dyDescent="0.25">
      <c r="D125" s="286"/>
    </row>
    <row r="126" spans="4:4" ht="15.75" customHeight="1" x14ac:dyDescent="0.25">
      <c r="D126" s="286"/>
    </row>
    <row r="127" spans="4:4" ht="15.75" customHeight="1" x14ac:dyDescent="0.25">
      <c r="D127" s="286"/>
    </row>
    <row r="128" spans="4:4" ht="15.75" customHeight="1" x14ac:dyDescent="0.25">
      <c r="D128" s="286"/>
    </row>
    <row r="129" spans="4:4" ht="15.75" customHeight="1" x14ac:dyDescent="0.25">
      <c r="D129" s="286"/>
    </row>
    <row r="130" spans="4:4" ht="15.75" customHeight="1" x14ac:dyDescent="0.25">
      <c r="D130" s="286"/>
    </row>
    <row r="131" spans="4:4" ht="15.75" customHeight="1" x14ac:dyDescent="0.25">
      <c r="D131" s="286"/>
    </row>
    <row r="132" spans="4:4" ht="15.75" customHeight="1" x14ac:dyDescent="0.25">
      <c r="D132" s="286"/>
    </row>
    <row r="133" spans="4:4" ht="15.75" customHeight="1" x14ac:dyDescent="0.25">
      <c r="D133" s="286"/>
    </row>
    <row r="134" spans="4:4" ht="15.75" customHeight="1" x14ac:dyDescent="0.25">
      <c r="D134" s="286"/>
    </row>
    <row r="135" spans="4:4" ht="15.75" customHeight="1" x14ac:dyDescent="0.25">
      <c r="D135" s="286"/>
    </row>
    <row r="136" spans="4:4" ht="15.75" customHeight="1" x14ac:dyDescent="0.25">
      <c r="D136" s="286"/>
    </row>
    <row r="137" spans="4:4" ht="15.75" customHeight="1" x14ac:dyDescent="0.25">
      <c r="D137" s="286"/>
    </row>
    <row r="138" spans="4:4" ht="15.75" customHeight="1" x14ac:dyDescent="0.25">
      <c r="D138" s="286"/>
    </row>
    <row r="139" spans="4:4" ht="15.75" customHeight="1" x14ac:dyDescent="0.25">
      <c r="D139" s="286"/>
    </row>
    <row r="140" spans="4:4" ht="15.75" customHeight="1" x14ac:dyDescent="0.25">
      <c r="D140" s="286"/>
    </row>
    <row r="141" spans="4:4" ht="15.75" customHeight="1" x14ac:dyDescent="0.25">
      <c r="D141" s="286"/>
    </row>
    <row r="142" spans="4:4" ht="15.75" customHeight="1" x14ac:dyDescent="0.25">
      <c r="D142" s="286"/>
    </row>
    <row r="143" spans="4:4" ht="15.75" customHeight="1" x14ac:dyDescent="0.25">
      <c r="D143" s="286"/>
    </row>
    <row r="144" spans="4:4" ht="15.75" customHeight="1" x14ac:dyDescent="0.25">
      <c r="D144" s="286"/>
    </row>
    <row r="145" spans="4:4" ht="15.75" customHeight="1" x14ac:dyDescent="0.25">
      <c r="D145" s="286"/>
    </row>
    <row r="146" spans="4:4" ht="15.75" customHeight="1" x14ac:dyDescent="0.25">
      <c r="D146" s="286"/>
    </row>
    <row r="147" spans="4:4" ht="15.75" customHeight="1" x14ac:dyDescent="0.25">
      <c r="D147" s="286"/>
    </row>
    <row r="148" spans="4:4" ht="15.75" customHeight="1" x14ac:dyDescent="0.25">
      <c r="D148" s="286"/>
    </row>
    <row r="149" spans="4:4" ht="15.75" customHeight="1" x14ac:dyDescent="0.25">
      <c r="D149" s="286"/>
    </row>
    <row r="150" spans="4:4" ht="15.75" customHeight="1" x14ac:dyDescent="0.25">
      <c r="D150" s="286"/>
    </row>
    <row r="151" spans="4:4" ht="15.75" customHeight="1" x14ac:dyDescent="0.25">
      <c r="D151" s="286"/>
    </row>
    <row r="152" spans="4:4" ht="15.75" customHeight="1" x14ac:dyDescent="0.25">
      <c r="D152" s="286"/>
    </row>
    <row r="153" spans="4:4" ht="15.75" customHeight="1" x14ac:dyDescent="0.25">
      <c r="D153" s="286"/>
    </row>
    <row r="154" spans="4:4" ht="15.75" customHeight="1" x14ac:dyDescent="0.25">
      <c r="D154" s="286"/>
    </row>
    <row r="155" spans="4:4" ht="15.75" customHeight="1" x14ac:dyDescent="0.25">
      <c r="D155" s="286"/>
    </row>
    <row r="156" spans="4:4" ht="15.75" customHeight="1" x14ac:dyDescent="0.25">
      <c r="D156" s="286"/>
    </row>
    <row r="157" spans="4:4" ht="15.75" customHeight="1" x14ac:dyDescent="0.25">
      <c r="D157" s="286"/>
    </row>
    <row r="158" spans="4:4" ht="15.75" customHeight="1" x14ac:dyDescent="0.25">
      <c r="D158" s="286"/>
    </row>
    <row r="159" spans="4:4" ht="15.75" customHeight="1" x14ac:dyDescent="0.25">
      <c r="D159" s="286"/>
    </row>
    <row r="160" spans="4:4" ht="15.75" customHeight="1" x14ac:dyDescent="0.25">
      <c r="D160" s="286"/>
    </row>
    <row r="161" spans="4:4" ht="15.75" customHeight="1" x14ac:dyDescent="0.25">
      <c r="D161" s="286"/>
    </row>
    <row r="162" spans="4:4" ht="15.75" customHeight="1" x14ac:dyDescent="0.25">
      <c r="D162" s="286"/>
    </row>
    <row r="163" spans="4:4" ht="15.75" customHeight="1" x14ac:dyDescent="0.25">
      <c r="D163" s="286"/>
    </row>
    <row r="164" spans="4:4" ht="15.75" customHeight="1" x14ac:dyDescent="0.25">
      <c r="D164" s="286"/>
    </row>
    <row r="165" spans="4:4" ht="15.75" customHeight="1" x14ac:dyDescent="0.25">
      <c r="D165" s="286"/>
    </row>
    <row r="166" spans="4:4" ht="15.75" customHeight="1" x14ac:dyDescent="0.25">
      <c r="D166" s="286"/>
    </row>
    <row r="167" spans="4:4" ht="15.75" customHeight="1" x14ac:dyDescent="0.25">
      <c r="D167" s="286"/>
    </row>
    <row r="168" spans="4:4" ht="15.75" customHeight="1" x14ac:dyDescent="0.25">
      <c r="D168" s="286"/>
    </row>
    <row r="169" spans="4:4" ht="15.75" customHeight="1" x14ac:dyDescent="0.25">
      <c r="D169" s="286"/>
    </row>
    <row r="170" spans="4:4" ht="15.75" customHeight="1" x14ac:dyDescent="0.25">
      <c r="D170" s="286"/>
    </row>
    <row r="171" spans="4:4" ht="15.75" customHeight="1" x14ac:dyDescent="0.25">
      <c r="D171" s="286"/>
    </row>
    <row r="172" spans="4:4" ht="15.75" customHeight="1" x14ac:dyDescent="0.25">
      <c r="D172" s="286"/>
    </row>
    <row r="173" spans="4:4" ht="15.75" customHeight="1" x14ac:dyDescent="0.25">
      <c r="D173" s="286"/>
    </row>
    <row r="174" spans="4:4" ht="15.75" customHeight="1" x14ac:dyDescent="0.25">
      <c r="D174" s="286"/>
    </row>
    <row r="175" spans="4:4" ht="15.75" customHeight="1" x14ac:dyDescent="0.25">
      <c r="D175" s="286"/>
    </row>
    <row r="176" spans="4:4" ht="15.75" customHeight="1" x14ac:dyDescent="0.25">
      <c r="D176" s="286"/>
    </row>
    <row r="177" spans="4:4" ht="15.75" customHeight="1" x14ac:dyDescent="0.25">
      <c r="D177" s="286"/>
    </row>
    <row r="178" spans="4:4" ht="15.75" customHeight="1" x14ac:dyDescent="0.25">
      <c r="D178" s="286"/>
    </row>
    <row r="179" spans="4:4" ht="15.75" customHeight="1" x14ac:dyDescent="0.25">
      <c r="D179" s="286"/>
    </row>
    <row r="180" spans="4:4" ht="15.75" customHeight="1" x14ac:dyDescent="0.25">
      <c r="D180" s="286"/>
    </row>
    <row r="181" spans="4:4" ht="15.75" customHeight="1" x14ac:dyDescent="0.25">
      <c r="D181" s="286"/>
    </row>
    <row r="182" spans="4:4" ht="15.75" customHeight="1" x14ac:dyDescent="0.25">
      <c r="D182" s="286"/>
    </row>
    <row r="183" spans="4:4" ht="15.75" customHeight="1" x14ac:dyDescent="0.25">
      <c r="D183" s="286"/>
    </row>
    <row r="184" spans="4:4" ht="15.75" customHeight="1" x14ac:dyDescent="0.25">
      <c r="D184" s="286"/>
    </row>
    <row r="185" spans="4:4" ht="15.75" customHeight="1" x14ac:dyDescent="0.25">
      <c r="D185" s="286"/>
    </row>
    <row r="186" spans="4:4" ht="15.75" customHeight="1" x14ac:dyDescent="0.25">
      <c r="D186" s="286"/>
    </row>
    <row r="187" spans="4:4" ht="15.75" customHeight="1" x14ac:dyDescent="0.25">
      <c r="D187" s="286"/>
    </row>
    <row r="188" spans="4:4" ht="15.75" customHeight="1" x14ac:dyDescent="0.25">
      <c r="D188" s="286"/>
    </row>
    <row r="189" spans="4:4" ht="15.75" customHeight="1" x14ac:dyDescent="0.25">
      <c r="D189" s="286"/>
    </row>
    <row r="190" spans="4:4" ht="15.75" customHeight="1" x14ac:dyDescent="0.25">
      <c r="D190" s="286"/>
    </row>
    <row r="191" spans="4:4" ht="15.75" customHeight="1" x14ac:dyDescent="0.25">
      <c r="D191" s="286"/>
    </row>
    <row r="192" spans="4:4" ht="15.75" customHeight="1" x14ac:dyDescent="0.25">
      <c r="D192" s="286"/>
    </row>
    <row r="193" spans="4:4" ht="15.75" customHeight="1" x14ac:dyDescent="0.25">
      <c r="D193" s="286"/>
    </row>
    <row r="194" spans="4:4" ht="15.75" customHeight="1" x14ac:dyDescent="0.25">
      <c r="D194" s="286"/>
    </row>
    <row r="195" spans="4:4" ht="15.75" customHeight="1" x14ac:dyDescent="0.25">
      <c r="D195" s="286"/>
    </row>
    <row r="196" spans="4:4" ht="15.75" customHeight="1" x14ac:dyDescent="0.25">
      <c r="D196" s="286"/>
    </row>
    <row r="197" spans="4:4" ht="15.75" customHeight="1" x14ac:dyDescent="0.25">
      <c r="D197" s="286"/>
    </row>
    <row r="198" spans="4:4" ht="15.75" customHeight="1" x14ac:dyDescent="0.25">
      <c r="D198" s="286"/>
    </row>
    <row r="199" spans="4:4" ht="15.75" customHeight="1" x14ac:dyDescent="0.25">
      <c r="D199" s="286"/>
    </row>
    <row r="200" spans="4:4" ht="15.75" customHeight="1" x14ac:dyDescent="0.25">
      <c r="D200" s="286"/>
    </row>
    <row r="201" spans="4:4" ht="15.75" customHeight="1" x14ac:dyDescent="0.25">
      <c r="D201" s="286"/>
    </row>
    <row r="202" spans="4:4" ht="15.75" customHeight="1" x14ac:dyDescent="0.25">
      <c r="D202" s="286"/>
    </row>
    <row r="203" spans="4:4" ht="15.75" customHeight="1" x14ac:dyDescent="0.25">
      <c r="D203" s="286"/>
    </row>
    <row r="204" spans="4:4" ht="15.75" customHeight="1" x14ac:dyDescent="0.25">
      <c r="D204" s="286"/>
    </row>
    <row r="205" spans="4:4" ht="15.75" customHeight="1" x14ac:dyDescent="0.25">
      <c r="D205" s="286"/>
    </row>
    <row r="206" spans="4:4" ht="15.75" customHeight="1" x14ac:dyDescent="0.25">
      <c r="D206" s="286"/>
    </row>
    <row r="207" spans="4:4" ht="15.75" customHeight="1" x14ac:dyDescent="0.25">
      <c r="D207" s="286"/>
    </row>
    <row r="208" spans="4:4" ht="15.75" customHeight="1" x14ac:dyDescent="0.25">
      <c r="D208" s="286"/>
    </row>
    <row r="209" spans="4:4" ht="15.75" customHeight="1" x14ac:dyDescent="0.25">
      <c r="D209" s="286"/>
    </row>
    <row r="210" spans="4:4" ht="15.75" customHeight="1" x14ac:dyDescent="0.25">
      <c r="D210" s="286"/>
    </row>
    <row r="211" spans="4:4" ht="15.75" customHeight="1" x14ac:dyDescent="0.25">
      <c r="D211" s="286"/>
    </row>
    <row r="212" spans="4:4" ht="15.75" customHeight="1" x14ac:dyDescent="0.25">
      <c r="D212" s="286"/>
    </row>
    <row r="213" spans="4:4" ht="15.75" customHeight="1" x14ac:dyDescent="0.25">
      <c r="D213" s="286"/>
    </row>
    <row r="214" spans="4:4" ht="15.75" customHeight="1" x14ac:dyDescent="0.25">
      <c r="D214" s="286"/>
    </row>
    <row r="215" spans="4:4" ht="15.75" customHeight="1" x14ac:dyDescent="0.25">
      <c r="D215" s="286"/>
    </row>
    <row r="216" spans="4:4" ht="15.75" customHeight="1" x14ac:dyDescent="0.25">
      <c r="D216" s="286"/>
    </row>
    <row r="217" spans="4:4" ht="15.75" customHeight="1" x14ac:dyDescent="0.25">
      <c r="D217" s="286"/>
    </row>
    <row r="218" spans="4:4" ht="15.75" customHeight="1" x14ac:dyDescent="0.25">
      <c r="D218" s="286"/>
    </row>
    <row r="219" spans="4:4" ht="15.75" customHeight="1" x14ac:dyDescent="0.25">
      <c r="D219" s="286"/>
    </row>
    <row r="220" spans="4:4" ht="15.75" customHeight="1" x14ac:dyDescent="0.25">
      <c r="D220" s="286"/>
    </row>
    <row r="221" spans="4:4" ht="15.75" customHeight="1" x14ac:dyDescent="0.25">
      <c r="D221" s="286"/>
    </row>
    <row r="222" spans="4:4" ht="15.75" customHeight="1" x14ac:dyDescent="0.25">
      <c r="D222" s="286"/>
    </row>
    <row r="223" spans="4:4" ht="15.75" customHeight="1" x14ac:dyDescent="0.25">
      <c r="D223" s="286"/>
    </row>
    <row r="224" spans="4:4" ht="15.75" customHeight="1" x14ac:dyDescent="0.25">
      <c r="D224" s="286"/>
    </row>
    <row r="225" spans="4:4" ht="15.75" customHeight="1" x14ac:dyDescent="0.25">
      <c r="D225" s="286"/>
    </row>
    <row r="226" spans="4:4" ht="15.75" customHeight="1" x14ac:dyDescent="0.25">
      <c r="D226" s="286"/>
    </row>
    <row r="227" spans="4:4" ht="15.75" customHeight="1" x14ac:dyDescent="0.25">
      <c r="D227" s="286"/>
    </row>
    <row r="228" spans="4:4" ht="15.75" customHeight="1" x14ac:dyDescent="0.25">
      <c r="D228" s="286"/>
    </row>
    <row r="229" spans="4:4" ht="15.75" customHeight="1" x14ac:dyDescent="0.25">
      <c r="D229" s="286"/>
    </row>
    <row r="230" spans="4:4" ht="15.75" customHeight="1" x14ac:dyDescent="0.25">
      <c r="D230" s="286"/>
    </row>
    <row r="231" spans="4:4" ht="15.75" customHeight="1" x14ac:dyDescent="0.25">
      <c r="D231" s="286"/>
    </row>
    <row r="232" spans="4:4" ht="15.75" customHeight="1" x14ac:dyDescent="0.25">
      <c r="D232" s="286"/>
    </row>
    <row r="233" spans="4:4" ht="15.75" customHeight="1" x14ac:dyDescent="0.25">
      <c r="D233" s="286"/>
    </row>
    <row r="234" spans="4:4" ht="15.75" customHeight="1" x14ac:dyDescent="0.25">
      <c r="D234" s="286"/>
    </row>
    <row r="235" spans="4:4" ht="15.75" customHeight="1" x14ac:dyDescent="0.25">
      <c r="D235" s="286"/>
    </row>
    <row r="236" spans="4:4" ht="15.75" customHeight="1" x14ac:dyDescent="0.25">
      <c r="D236" s="286"/>
    </row>
    <row r="237" spans="4:4" ht="15.75" customHeight="1" x14ac:dyDescent="0.25">
      <c r="D237" s="286"/>
    </row>
    <row r="238" spans="4:4" ht="15.75" customHeight="1" x14ac:dyDescent="0.25">
      <c r="D238" s="286"/>
    </row>
    <row r="239" spans="4:4" ht="15.75" customHeight="1" x14ac:dyDescent="0.25">
      <c r="D239" s="286"/>
    </row>
    <row r="240" spans="4:4" ht="15.75" customHeight="1" x14ac:dyDescent="0.25">
      <c r="D240" s="286"/>
    </row>
    <row r="241" spans="4:4" ht="15.75" customHeight="1" x14ac:dyDescent="0.25">
      <c r="D241" s="286"/>
    </row>
    <row r="242" spans="4:4" ht="15.75" customHeight="1" x14ac:dyDescent="0.25">
      <c r="D242" s="286"/>
    </row>
    <row r="243" spans="4:4" ht="15.75" customHeight="1" x14ac:dyDescent="0.25">
      <c r="D243" s="286"/>
    </row>
    <row r="244" spans="4:4" ht="15.75" customHeight="1" x14ac:dyDescent="0.25">
      <c r="D244" s="286"/>
    </row>
    <row r="245" spans="4:4" ht="15.75" customHeight="1" x14ac:dyDescent="0.25">
      <c r="D245" s="286"/>
    </row>
    <row r="246" spans="4:4" ht="15.75" customHeight="1" x14ac:dyDescent="0.25">
      <c r="D246" s="286"/>
    </row>
    <row r="247" spans="4:4" ht="15.75" customHeight="1" x14ac:dyDescent="0.25">
      <c r="D247" s="286"/>
    </row>
    <row r="248" spans="4:4" ht="15.75" customHeight="1" x14ac:dyDescent="0.25">
      <c r="D248" s="286"/>
    </row>
    <row r="249" spans="4:4" ht="15.75" customHeight="1" x14ac:dyDescent="0.25">
      <c r="D249" s="286"/>
    </row>
    <row r="250" spans="4:4" ht="15.75" customHeight="1" x14ac:dyDescent="0.25">
      <c r="D250" s="286"/>
    </row>
    <row r="251" spans="4:4" ht="15.75" customHeight="1" x14ac:dyDescent="0.25">
      <c r="D251" s="286"/>
    </row>
    <row r="252" spans="4:4" ht="15.75" customHeight="1" x14ac:dyDescent="0.25">
      <c r="D252" s="286"/>
    </row>
    <row r="253" spans="4:4" ht="15.75" customHeight="1" x14ac:dyDescent="0.25">
      <c r="D253" s="286"/>
    </row>
    <row r="254" spans="4:4" ht="15.75" customHeight="1" x14ac:dyDescent="0.25">
      <c r="D254" s="286"/>
    </row>
    <row r="255" spans="4:4" ht="15.75" customHeight="1" x14ac:dyDescent="0.25">
      <c r="D255" s="286"/>
    </row>
    <row r="256" spans="4:4" ht="15.75" customHeight="1" x14ac:dyDescent="0.25">
      <c r="D256" s="286"/>
    </row>
    <row r="257" spans="4:4" ht="15.75" customHeight="1" x14ac:dyDescent="0.25">
      <c r="D257" s="286"/>
    </row>
    <row r="258" spans="4:4" ht="15.75" customHeight="1" x14ac:dyDescent="0.25">
      <c r="D258" s="286"/>
    </row>
    <row r="259" spans="4:4" ht="15.75" customHeight="1" x14ac:dyDescent="0.25">
      <c r="D259" s="286"/>
    </row>
    <row r="260" spans="4:4" ht="15.75" customHeight="1" x14ac:dyDescent="0.25">
      <c r="D260" s="286"/>
    </row>
    <row r="261" spans="4:4" ht="15.75" customHeight="1" x14ac:dyDescent="0.25">
      <c r="D261" s="286"/>
    </row>
    <row r="262" spans="4:4" ht="15.75" customHeight="1" x14ac:dyDescent="0.25">
      <c r="D262" s="286"/>
    </row>
    <row r="263" spans="4:4" ht="15.75" customHeight="1" x14ac:dyDescent="0.25">
      <c r="D263" s="286"/>
    </row>
    <row r="264" spans="4:4" ht="15.75" customHeight="1" x14ac:dyDescent="0.25">
      <c r="D264" s="286"/>
    </row>
    <row r="265" spans="4:4" ht="15.75" customHeight="1" x14ac:dyDescent="0.25">
      <c r="D265" s="286"/>
    </row>
    <row r="266" spans="4:4" ht="15.75" customHeight="1" x14ac:dyDescent="0.25">
      <c r="D266" s="286"/>
    </row>
    <row r="267" spans="4:4" ht="15.75" customHeight="1" x14ac:dyDescent="0.25">
      <c r="D267" s="286"/>
    </row>
    <row r="268" spans="4:4" ht="15.75" customHeight="1" x14ac:dyDescent="0.25">
      <c r="D268" s="286"/>
    </row>
    <row r="269" spans="4:4" ht="15.75" customHeight="1" x14ac:dyDescent="0.25">
      <c r="D269" s="286"/>
    </row>
    <row r="270" spans="4:4" ht="15.75" customHeight="1" x14ac:dyDescent="0.25">
      <c r="D270" s="286"/>
    </row>
    <row r="271" spans="4:4" ht="15.75" customHeight="1" x14ac:dyDescent="0.25">
      <c r="D271" s="286"/>
    </row>
    <row r="272" spans="4:4" ht="15.75" customHeight="1" x14ac:dyDescent="0.25">
      <c r="D272" s="286"/>
    </row>
    <row r="273" spans="4:4" ht="15.75" customHeight="1" x14ac:dyDescent="0.25">
      <c r="D273" s="286"/>
    </row>
    <row r="274" spans="4:4" ht="15.75" customHeight="1" x14ac:dyDescent="0.25">
      <c r="D274" s="286"/>
    </row>
    <row r="275" spans="4:4" ht="15.75" customHeight="1" x14ac:dyDescent="0.25">
      <c r="D275" s="286"/>
    </row>
    <row r="276" spans="4:4" ht="15.75" customHeight="1" x14ac:dyDescent="0.25">
      <c r="D276" s="286"/>
    </row>
    <row r="277" spans="4:4" ht="15.75" customHeight="1" x14ac:dyDescent="0.25">
      <c r="D277" s="286"/>
    </row>
    <row r="278" spans="4:4" ht="15.75" customHeight="1" x14ac:dyDescent="0.25">
      <c r="D278" s="286"/>
    </row>
    <row r="279" spans="4:4" ht="15.75" customHeight="1" x14ac:dyDescent="0.25">
      <c r="D279" s="286"/>
    </row>
    <row r="280" spans="4:4" ht="15.75" customHeight="1" x14ac:dyDescent="0.25">
      <c r="D280" s="286"/>
    </row>
    <row r="281" spans="4:4" ht="15.75" customHeight="1" x14ac:dyDescent="0.25">
      <c r="D281" s="286"/>
    </row>
    <row r="282" spans="4:4" ht="15.75" customHeight="1" x14ac:dyDescent="0.25">
      <c r="D282" s="286"/>
    </row>
    <row r="283" spans="4:4" ht="15.75" customHeight="1" x14ac:dyDescent="0.25">
      <c r="D283" s="286"/>
    </row>
    <row r="284" spans="4:4" ht="15.75" customHeight="1" x14ac:dyDescent="0.25">
      <c r="D284" s="286"/>
    </row>
    <row r="285" spans="4:4" ht="15.75" customHeight="1" x14ac:dyDescent="0.25">
      <c r="D285" s="286"/>
    </row>
    <row r="286" spans="4:4" ht="15.75" customHeight="1" x14ac:dyDescent="0.25">
      <c r="D286" s="286"/>
    </row>
    <row r="287" spans="4:4" ht="15.75" customHeight="1" x14ac:dyDescent="0.25">
      <c r="D287" s="286"/>
    </row>
    <row r="288" spans="4:4" ht="15.75" customHeight="1" x14ac:dyDescent="0.25">
      <c r="D288" s="286"/>
    </row>
    <row r="289" spans="4:4" ht="15.75" customHeight="1" x14ac:dyDescent="0.25">
      <c r="D289" s="286"/>
    </row>
    <row r="290" spans="4:4" ht="15.75" customHeight="1" x14ac:dyDescent="0.25">
      <c r="D290" s="286"/>
    </row>
    <row r="291" spans="4:4" ht="15.75" customHeight="1" x14ac:dyDescent="0.25">
      <c r="D291" s="286"/>
    </row>
    <row r="292" spans="4:4" ht="15.75" customHeight="1" x14ac:dyDescent="0.25">
      <c r="D292" s="286"/>
    </row>
    <row r="293" spans="4:4" ht="15.75" customHeight="1" x14ac:dyDescent="0.25">
      <c r="D293" s="286"/>
    </row>
    <row r="294" spans="4:4" ht="15.75" customHeight="1" x14ac:dyDescent="0.25">
      <c r="D294" s="286"/>
    </row>
    <row r="295" spans="4:4" ht="15.75" customHeight="1" x14ac:dyDescent="0.25">
      <c r="D295" s="286"/>
    </row>
    <row r="296" spans="4:4" ht="15.75" customHeight="1" x14ac:dyDescent="0.25">
      <c r="D296" s="286"/>
    </row>
    <row r="297" spans="4:4" ht="15.75" customHeight="1" x14ac:dyDescent="0.25">
      <c r="D297" s="286"/>
    </row>
    <row r="298" spans="4:4" ht="15.75" customHeight="1" x14ac:dyDescent="0.25">
      <c r="D298" s="286"/>
    </row>
    <row r="299" spans="4:4" ht="15.75" customHeight="1" x14ac:dyDescent="0.25">
      <c r="D299" s="286"/>
    </row>
    <row r="300" spans="4:4" ht="15.75" customHeight="1" x14ac:dyDescent="0.25">
      <c r="D300" s="286"/>
    </row>
    <row r="301" spans="4:4" ht="15.75" customHeight="1" x14ac:dyDescent="0.25">
      <c r="D301" s="286"/>
    </row>
    <row r="302" spans="4:4" ht="15.75" customHeight="1" x14ac:dyDescent="0.25">
      <c r="D302" s="286"/>
    </row>
    <row r="303" spans="4:4" ht="15.75" customHeight="1" x14ac:dyDescent="0.25">
      <c r="D303" s="286"/>
    </row>
    <row r="304" spans="4:4" ht="15.75" customHeight="1" x14ac:dyDescent="0.25">
      <c r="D304" s="286"/>
    </row>
    <row r="305" spans="4:4" ht="15.75" customHeight="1" x14ac:dyDescent="0.25">
      <c r="D305" s="286"/>
    </row>
    <row r="306" spans="4:4" ht="15.75" customHeight="1" x14ac:dyDescent="0.25">
      <c r="D306" s="286"/>
    </row>
    <row r="307" spans="4:4" ht="15.75" customHeight="1" x14ac:dyDescent="0.25">
      <c r="D307" s="286"/>
    </row>
    <row r="308" spans="4:4" ht="15.75" customHeight="1" x14ac:dyDescent="0.25">
      <c r="D308" s="286"/>
    </row>
    <row r="309" spans="4:4" ht="15.75" customHeight="1" x14ac:dyDescent="0.25">
      <c r="D309" s="286"/>
    </row>
    <row r="310" spans="4:4" ht="15.75" customHeight="1" x14ac:dyDescent="0.25">
      <c r="D310" s="286"/>
    </row>
    <row r="311" spans="4:4" ht="15.75" customHeight="1" x14ac:dyDescent="0.25">
      <c r="D311" s="286"/>
    </row>
    <row r="312" spans="4:4" ht="15.75" customHeight="1" x14ac:dyDescent="0.25">
      <c r="D312" s="286"/>
    </row>
    <row r="313" spans="4:4" ht="15.75" customHeight="1" x14ac:dyDescent="0.25">
      <c r="D313" s="286"/>
    </row>
    <row r="314" spans="4:4" ht="15.75" customHeight="1" x14ac:dyDescent="0.25">
      <c r="D314" s="286"/>
    </row>
    <row r="315" spans="4:4" ht="15.75" customHeight="1" x14ac:dyDescent="0.25">
      <c r="D315" s="286"/>
    </row>
    <row r="316" spans="4:4" ht="15.75" customHeight="1" x14ac:dyDescent="0.25">
      <c r="D316" s="286"/>
    </row>
    <row r="317" spans="4:4" ht="15.75" customHeight="1" x14ac:dyDescent="0.25">
      <c r="D317" s="286"/>
    </row>
    <row r="318" spans="4:4" ht="15.75" customHeight="1" x14ac:dyDescent="0.25">
      <c r="D318" s="286"/>
    </row>
    <row r="319" spans="4:4" ht="15.75" customHeight="1" x14ac:dyDescent="0.25">
      <c r="D319" s="286"/>
    </row>
    <row r="320" spans="4:4" ht="15.75" customHeight="1" x14ac:dyDescent="0.25">
      <c r="D320" s="286"/>
    </row>
    <row r="321" spans="4:4" ht="15.75" customHeight="1" x14ac:dyDescent="0.25">
      <c r="D321" s="286"/>
    </row>
    <row r="322" spans="4:4" ht="15.75" customHeight="1" x14ac:dyDescent="0.25">
      <c r="D322" s="286"/>
    </row>
    <row r="323" spans="4:4" ht="15.75" customHeight="1" x14ac:dyDescent="0.25">
      <c r="D323" s="286"/>
    </row>
    <row r="324" spans="4:4" ht="15.75" customHeight="1" x14ac:dyDescent="0.25">
      <c r="D324" s="286"/>
    </row>
    <row r="325" spans="4:4" ht="15.75" customHeight="1" x14ac:dyDescent="0.25">
      <c r="D325" s="286"/>
    </row>
    <row r="326" spans="4:4" ht="15.75" customHeight="1" x14ac:dyDescent="0.25">
      <c r="D326" s="286"/>
    </row>
    <row r="327" spans="4:4" ht="15.75" customHeight="1" x14ac:dyDescent="0.25">
      <c r="D327" s="286"/>
    </row>
    <row r="328" spans="4:4" ht="15.75" customHeight="1" x14ac:dyDescent="0.25">
      <c r="D328" s="286"/>
    </row>
    <row r="329" spans="4:4" ht="15.75" customHeight="1" x14ac:dyDescent="0.25">
      <c r="D329" s="286"/>
    </row>
    <row r="330" spans="4:4" ht="15.75" customHeight="1" x14ac:dyDescent="0.25">
      <c r="D330" s="286"/>
    </row>
    <row r="331" spans="4:4" ht="15.75" customHeight="1" x14ac:dyDescent="0.25">
      <c r="D331" s="286"/>
    </row>
    <row r="332" spans="4:4" ht="15.75" customHeight="1" x14ac:dyDescent="0.25">
      <c r="D332" s="286"/>
    </row>
    <row r="333" spans="4:4" ht="15.75" customHeight="1" x14ac:dyDescent="0.25">
      <c r="D333" s="286"/>
    </row>
    <row r="334" spans="4:4" ht="15.75" customHeight="1" x14ac:dyDescent="0.25">
      <c r="D334" s="286"/>
    </row>
    <row r="335" spans="4:4" ht="15.75" customHeight="1" x14ac:dyDescent="0.25">
      <c r="D335" s="286"/>
    </row>
    <row r="336" spans="4:4" ht="15.75" customHeight="1" x14ac:dyDescent="0.25">
      <c r="D336" s="286"/>
    </row>
    <row r="337" spans="4:4" ht="15.75" customHeight="1" x14ac:dyDescent="0.25">
      <c r="D337" s="286"/>
    </row>
    <row r="338" spans="4:4" ht="15.75" customHeight="1" x14ac:dyDescent="0.25">
      <c r="D338" s="286"/>
    </row>
    <row r="339" spans="4:4" ht="15.75" customHeight="1" x14ac:dyDescent="0.25">
      <c r="D339" s="286"/>
    </row>
    <row r="340" spans="4:4" ht="15.75" customHeight="1" x14ac:dyDescent="0.25">
      <c r="D340" s="286"/>
    </row>
    <row r="341" spans="4:4" ht="15.75" customHeight="1" x14ac:dyDescent="0.25">
      <c r="D341" s="286"/>
    </row>
    <row r="342" spans="4:4" ht="15.75" customHeight="1" x14ac:dyDescent="0.25">
      <c r="D342" s="286"/>
    </row>
    <row r="343" spans="4:4" ht="15.75" customHeight="1" x14ac:dyDescent="0.25">
      <c r="D343" s="286"/>
    </row>
    <row r="344" spans="4:4" ht="15.75" customHeight="1" x14ac:dyDescent="0.25">
      <c r="D344" s="286"/>
    </row>
    <row r="345" spans="4:4" ht="15.75" customHeight="1" x14ac:dyDescent="0.25">
      <c r="D345" s="286"/>
    </row>
    <row r="346" spans="4:4" ht="15.75" customHeight="1" x14ac:dyDescent="0.25">
      <c r="D346" s="286"/>
    </row>
    <row r="347" spans="4:4" ht="15.75" customHeight="1" x14ac:dyDescent="0.25">
      <c r="D347" s="286"/>
    </row>
    <row r="348" spans="4:4" ht="15.75" customHeight="1" x14ac:dyDescent="0.25">
      <c r="D348" s="286"/>
    </row>
    <row r="349" spans="4:4" ht="15.75" customHeight="1" x14ac:dyDescent="0.25">
      <c r="D349" s="286"/>
    </row>
    <row r="350" spans="4:4" ht="15.75" customHeight="1" x14ac:dyDescent="0.25">
      <c r="D350" s="286"/>
    </row>
    <row r="351" spans="4:4" ht="15.75" customHeight="1" x14ac:dyDescent="0.25">
      <c r="D351" s="286"/>
    </row>
    <row r="352" spans="4:4" ht="15.75" customHeight="1" x14ac:dyDescent="0.25">
      <c r="D352" s="286"/>
    </row>
    <row r="353" spans="4:4" ht="15.75" customHeight="1" x14ac:dyDescent="0.25">
      <c r="D353" s="286"/>
    </row>
    <row r="354" spans="4:4" ht="15.75" customHeight="1" x14ac:dyDescent="0.25">
      <c r="D354" s="286"/>
    </row>
    <row r="355" spans="4:4" ht="15.75" customHeight="1" x14ac:dyDescent="0.25">
      <c r="D355" s="286"/>
    </row>
    <row r="356" spans="4:4" ht="15.75" customHeight="1" x14ac:dyDescent="0.25">
      <c r="D356" s="286"/>
    </row>
    <row r="357" spans="4:4" ht="15.75" customHeight="1" x14ac:dyDescent="0.25">
      <c r="D357" s="286"/>
    </row>
    <row r="358" spans="4:4" ht="15.75" customHeight="1" x14ac:dyDescent="0.25">
      <c r="D358" s="286"/>
    </row>
    <row r="359" spans="4:4" ht="15.75" customHeight="1" x14ac:dyDescent="0.25">
      <c r="D359" s="286"/>
    </row>
    <row r="360" spans="4:4" ht="15.75" customHeight="1" x14ac:dyDescent="0.25">
      <c r="D360" s="286"/>
    </row>
    <row r="361" spans="4:4" ht="15.75" customHeight="1" x14ac:dyDescent="0.25">
      <c r="D361" s="286"/>
    </row>
    <row r="362" spans="4:4" ht="15.75" customHeight="1" x14ac:dyDescent="0.25">
      <c r="D362" s="286"/>
    </row>
    <row r="363" spans="4:4" ht="15.75" customHeight="1" x14ac:dyDescent="0.25">
      <c r="D363" s="286"/>
    </row>
    <row r="364" spans="4:4" ht="15.75" customHeight="1" x14ac:dyDescent="0.25">
      <c r="D364" s="286"/>
    </row>
    <row r="365" spans="4:4" ht="15.75" customHeight="1" x14ac:dyDescent="0.25">
      <c r="D365" s="286"/>
    </row>
    <row r="366" spans="4:4" ht="15.75" customHeight="1" x14ac:dyDescent="0.25">
      <c r="D366" s="286"/>
    </row>
    <row r="367" spans="4:4" ht="15.75" customHeight="1" x14ac:dyDescent="0.25">
      <c r="D367" s="286"/>
    </row>
    <row r="368" spans="4:4" ht="15.75" customHeight="1" x14ac:dyDescent="0.25">
      <c r="D368" s="286"/>
    </row>
    <row r="369" spans="4:4" ht="15.75" customHeight="1" x14ac:dyDescent="0.25">
      <c r="D369" s="286"/>
    </row>
    <row r="370" spans="4:4" ht="15.75" customHeight="1" x14ac:dyDescent="0.25">
      <c r="D370" s="286"/>
    </row>
    <row r="371" spans="4:4" ht="15.75" customHeight="1" x14ac:dyDescent="0.25">
      <c r="D371" s="286"/>
    </row>
    <row r="372" spans="4:4" ht="15.75" customHeight="1" x14ac:dyDescent="0.25">
      <c r="D372" s="286"/>
    </row>
    <row r="373" spans="4:4" ht="15.75" customHeight="1" x14ac:dyDescent="0.25">
      <c r="D373" s="286"/>
    </row>
    <row r="374" spans="4:4" ht="15.75" customHeight="1" x14ac:dyDescent="0.25">
      <c r="D374" s="286"/>
    </row>
    <row r="375" spans="4:4" ht="15.75" customHeight="1" x14ac:dyDescent="0.25">
      <c r="D375" s="286"/>
    </row>
    <row r="376" spans="4:4" ht="15.75" customHeight="1" x14ac:dyDescent="0.25">
      <c r="D376" s="286"/>
    </row>
    <row r="377" spans="4:4" ht="15.75" customHeight="1" x14ac:dyDescent="0.25">
      <c r="D377" s="286"/>
    </row>
    <row r="378" spans="4:4" ht="15.75" customHeight="1" x14ac:dyDescent="0.25">
      <c r="D378" s="286"/>
    </row>
    <row r="379" spans="4:4" ht="15.75" customHeight="1" x14ac:dyDescent="0.25">
      <c r="D379" s="286"/>
    </row>
    <row r="380" spans="4:4" ht="15.75" customHeight="1" x14ac:dyDescent="0.25">
      <c r="D380" s="286"/>
    </row>
    <row r="381" spans="4:4" ht="15.75" customHeight="1" x14ac:dyDescent="0.25">
      <c r="D381" s="286"/>
    </row>
    <row r="382" spans="4:4" ht="15.75" customHeight="1" x14ac:dyDescent="0.25">
      <c r="D382" s="286"/>
    </row>
    <row r="383" spans="4:4" ht="15.75" customHeight="1" x14ac:dyDescent="0.25">
      <c r="D383" s="286"/>
    </row>
    <row r="384" spans="4:4" ht="15.75" customHeight="1" x14ac:dyDescent="0.25">
      <c r="D384" s="286"/>
    </row>
    <row r="385" spans="4:4" ht="15.75" customHeight="1" x14ac:dyDescent="0.25">
      <c r="D385" s="286"/>
    </row>
    <row r="386" spans="4:4" ht="15.75" customHeight="1" x14ac:dyDescent="0.25">
      <c r="D386" s="286"/>
    </row>
    <row r="387" spans="4:4" ht="15.75" customHeight="1" x14ac:dyDescent="0.25">
      <c r="D387" s="286"/>
    </row>
    <row r="388" spans="4:4" ht="15.75" customHeight="1" x14ac:dyDescent="0.25">
      <c r="D388" s="286"/>
    </row>
    <row r="389" spans="4:4" ht="15.75" customHeight="1" x14ac:dyDescent="0.25">
      <c r="D389" s="286"/>
    </row>
    <row r="390" spans="4:4" ht="15.75" customHeight="1" x14ac:dyDescent="0.25">
      <c r="D390" s="286"/>
    </row>
    <row r="391" spans="4:4" ht="15.75" customHeight="1" x14ac:dyDescent="0.25">
      <c r="D391" s="286"/>
    </row>
    <row r="392" spans="4:4" ht="15.75" customHeight="1" x14ac:dyDescent="0.25">
      <c r="D392" s="286"/>
    </row>
    <row r="393" spans="4:4" ht="15.75" customHeight="1" x14ac:dyDescent="0.25">
      <c r="D393" s="286"/>
    </row>
    <row r="394" spans="4:4" ht="15.75" customHeight="1" x14ac:dyDescent="0.25">
      <c r="D394" s="286"/>
    </row>
    <row r="395" spans="4:4" ht="15.75" customHeight="1" x14ac:dyDescent="0.25">
      <c r="D395" s="286"/>
    </row>
    <row r="396" spans="4:4" ht="15.75" customHeight="1" x14ac:dyDescent="0.25">
      <c r="D396" s="286"/>
    </row>
    <row r="397" spans="4:4" ht="15.75" customHeight="1" x14ac:dyDescent="0.25">
      <c r="D397" s="286"/>
    </row>
    <row r="398" spans="4:4" ht="15.75" customHeight="1" x14ac:dyDescent="0.25">
      <c r="D398" s="286"/>
    </row>
    <row r="399" spans="4:4" ht="15.75" customHeight="1" x14ac:dyDescent="0.25">
      <c r="D399" s="286"/>
    </row>
    <row r="400" spans="4:4" ht="15.75" customHeight="1" x14ac:dyDescent="0.25">
      <c r="D400" s="286"/>
    </row>
    <row r="401" spans="4:4" ht="15.75" customHeight="1" x14ac:dyDescent="0.25">
      <c r="D401" s="286"/>
    </row>
    <row r="402" spans="4:4" ht="15.75" customHeight="1" x14ac:dyDescent="0.25">
      <c r="D402" s="286"/>
    </row>
    <row r="403" spans="4:4" ht="15.75" customHeight="1" x14ac:dyDescent="0.25">
      <c r="D403" s="286"/>
    </row>
    <row r="404" spans="4:4" ht="15.75" customHeight="1" x14ac:dyDescent="0.25">
      <c r="D404" s="286"/>
    </row>
    <row r="405" spans="4:4" ht="15.75" customHeight="1" x14ac:dyDescent="0.25">
      <c r="D405" s="286"/>
    </row>
    <row r="406" spans="4:4" ht="15.75" customHeight="1" x14ac:dyDescent="0.25">
      <c r="D406" s="286"/>
    </row>
    <row r="407" spans="4:4" ht="15.75" customHeight="1" x14ac:dyDescent="0.25">
      <c r="D407" s="286"/>
    </row>
    <row r="408" spans="4:4" ht="15.75" customHeight="1" x14ac:dyDescent="0.25">
      <c r="D408" s="286"/>
    </row>
    <row r="409" spans="4:4" ht="15.75" customHeight="1" x14ac:dyDescent="0.25">
      <c r="D409" s="286"/>
    </row>
    <row r="410" spans="4:4" ht="15.75" customHeight="1" x14ac:dyDescent="0.25">
      <c r="D410" s="286"/>
    </row>
    <row r="411" spans="4:4" ht="15.75" customHeight="1" x14ac:dyDescent="0.25">
      <c r="D411" s="286"/>
    </row>
    <row r="412" spans="4:4" ht="15.75" customHeight="1" x14ac:dyDescent="0.25">
      <c r="D412" s="286"/>
    </row>
    <row r="413" spans="4:4" ht="15.75" customHeight="1" x14ac:dyDescent="0.25">
      <c r="D413" s="286"/>
    </row>
    <row r="414" spans="4:4" ht="15.75" customHeight="1" x14ac:dyDescent="0.25">
      <c r="D414" s="286"/>
    </row>
    <row r="415" spans="4:4" ht="15.75" customHeight="1" x14ac:dyDescent="0.25">
      <c r="D415" s="286"/>
    </row>
    <row r="416" spans="4:4" ht="15.75" customHeight="1" x14ac:dyDescent="0.25">
      <c r="D416" s="286"/>
    </row>
    <row r="417" spans="4:4" ht="15.75" customHeight="1" x14ac:dyDescent="0.25">
      <c r="D417" s="286"/>
    </row>
    <row r="418" spans="4:4" ht="15.75" customHeight="1" x14ac:dyDescent="0.25">
      <c r="D418" s="286"/>
    </row>
    <row r="419" spans="4:4" ht="15.75" customHeight="1" x14ac:dyDescent="0.25">
      <c r="D419" s="286"/>
    </row>
    <row r="420" spans="4:4" ht="15.75" customHeight="1" x14ac:dyDescent="0.25">
      <c r="D420" s="286"/>
    </row>
    <row r="421" spans="4:4" ht="15.75" customHeight="1" x14ac:dyDescent="0.25">
      <c r="D421" s="286"/>
    </row>
    <row r="422" spans="4:4" ht="15.75" customHeight="1" x14ac:dyDescent="0.25">
      <c r="D422" s="286"/>
    </row>
    <row r="423" spans="4:4" ht="15.75" customHeight="1" x14ac:dyDescent="0.25">
      <c r="D423" s="286"/>
    </row>
    <row r="424" spans="4:4" ht="15.75" customHeight="1" x14ac:dyDescent="0.25">
      <c r="D424" s="286"/>
    </row>
    <row r="425" spans="4:4" ht="15.75" customHeight="1" x14ac:dyDescent="0.25">
      <c r="D425" s="286"/>
    </row>
    <row r="426" spans="4:4" ht="15.75" customHeight="1" x14ac:dyDescent="0.25">
      <c r="D426" s="286"/>
    </row>
    <row r="427" spans="4:4" ht="15.75" customHeight="1" x14ac:dyDescent="0.25">
      <c r="D427" s="286"/>
    </row>
    <row r="428" spans="4:4" ht="15.75" customHeight="1" x14ac:dyDescent="0.25">
      <c r="D428" s="286"/>
    </row>
    <row r="429" spans="4:4" ht="15.75" customHeight="1" x14ac:dyDescent="0.25">
      <c r="D429" s="286"/>
    </row>
    <row r="430" spans="4:4" ht="15.75" customHeight="1" x14ac:dyDescent="0.25">
      <c r="D430" s="286"/>
    </row>
    <row r="431" spans="4:4" ht="15.75" customHeight="1" x14ac:dyDescent="0.25">
      <c r="D431" s="286"/>
    </row>
    <row r="432" spans="4:4" ht="15.75" customHeight="1" x14ac:dyDescent="0.25">
      <c r="D432" s="286"/>
    </row>
    <row r="433" spans="4:4" ht="15.75" customHeight="1" x14ac:dyDescent="0.25">
      <c r="D433" s="286"/>
    </row>
    <row r="434" spans="4:4" ht="15.75" customHeight="1" x14ac:dyDescent="0.25">
      <c r="D434" s="286"/>
    </row>
    <row r="435" spans="4:4" ht="15.75" customHeight="1" x14ac:dyDescent="0.25">
      <c r="D435" s="286"/>
    </row>
    <row r="436" spans="4:4" ht="15.75" customHeight="1" x14ac:dyDescent="0.25">
      <c r="D436" s="286"/>
    </row>
    <row r="437" spans="4:4" ht="15.75" customHeight="1" x14ac:dyDescent="0.25">
      <c r="D437" s="286"/>
    </row>
    <row r="438" spans="4:4" ht="15.75" customHeight="1" x14ac:dyDescent="0.25">
      <c r="D438" s="286"/>
    </row>
    <row r="439" spans="4:4" ht="15.75" customHeight="1" x14ac:dyDescent="0.25">
      <c r="D439" s="286"/>
    </row>
    <row r="440" spans="4:4" ht="15.75" customHeight="1" x14ac:dyDescent="0.25">
      <c r="D440" s="286"/>
    </row>
    <row r="441" spans="4:4" ht="15.75" customHeight="1" x14ac:dyDescent="0.25">
      <c r="D441" s="286"/>
    </row>
    <row r="442" spans="4:4" ht="15.75" customHeight="1" x14ac:dyDescent="0.25">
      <c r="D442" s="286"/>
    </row>
    <row r="443" spans="4:4" ht="15.75" customHeight="1" x14ac:dyDescent="0.25">
      <c r="D443" s="286"/>
    </row>
    <row r="444" spans="4:4" ht="15.75" customHeight="1" x14ac:dyDescent="0.25">
      <c r="D444" s="286"/>
    </row>
    <row r="445" spans="4:4" ht="15.75" customHeight="1" x14ac:dyDescent="0.25">
      <c r="D445" s="286"/>
    </row>
    <row r="446" spans="4:4" ht="15.75" customHeight="1" x14ac:dyDescent="0.25">
      <c r="D446" s="286"/>
    </row>
    <row r="447" spans="4:4" ht="15.75" customHeight="1" x14ac:dyDescent="0.25">
      <c r="D447" s="286"/>
    </row>
    <row r="448" spans="4:4" ht="15.75" customHeight="1" x14ac:dyDescent="0.25">
      <c r="D448" s="286"/>
    </row>
    <row r="449" spans="4:4" ht="15.75" customHeight="1" x14ac:dyDescent="0.25">
      <c r="D449" s="286"/>
    </row>
    <row r="450" spans="4:4" ht="15.75" customHeight="1" x14ac:dyDescent="0.25">
      <c r="D450" s="286"/>
    </row>
    <row r="451" spans="4:4" ht="15.75" customHeight="1" x14ac:dyDescent="0.25">
      <c r="D451" s="286"/>
    </row>
    <row r="452" spans="4:4" ht="15.75" customHeight="1" x14ac:dyDescent="0.25">
      <c r="D452" s="286"/>
    </row>
    <row r="453" spans="4:4" ht="15.75" customHeight="1" x14ac:dyDescent="0.25">
      <c r="D453" s="286"/>
    </row>
    <row r="454" spans="4:4" ht="15.75" customHeight="1" x14ac:dyDescent="0.25">
      <c r="D454" s="286"/>
    </row>
    <row r="455" spans="4:4" ht="15.75" customHeight="1" x14ac:dyDescent="0.25">
      <c r="D455" s="286"/>
    </row>
    <row r="456" spans="4:4" ht="15.75" customHeight="1" x14ac:dyDescent="0.25">
      <c r="D456" s="286"/>
    </row>
    <row r="457" spans="4:4" ht="15.75" customHeight="1" x14ac:dyDescent="0.25">
      <c r="D457" s="286"/>
    </row>
    <row r="458" spans="4:4" ht="15.75" customHeight="1" x14ac:dyDescent="0.25">
      <c r="D458" s="286"/>
    </row>
    <row r="459" spans="4:4" ht="15.75" customHeight="1" x14ac:dyDescent="0.25">
      <c r="D459" s="286"/>
    </row>
    <row r="460" spans="4:4" ht="15.75" customHeight="1" x14ac:dyDescent="0.25">
      <c r="D460" s="286"/>
    </row>
    <row r="461" spans="4:4" ht="15.75" customHeight="1" x14ac:dyDescent="0.25">
      <c r="D461" s="286"/>
    </row>
    <row r="462" spans="4:4" ht="15.75" customHeight="1" x14ac:dyDescent="0.25">
      <c r="D462" s="286"/>
    </row>
    <row r="463" spans="4:4" ht="15.75" customHeight="1" x14ac:dyDescent="0.25">
      <c r="D463" s="286"/>
    </row>
    <row r="464" spans="4:4" ht="15.75" customHeight="1" x14ac:dyDescent="0.25">
      <c r="D464" s="286"/>
    </row>
    <row r="465" spans="4:4" ht="15.75" customHeight="1" x14ac:dyDescent="0.25">
      <c r="D465" s="286"/>
    </row>
    <row r="466" spans="4:4" ht="15.75" customHeight="1" x14ac:dyDescent="0.25">
      <c r="D466" s="286"/>
    </row>
    <row r="467" spans="4:4" ht="15.75" customHeight="1" x14ac:dyDescent="0.25">
      <c r="D467" s="286"/>
    </row>
    <row r="468" spans="4:4" ht="15.75" customHeight="1" x14ac:dyDescent="0.25">
      <c r="D468" s="286"/>
    </row>
    <row r="469" spans="4:4" ht="15.75" customHeight="1" x14ac:dyDescent="0.25">
      <c r="D469" s="286"/>
    </row>
    <row r="470" spans="4:4" ht="15.75" customHeight="1" x14ac:dyDescent="0.25">
      <c r="D470" s="286"/>
    </row>
    <row r="471" spans="4:4" ht="15.75" customHeight="1" x14ac:dyDescent="0.25">
      <c r="D471" s="286"/>
    </row>
    <row r="472" spans="4:4" ht="15.75" customHeight="1" x14ac:dyDescent="0.25">
      <c r="D472" s="286"/>
    </row>
    <row r="473" spans="4:4" ht="15.75" customHeight="1" x14ac:dyDescent="0.25">
      <c r="D473" s="286"/>
    </row>
    <row r="474" spans="4:4" ht="15.75" customHeight="1" x14ac:dyDescent="0.25">
      <c r="D474" s="286"/>
    </row>
    <row r="475" spans="4:4" ht="15.75" customHeight="1" x14ac:dyDescent="0.25">
      <c r="D475" s="286"/>
    </row>
    <row r="476" spans="4:4" ht="15.75" customHeight="1" x14ac:dyDescent="0.25">
      <c r="D476" s="286"/>
    </row>
    <row r="477" spans="4:4" ht="15.75" customHeight="1" x14ac:dyDescent="0.25">
      <c r="D477" s="286"/>
    </row>
    <row r="478" spans="4:4" ht="15.75" customHeight="1" x14ac:dyDescent="0.25">
      <c r="D478" s="286"/>
    </row>
    <row r="479" spans="4:4" ht="15.75" customHeight="1" x14ac:dyDescent="0.25">
      <c r="D479" s="286"/>
    </row>
    <row r="480" spans="4:4" ht="15.75" customHeight="1" x14ac:dyDescent="0.25">
      <c r="D480" s="286"/>
    </row>
    <row r="481" spans="4:4" ht="15.75" customHeight="1" x14ac:dyDescent="0.25">
      <c r="D481" s="286"/>
    </row>
    <row r="482" spans="4:4" ht="15.75" customHeight="1" x14ac:dyDescent="0.25">
      <c r="D482" s="286"/>
    </row>
    <row r="483" spans="4:4" ht="15.75" customHeight="1" x14ac:dyDescent="0.25">
      <c r="D483" s="286"/>
    </row>
    <row r="484" spans="4:4" ht="15.75" customHeight="1" x14ac:dyDescent="0.25">
      <c r="D484" s="286"/>
    </row>
    <row r="485" spans="4:4" ht="15.75" customHeight="1" x14ac:dyDescent="0.25">
      <c r="D485" s="286"/>
    </row>
    <row r="486" spans="4:4" ht="15.75" customHeight="1" x14ac:dyDescent="0.25">
      <c r="D486" s="286"/>
    </row>
    <row r="487" spans="4:4" ht="15.75" customHeight="1" x14ac:dyDescent="0.25">
      <c r="D487" s="286"/>
    </row>
    <row r="488" spans="4:4" ht="15.75" customHeight="1" x14ac:dyDescent="0.25">
      <c r="D488" s="286"/>
    </row>
    <row r="489" spans="4:4" ht="15.75" customHeight="1" x14ac:dyDescent="0.25">
      <c r="D489" s="286"/>
    </row>
    <row r="490" spans="4:4" ht="15.75" customHeight="1" x14ac:dyDescent="0.25">
      <c r="D490" s="286"/>
    </row>
    <row r="491" spans="4:4" ht="15.75" customHeight="1" x14ac:dyDescent="0.25">
      <c r="D491" s="286"/>
    </row>
    <row r="492" spans="4:4" ht="15.75" customHeight="1" x14ac:dyDescent="0.25">
      <c r="D492" s="286"/>
    </row>
    <row r="493" spans="4:4" ht="15.75" customHeight="1" x14ac:dyDescent="0.25">
      <c r="D493" s="286"/>
    </row>
    <row r="494" spans="4:4" ht="15.75" customHeight="1" x14ac:dyDescent="0.25">
      <c r="D494" s="286"/>
    </row>
    <row r="495" spans="4:4" ht="15.75" customHeight="1" x14ac:dyDescent="0.25">
      <c r="D495" s="286"/>
    </row>
    <row r="496" spans="4:4" ht="15.75" customHeight="1" x14ac:dyDescent="0.25">
      <c r="D496" s="286"/>
    </row>
    <row r="497" spans="4:4" ht="15.75" customHeight="1" x14ac:dyDescent="0.25">
      <c r="D497" s="286"/>
    </row>
    <row r="498" spans="4:4" ht="15.75" customHeight="1" x14ac:dyDescent="0.25">
      <c r="D498" s="286"/>
    </row>
    <row r="499" spans="4:4" ht="15.75" customHeight="1" x14ac:dyDescent="0.25">
      <c r="D499" s="286"/>
    </row>
    <row r="500" spans="4:4" ht="15.75" customHeight="1" x14ac:dyDescent="0.25">
      <c r="D500" s="286"/>
    </row>
    <row r="501" spans="4:4" ht="15.75" customHeight="1" x14ac:dyDescent="0.25">
      <c r="D501" s="286"/>
    </row>
    <row r="502" spans="4:4" ht="15.75" customHeight="1" x14ac:dyDescent="0.25">
      <c r="D502" s="286"/>
    </row>
    <row r="503" spans="4:4" ht="15.75" customHeight="1" x14ac:dyDescent="0.25">
      <c r="D503" s="286"/>
    </row>
    <row r="504" spans="4:4" ht="15.75" customHeight="1" x14ac:dyDescent="0.25">
      <c r="D504" s="286"/>
    </row>
    <row r="505" spans="4:4" ht="15.75" customHeight="1" x14ac:dyDescent="0.25">
      <c r="D505" s="286"/>
    </row>
    <row r="506" spans="4:4" ht="15.75" customHeight="1" x14ac:dyDescent="0.25">
      <c r="D506" s="286"/>
    </row>
    <row r="507" spans="4:4" ht="15.75" customHeight="1" x14ac:dyDescent="0.25">
      <c r="D507" s="286"/>
    </row>
    <row r="508" spans="4:4" ht="15.75" customHeight="1" x14ac:dyDescent="0.25">
      <c r="D508" s="286"/>
    </row>
    <row r="509" spans="4:4" ht="15.75" customHeight="1" x14ac:dyDescent="0.25">
      <c r="D509" s="286"/>
    </row>
    <row r="510" spans="4:4" ht="15.75" customHeight="1" x14ac:dyDescent="0.25">
      <c r="D510" s="286"/>
    </row>
    <row r="511" spans="4:4" ht="15.75" customHeight="1" x14ac:dyDescent="0.25">
      <c r="D511" s="286"/>
    </row>
    <row r="512" spans="4:4" ht="15.75" customHeight="1" x14ac:dyDescent="0.25">
      <c r="D512" s="286"/>
    </row>
    <row r="513" spans="4:4" ht="15.75" customHeight="1" x14ac:dyDescent="0.25">
      <c r="D513" s="286"/>
    </row>
    <row r="514" spans="4:4" ht="15.75" customHeight="1" x14ac:dyDescent="0.25">
      <c r="D514" s="286"/>
    </row>
    <row r="515" spans="4:4" ht="15.75" customHeight="1" x14ac:dyDescent="0.25">
      <c r="D515" s="286"/>
    </row>
    <row r="516" spans="4:4" ht="15.75" customHeight="1" x14ac:dyDescent="0.25">
      <c r="D516" s="286"/>
    </row>
    <row r="517" spans="4:4" ht="15.75" customHeight="1" x14ac:dyDescent="0.25">
      <c r="D517" s="286"/>
    </row>
    <row r="518" spans="4:4" ht="15.75" customHeight="1" x14ac:dyDescent="0.25">
      <c r="D518" s="286"/>
    </row>
    <row r="519" spans="4:4" ht="15.75" customHeight="1" x14ac:dyDescent="0.25">
      <c r="D519" s="286"/>
    </row>
    <row r="520" spans="4:4" ht="15.75" customHeight="1" x14ac:dyDescent="0.25">
      <c r="D520" s="286"/>
    </row>
    <row r="521" spans="4:4" ht="15.75" customHeight="1" x14ac:dyDescent="0.25">
      <c r="D521" s="286"/>
    </row>
    <row r="522" spans="4:4" ht="15.75" customHeight="1" x14ac:dyDescent="0.25">
      <c r="D522" s="286"/>
    </row>
    <row r="523" spans="4:4" ht="15.75" customHeight="1" x14ac:dyDescent="0.25">
      <c r="D523" s="286"/>
    </row>
    <row r="524" spans="4:4" ht="15.75" customHeight="1" x14ac:dyDescent="0.25">
      <c r="D524" s="286"/>
    </row>
    <row r="525" spans="4:4" ht="15.75" customHeight="1" x14ac:dyDescent="0.25">
      <c r="D525" s="286"/>
    </row>
    <row r="526" spans="4:4" ht="15.75" customHeight="1" x14ac:dyDescent="0.25">
      <c r="D526" s="286"/>
    </row>
    <row r="527" spans="4:4" ht="15.75" customHeight="1" x14ac:dyDescent="0.25">
      <c r="D527" s="286"/>
    </row>
    <row r="528" spans="4:4" ht="15.75" customHeight="1" x14ac:dyDescent="0.25">
      <c r="D528" s="286"/>
    </row>
    <row r="529" spans="4:4" ht="15.75" customHeight="1" x14ac:dyDescent="0.25">
      <c r="D529" s="286"/>
    </row>
    <row r="530" spans="4:4" ht="15.75" customHeight="1" x14ac:dyDescent="0.25">
      <c r="D530" s="286"/>
    </row>
    <row r="531" spans="4:4" ht="15.75" customHeight="1" x14ac:dyDescent="0.25">
      <c r="D531" s="286"/>
    </row>
    <row r="532" spans="4:4" ht="15.75" customHeight="1" x14ac:dyDescent="0.25">
      <c r="D532" s="286"/>
    </row>
    <row r="533" spans="4:4" ht="15.75" customHeight="1" x14ac:dyDescent="0.25">
      <c r="D533" s="286"/>
    </row>
    <row r="534" spans="4:4" ht="15.75" customHeight="1" x14ac:dyDescent="0.25">
      <c r="D534" s="286"/>
    </row>
    <row r="535" spans="4:4" ht="15.75" customHeight="1" x14ac:dyDescent="0.25">
      <c r="D535" s="286"/>
    </row>
    <row r="536" spans="4:4" ht="15.75" customHeight="1" x14ac:dyDescent="0.25">
      <c r="D536" s="286"/>
    </row>
    <row r="537" spans="4:4" ht="15.75" customHeight="1" x14ac:dyDescent="0.25">
      <c r="D537" s="286"/>
    </row>
    <row r="538" spans="4:4" ht="15.75" customHeight="1" x14ac:dyDescent="0.25">
      <c r="D538" s="286"/>
    </row>
    <row r="539" spans="4:4" ht="15.75" customHeight="1" x14ac:dyDescent="0.25">
      <c r="D539" s="286"/>
    </row>
    <row r="540" spans="4:4" ht="15.75" customHeight="1" x14ac:dyDescent="0.25">
      <c r="D540" s="286"/>
    </row>
    <row r="541" spans="4:4" ht="15.75" customHeight="1" x14ac:dyDescent="0.25">
      <c r="D541" s="286"/>
    </row>
    <row r="542" spans="4:4" ht="15.75" customHeight="1" x14ac:dyDescent="0.25">
      <c r="D542" s="286"/>
    </row>
    <row r="543" spans="4:4" ht="15.75" customHeight="1" x14ac:dyDescent="0.25">
      <c r="D543" s="286"/>
    </row>
    <row r="544" spans="4:4" ht="15.75" customHeight="1" x14ac:dyDescent="0.25">
      <c r="D544" s="286"/>
    </row>
    <row r="545" spans="4:4" ht="15.75" customHeight="1" x14ac:dyDescent="0.25">
      <c r="D545" s="286"/>
    </row>
    <row r="546" spans="4:4" ht="15.75" customHeight="1" x14ac:dyDescent="0.25">
      <c r="D546" s="286"/>
    </row>
    <row r="547" spans="4:4" ht="15.75" customHeight="1" x14ac:dyDescent="0.25">
      <c r="D547" s="286"/>
    </row>
    <row r="548" spans="4:4" ht="15.75" customHeight="1" x14ac:dyDescent="0.25">
      <c r="D548" s="286"/>
    </row>
    <row r="549" spans="4:4" ht="15.75" customHeight="1" x14ac:dyDescent="0.25">
      <c r="D549" s="286"/>
    </row>
    <row r="550" spans="4:4" ht="15.75" customHeight="1" x14ac:dyDescent="0.25">
      <c r="D550" s="286"/>
    </row>
    <row r="551" spans="4:4" ht="15.75" customHeight="1" x14ac:dyDescent="0.25">
      <c r="D551" s="286"/>
    </row>
    <row r="552" spans="4:4" ht="15.75" customHeight="1" x14ac:dyDescent="0.25">
      <c r="D552" s="286"/>
    </row>
    <row r="553" spans="4:4" ht="15.75" customHeight="1" x14ac:dyDescent="0.25">
      <c r="D553" s="286"/>
    </row>
    <row r="554" spans="4:4" ht="15.75" customHeight="1" x14ac:dyDescent="0.25">
      <c r="D554" s="286"/>
    </row>
    <row r="555" spans="4:4" ht="15.75" customHeight="1" x14ac:dyDescent="0.25">
      <c r="D555" s="286"/>
    </row>
    <row r="556" spans="4:4" ht="15.75" customHeight="1" x14ac:dyDescent="0.25">
      <c r="D556" s="286"/>
    </row>
    <row r="557" spans="4:4" ht="15.75" customHeight="1" x14ac:dyDescent="0.25">
      <c r="D557" s="286"/>
    </row>
    <row r="558" spans="4:4" ht="15.75" customHeight="1" x14ac:dyDescent="0.25">
      <c r="D558" s="286"/>
    </row>
    <row r="559" spans="4:4" ht="15.75" customHeight="1" x14ac:dyDescent="0.25">
      <c r="D559" s="286"/>
    </row>
    <row r="560" spans="4:4" ht="15.75" customHeight="1" x14ac:dyDescent="0.25">
      <c r="D560" s="286"/>
    </row>
    <row r="561" spans="4:4" ht="15.75" customHeight="1" x14ac:dyDescent="0.25">
      <c r="D561" s="286"/>
    </row>
    <row r="562" spans="4:4" ht="15.75" customHeight="1" x14ac:dyDescent="0.25">
      <c r="D562" s="286"/>
    </row>
    <row r="563" spans="4:4" ht="15.75" customHeight="1" x14ac:dyDescent="0.25">
      <c r="D563" s="286"/>
    </row>
    <row r="564" spans="4:4" ht="15.75" customHeight="1" x14ac:dyDescent="0.25">
      <c r="D564" s="286"/>
    </row>
    <row r="565" spans="4:4" ht="15.75" customHeight="1" x14ac:dyDescent="0.25">
      <c r="D565" s="286"/>
    </row>
    <row r="566" spans="4:4" ht="15.75" customHeight="1" x14ac:dyDescent="0.25">
      <c r="D566" s="286"/>
    </row>
    <row r="567" spans="4:4" ht="15.75" customHeight="1" x14ac:dyDescent="0.25">
      <c r="D567" s="286"/>
    </row>
    <row r="568" spans="4:4" ht="15.75" customHeight="1" x14ac:dyDescent="0.25">
      <c r="D568" s="286"/>
    </row>
    <row r="569" spans="4:4" ht="15.75" customHeight="1" x14ac:dyDescent="0.25">
      <c r="D569" s="286"/>
    </row>
    <row r="570" spans="4:4" ht="15.75" customHeight="1" x14ac:dyDescent="0.25">
      <c r="D570" s="286"/>
    </row>
    <row r="571" spans="4:4" ht="15.75" customHeight="1" x14ac:dyDescent="0.25">
      <c r="D571" s="286"/>
    </row>
    <row r="572" spans="4:4" ht="15.75" customHeight="1" x14ac:dyDescent="0.25">
      <c r="D572" s="286"/>
    </row>
    <row r="573" spans="4:4" ht="15.75" customHeight="1" x14ac:dyDescent="0.25">
      <c r="D573" s="286"/>
    </row>
    <row r="574" spans="4:4" ht="15.75" customHeight="1" x14ac:dyDescent="0.25">
      <c r="D574" s="286"/>
    </row>
    <row r="575" spans="4:4" ht="15.75" customHeight="1" x14ac:dyDescent="0.25">
      <c r="D575" s="286"/>
    </row>
    <row r="576" spans="4:4" ht="15.75" customHeight="1" x14ac:dyDescent="0.25">
      <c r="D576" s="286"/>
    </row>
    <row r="577" spans="4:4" ht="15.75" customHeight="1" x14ac:dyDescent="0.25">
      <c r="D577" s="286"/>
    </row>
    <row r="578" spans="4:4" ht="15.75" customHeight="1" x14ac:dyDescent="0.25">
      <c r="D578" s="286"/>
    </row>
    <row r="579" spans="4:4" ht="15.75" customHeight="1" x14ac:dyDescent="0.25">
      <c r="D579" s="286"/>
    </row>
    <row r="580" spans="4:4" ht="15.75" customHeight="1" x14ac:dyDescent="0.25">
      <c r="D580" s="286"/>
    </row>
    <row r="581" spans="4:4" ht="15.75" customHeight="1" x14ac:dyDescent="0.25">
      <c r="D581" s="286"/>
    </row>
    <row r="582" spans="4:4" ht="15.75" customHeight="1" x14ac:dyDescent="0.25">
      <c r="D582" s="286"/>
    </row>
    <row r="583" spans="4:4" ht="15.75" customHeight="1" x14ac:dyDescent="0.25">
      <c r="D583" s="286"/>
    </row>
    <row r="584" spans="4:4" ht="15.75" customHeight="1" x14ac:dyDescent="0.25">
      <c r="D584" s="286"/>
    </row>
    <row r="585" spans="4:4" ht="15.75" customHeight="1" x14ac:dyDescent="0.25">
      <c r="D585" s="286"/>
    </row>
    <row r="586" spans="4:4" ht="15.75" customHeight="1" x14ac:dyDescent="0.25">
      <c r="D586" s="286"/>
    </row>
    <row r="587" spans="4:4" ht="15.75" customHeight="1" x14ac:dyDescent="0.25">
      <c r="D587" s="286"/>
    </row>
    <row r="588" spans="4:4" ht="15.75" customHeight="1" x14ac:dyDescent="0.25">
      <c r="D588" s="286"/>
    </row>
    <row r="589" spans="4:4" ht="15.75" customHeight="1" x14ac:dyDescent="0.25">
      <c r="D589" s="286"/>
    </row>
    <row r="590" spans="4:4" ht="15.75" customHeight="1" x14ac:dyDescent="0.25">
      <c r="D590" s="286"/>
    </row>
    <row r="591" spans="4:4" ht="15.75" customHeight="1" x14ac:dyDescent="0.25">
      <c r="D591" s="286"/>
    </row>
    <row r="592" spans="4:4" ht="15.75" customHeight="1" x14ac:dyDescent="0.25">
      <c r="D592" s="286"/>
    </row>
    <row r="593" spans="4:4" ht="15.75" customHeight="1" x14ac:dyDescent="0.25">
      <c r="D593" s="286"/>
    </row>
    <row r="594" spans="4:4" ht="15.75" customHeight="1" x14ac:dyDescent="0.25">
      <c r="D594" s="286"/>
    </row>
    <row r="595" spans="4:4" ht="15.75" customHeight="1" x14ac:dyDescent="0.25">
      <c r="D595" s="286"/>
    </row>
    <row r="596" spans="4:4" ht="15.75" customHeight="1" x14ac:dyDescent="0.25">
      <c r="D596" s="286"/>
    </row>
    <row r="597" spans="4:4" ht="15.75" customHeight="1" x14ac:dyDescent="0.25">
      <c r="D597" s="286"/>
    </row>
    <row r="598" spans="4:4" ht="15.75" customHeight="1" x14ac:dyDescent="0.25">
      <c r="D598" s="286"/>
    </row>
    <row r="599" spans="4:4" ht="15.75" customHeight="1" x14ac:dyDescent="0.25">
      <c r="D599" s="286"/>
    </row>
    <row r="600" spans="4:4" ht="15.75" customHeight="1" x14ac:dyDescent="0.25">
      <c r="D600" s="286"/>
    </row>
    <row r="601" spans="4:4" ht="15.75" customHeight="1" x14ac:dyDescent="0.25">
      <c r="D601" s="286"/>
    </row>
    <row r="602" spans="4:4" ht="15.75" customHeight="1" x14ac:dyDescent="0.25">
      <c r="D602" s="286"/>
    </row>
    <row r="603" spans="4:4" ht="15.75" customHeight="1" x14ac:dyDescent="0.25">
      <c r="D603" s="286"/>
    </row>
    <row r="604" spans="4:4" ht="15.75" customHeight="1" x14ac:dyDescent="0.25">
      <c r="D604" s="286"/>
    </row>
    <row r="605" spans="4:4" ht="15.75" customHeight="1" x14ac:dyDescent="0.25">
      <c r="D605" s="286"/>
    </row>
    <row r="606" spans="4:4" ht="15.75" customHeight="1" x14ac:dyDescent="0.25">
      <c r="D606" s="286"/>
    </row>
    <row r="607" spans="4:4" ht="15.75" customHeight="1" x14ac:dyDescent="0.25">
      <c r="D607" s="286"/>
    </row>
    <row r="608" spans="4:4" ht="15.75" customHeight="1" x14ac:dyDescent="0.25">
      <c r="D608" s="286"/>
    </row>
    <row r="609" spans="4:4" ht="15.75" customHeight="1" x14ac:dyDescent="0.25">
      <c r="D609" s="286"/>
    </row>
    <row r="610" spans="4:4" ht="15.75" customHeight="1" x14ac:dyDescent="0.25">
      <c r="D610" s="286"/>
    </row>
    <row r="611" spans="4:4" ht="15.75" customHeight="1" x14ac:dyDescent="0.25">
      <c r="D611" s="286"/>
    </row>
    <row r="612" spans="4:4" ht="15.75" customHeight="1" x14ac:dyDescent="0.25">
      <c r="D612" s="286"/>
    </row>
    <row r="613" spans="4:4" ht="15.75" customHeight="1" x14ac:dyDescent="0.25">
      <c r="D613" s="286"/>
    </row>
    <row r="614" spans="4:4" ht="15.75" customHeight="1" x14ac:dyDescent="0.25">
      <c r="D614" s="286"/>
    </row>
    <row r="615" spans="4:4" ht="15.75" customHeight="1" x14ac:dyDescent="0.25">
      <c r="D615" s="286"/>
    </row>
    <row r="616" spans="4:4" ht="15.75" customHeight="1" x14ac:dyDescent="0.25">
      <c r="D616" s="286"/>
    </row>
    <row r="617" spans="4:4" ht="15.75" customHeight="1" x14ac:dyDescent="0.25">
      <c r="D617" s="286"/>
    </row>
    <row r="618" spans="4:4" ht="15.75" customHeight="1" x14ac:dyDescent="0.25">
      <c r="D618" s="286"/>
    </row>
    <row r="619" spans="4:4" ht="15.75" customHeight="1" x14ac:dyDescent="0.25">
      <c r="D619" s="286"/>
    </row>
    <row r="620" spans="4:4" ht="15.75" customHeight="1" x14ac:dyDescent="0.25">
      <c r="D620" s="286"/>
    </row>
    <row r="621" spans="4:4" ht="15.75" customHeight="1" x14ac:dyDescent="0.25">
      <c r="D621" s="286"/>
    </row>
    <row r="622" spans="4:4" ht="15.75" customHeight="1" x14ac:dyDescent="0.25">
      <c r="D622" s="286"/>
    </row>
    <row r="623" spans="4:4" ht="15.75" customHeight="1" x14ac:dyDescent="0.25">
      <c r="D623" s="286"/>
    </row>
    <row r="624" spans="4:4" ht="15.75" customHeight="1" x14ac:dyDescent="0.25">
      <c r="D624" s="286"/>
    </row>
    <row r="625" spans="4:4" ht="15.75" customHeight="1" x14ac:dyDescent="0.25">
      <c r="D625" s="286"/>
    </row>
    <row r="626" spans="4:4" ht="15.75" customHeight="1" x14ac:dyDescent="0.25">
      <c r="D626" s="286"/>
    </row>
    <row r="627" spans="4:4" ht="15.75" customHeight="1" x14ac:dyDescent="0.25">
      <c r="D627" s="286"/>
    </row>
    <row r="628" spans="4:4" ht="15.75" customHeight="1" x14ac:dyDescent="0.25">
      <c r="D628" s="286"/>
    </row>
    <row r="629" spans="4:4" ht="15.75" customHeight="1" x14ac:dyDescent="0.25">
      <c r="D629" s="286"/>
    </row>
    <row r="630" spans="4:4" ht="15.75" customHeight="1" x14ac:dyDescent="0.25">
      <c r="D630" s="286"/>
    </row>
    <row r="631" spans="4:4" ht="15.75" customHeight="1" x14ac:dyDescent="0.25">
      <c r="D631" s="286"/>
    </row>
    <row r="632" spans="4:4" ht="15.75" customHeight="1" x14ac:dyDescent="0.25">
      <c r="D632" s="286"/>
    </row>
    <row r="633" spans="4:4" ht="15.75" customHeight="1" x14ac:dyDescent="0.25">
      <c r="D633" s="286"/>
    </row>
    <row r="634" spans="4:4" ht="15.75" customHeight="1" x14ac:dyDescent="0.25">
      <c r="D634" s="286"/>
    </row>
    <row r="635" spans="4:4" ht="15.75" customHeight="1" x14ac:dyDescent="0.25">
      <c r="D635" s="286"/>
    </row>
    <row r="636" spans="4:4" ht="15.75" customHeight="1" x14ac:dyDescent="0.25">
      <c r="D636" s="286"/>
    </row>
    <row r="637" spans="4:4" ht="15.75" customHeight="1" x14ac:dyDescent="0.25">
      <c r="D637" s="286"/>
    </row>
    <row r="638" spans="4:4" ht="15.75" customHeight="1" x14ac:dyDescent="0.25">
      <c r="D638" s="286"/>
    </row>
    <row r="639" spans="4:4" ht="15.75" customHeight="1" x14ac:dyDescent="0.25">
      <c r="D639" s="286"/>
    </row>
    <row r="640" spans="4:4" ht="15.75" customHeight="1" x14ac:dyDescent="0.25">
      <c r="D640" s="286"/>
    </row>
    <row r="641" spans="4:4" ht="15.75" customHeight="1" x14ac:dyDescent="0.25">
      <c r="D641" s="286"/>
    </row>
    <row r="642" spans="4:4" ht="15.75" customHeight="1" x14ac:dyDescent="0.25">
      <c r="D642" s="286"/>
    </row>
    <row r="643" spans="4:4" ht="15.75" customHeight="1" x14ac:dyDescent="0.25">
      <c r="D643" s="286"/>
    </row>
    <row r="644" spans="4:4" ht="15.75" customHeight="1" x14ac:dyDescent="0.25">
      <c r="D644" s="286"/>
    </row>
    <row r="645" spans="4:4" ht="15.75" customHeight="1" x14ac:dyDescent="0.25">
      <c r="D645" s="286"/>
    </row>
    <row r="646" spans="4:4" ht="15.75" customHeight="1" x14ac:dyDescent="0.25">
      <c r="D646" s="286"/>
    </row>
    <row r="647" spans="4:4" ht="15.75" customHeight="1" x14ac:dyDescent="0.25">
      <c r="D647" s="286"/>
    </row>
    <row r="648" spans="4:4" ht="15.75" customHeight="1" x14ac:dyDescent="0.25">
      <c r="D648" s="286"/>
    </row>
    <row r="649" spans="4:4" ht="15.75" customHeight="1" x14ac:dyDescent="0.25">
      <c r="D649" s="286"/>
    </row>
    <row r="650" spans="4:4" ht="15.75" customHeight="1" x14ac:dyDescent="0.25">
      <c r="D650" s="286"/>
    </row>
    <row r="651" spans="4:4" ht="15.75" customHeight="1" x14ac:dyDescent="0.25">
      <c r="D651" s="286"/>
    </row>
    <row r="652" spans="4:4" ht="15.75" customHeight="1" x14ac:dyDescent="0.25">
      <c r="D652" s="286"/>
    </row>
    <row r="653" spans="4:4" ht="15.75" customHeight="1" x14ac:dyDescent="0.25">
      <c r="D653" s="286"/>
    </row>
    <row r="654" spans="4:4" ht="15.75" customHeight="1" x14ac:dyDescent="0.25">
      <c r="D654" s="286"/>
    </row>
    <row r="655" spans="4:4" ht="15.75" customHeight="1" x14ac:dyDescent="0.25">
      <c r="D655" s="286"/>
    </row>
    <row r="656" spans="4:4" ht="15.75" customHeight="1" x14ac:dyDescent="0.25">
      <c r="D656" s="286"/>
    </row>
    <row r="657" spans="4:4" ht="15.75" customHeight="1" x14ac:dyDescent="0.25">
      <c r="D657" s="286"/>
    </row>
    <row r="658" spans="4:4" ht="15.75" customHeight="1" x14ac:dyDescent="0.25">
      <c r="D658" s="286"/>
    </row>
    <row r="659" spans="4:4" ht="15.75" customHeight="1" x14ac:dyDescent="0.25">
      <c r="D659" s="286"/>
    </row>
    <row r="660" spans="4:4" ht="15.75" customHeight="1" x14ac:dyDescent="0.25">
      <c r="D660" s="286"/>
    </row>
    <row r="661" spans="4:4" ht="15.75" customHeight="1" x14ac:dyDescent="0.25">
      <c r="D661" s="286"/>
    </row>
    <row r="662" spans="4:4" ht="15.75" customHeight="1" x14ac:dyDescent="0.25">
      <c r="D662" s="286"/>
    </row>
    <row r="663" spans="4:4" ht="15.75" customHeight="1" x14ac:dyDescent="0.25">
      <c r="D663" s="286"/>
    </row>
    <row r="664" spans="4:4" ht="15.75" customHeight="1" x14ac:dyDescent="0.25">
      <c r="D664" s="286"/>
    </row>
    <row r="665" spans="4:4" ht="15.75" customHeight="1" x14ac:dyDescent="0.25">
      <c r="D665" s="286"/>
    </row>
    <row r="666" spans="4:4" ht="15.75" customHeight="1" x14ac:dyDescent="0.25">
      <c r="D666" s="286"/>
    </row>
    <row r="667" spans="4:4" ht="15.75" customHeight="1" x14ac:dyDescent="0.25">
      <c r="D667" s="286"/>
    </row>
    <row r="668" spans="4:4" ht="15.75" customHeight="1" x14ac:dyDescent="0.25">
      <c r="D668" s="286"/>
    </row>
    <row r="669" spans="4:4" ht="15.75" customHeight="1" x14ac:dyDescent="0.25">
      <c r="D669" s="286"/>
    </row>
    <row r="670" spans="4:4" ht="15.75" customHeight="1" x14ac:dyDescent="0.25">
      <c r="D670" s="286"/>
    </row>
    <row r="671" spans="4:4" ht="15.75" customHeight="1" x14ac:dyDescent="0.25">
      <c r="D671" s="286"/>
    </row>
    <row r="672" spans="4:4" ht="15.75" customHeight="1" x14ac:dyDescent="0.25">
      <c r="D672" s="286"/>
    </row>
    <row r="673" spans="4:4" ht="15.75" customHeight="1" x14ac:dyDescent="0.25">
      <c r="D673" s="286"/>
    </row>
    <row r="674" spans="4:4" ht="15.75" customHeight="1" x14ac:dyDescent="0.25">
      <c r="D674" s="286"/>
    </row>
    <row r="675" spans="4:4" ht="15.75" customHeight="1" x14ac:dyDescent="0.25">
      <c r="D675" s="286"/>
    </row>
    <row r="676" spans="4:4" ht="15.75" customHeight="1" x14ac:dyDescent="0.25">
      <c r="D676" s="286"/>
    </row>
    <row r="677" spans="4:4" ht="15.75" customHeight="1" x14ac:dyDescent="0.25">
      <c r="D677" s="286"/>
    </row>
    <row r="678" spans="4:4" ht="15.75" customHeight="1" x14ac:dyDescent="0.25">
      <c r="D678" s="286"/>
    </row>
    <row r="679" spans="4:4" ht="15.75" customHeight="1" x14ac:dyDescent="0.25">
      <c r="D679" s="286"/>
    </row>
    <row r="680" spans="4:4" ht="15.75" customHeight="1" x14ac:dyDescent="0.25">
      <c r="D680" s="286"/>
    </row>
    <row r="681" spans="4:4" ht="15.75" customHeight="1" x14ac:dyDescent="0.25">
      <c r="D681" s="286"/>
    </row>
    <row r="682" spans="4:4" ht="15.75" customHeight="1" x14ac:dyDescent="0.25">
      <c r="D682" s="286"/>
    </row>
    <row r="683" spans="4:4" ht="15.75" customHeight="1" x14ac:dyDescent="0.25">
      <c r="D683" s="286"/>
    </row>
    <row r="684" spans="4:4" ht="15.75" customHeight="1" x14ac:dyDescent="0.25">
      <c r="D684" s="286"/>
    </row>
    <row r="685" spans="4:4" ht="15.75" customHeight="1" x14ac:dyDescent="0.25">
      <c r="D685" s="286"/>
    </row>
    <row r="686" spans="4:4" ht="15.75" customHeight="1" x14ac:dyDescent="0.25">
      <c r="D686" s="286"/>
    </row>
    <row r="687" spans="4:4" ht="15.75" customHeight="1" x14ac:dyDescent="0.25">
      <c r="D687" s="286"/>
    </row>
    <row r="688" spans="4:4" ht="15.75" customHeight="1" x14ac:dyDescent="0.25">
      <c r="D688" s="286"/>
    </row>
    <row r="689" spans="4:4" ht="15.75" customHeight="1" x14ac:dyDescent="0.25">
      <c r="D689" s="286"/>
    </row>
    <row r="690" spans="4:4" ht="15.75" customHeight="1" x14ac:dyDescent="0.25">
      <c r="D690" s="286"/>
    </row>
    <row r="691" spans="4:4" ht="15.75" customHeight="1" x14ac:dyDescent="0.25">
      <c r="D691" s="286"/>
    </row>
    <row r="692" spans="4:4" ht="15.75" customHeight="1" x14ac:dyDescent="0.25">
      <c r="D692" s="286"/>
    </row>
    <row r="693" spans="4:4" ht="15.75" customHeight="1" x14ac:dyDescent="0.25">
      <c r="D693" s="286"/>
    </row>
    <row r="694" spans="4:4" ht="15.75" customHeight="1" x14ac:dyDescent="0.25">
      <c r="D694" s="286"/>
    </row>
    <row r="695" spans="4:4" ht="15.75" customHeight="1" x14ac:dyDescent="0.25">
      <c r="D695" s="286"/>
    </row>
    <row r="696" spans="4:4" ht="15.75" customHeight="1" x14ac:dyDescent="0.25">
      <c r="D696" s="286"/>
    </row>
    <row r="697" spans="4:4" ht="15.75" customHeight="1" x14ac:dyDescent="0.25">
      <c r="D697" s="286"/>
    </row>
    <row r="698" spans="4:4" ht="15.75" customHeight="1" x14ac:dyDescent="0.25">
      <c r="D698" s="286"/>
    </row>
    <row r="699" spans="4:4" ht="15.75" customHeight="1" x14ac:dyDescent="0.25">
      <c r="D699" s="286"/>
    </row>
    <row r="700" spans="4:4" ht="15.75" customHeight="1" x14ac:dyDescent="0.25">
      <c r="D700" s="286"/>
    </row>
    <row r="701" spans="4:4" ht="15.75" customHeight="1" x14ac:dyDescent="0.25">
      <c r="D701" s="286"/>
    </row>
    <row r="702" spans="4:4" ht="15.75" customHeight="1" x14ac:dyDescent="0.25">
      <c r="D702" s="286"/>
    </row>
    <row r="703" spans="4:4" ht="15.75" customHeight="1" x14ac:dyDescent="0.25">
      <c r="D703" s="286"/>
    </row>
    <row r="704" spans="4:4" ht="15.75" customHeight="1" x14ac:dyDescent="0.25">
      <c r="D704" s="286"/>
    </row>
    <row r="705" spans="4:4" ht="15.75" customHeight="1" x14ac:dyDescent="0.25">
      <c r="D705" s="286"/>
    </row>
    <row r="706" spans="4:4" ht="15.75" customHeight="1" x14ac:dyDescent="0.25">
      <c r="D706" s="286"/>
    </row>
    <row r="707" spans="4:4" ht="15.75" customHeight="1" x14ac:dyDescent="0.25">
      <c r="D707" s="286"/>
    </row>
    <row r="708" spans="4:4" ht="15.75" customHeight="1" x14ac:dyDescent="0.25">
      <c r="D708" s="286"/>
    </row>
    <row r="709" spans="4:4" ht="15.75" customHeight="1" x14ac:dyDescent="0.25">
      <c r="D709" s="286"/>
    </row>
    <row r="710" spans="4:4" ht="15.75" customHeight="1" x14ac:dyDescent="0.25">
      <c r="D710" s="286"/>
    </row>
    <row r="711" spans="4:4" ht="15.75" customHeight="1" x14ac:dyDescent="0.25">
      <c r="D711" s="286"/>
    </row>
    <row r="712" spans="4:4" ht="15.75" customHeight="1" x14ac:dyDescent="0.25">
      <c r="D712" s="286"/>
    </row>
    <row r="713" spans="4:4" ht="15.75" customHeight="1" x14ac:dyDescent="0.25">
      <c r="D713" s="286"/>
    </row>
    <row r="714" spans="4:4" ht="15.75" customHeight="1" x14ac:dyDescent="0.25">
      <c r="D714" s="286"/>
    </row>
    <row r="715" spans="4:4" ht="15.75" customHeight="1" x14ac:dyDescent="0.25">
      <c r="D715" s="286"/>
    </row>
    <row r="716" spans="4:4" ht="15.75" customHeight="1" x14ac:dyDescent="0.25">
      <c r="D716" s="286"/>
    </row>
    <row r="717" spans="4:4" ht="15.75" customHeight="1" x14ac:dyDescent="0.25">
      <c r="D717" s="286"/>
    </row>
    <row r="718" spans="4:4" ht="15.75" customHeight="1" x14ac:dyDescent="0.25">
      <c r="D718" s="286"/>
    </row>
    <row r="719" spans="4:4" ht="15.75" customHeight="1" x14ac:dyDescent="0.25">
      <c r="D719" s="286"/>
    </row>
    <row r="720" spans="4:4" ht="15.75" customHeight="1" x14ac:dyDescent="0.25">
      <c r="D720" s="286"/>
    </row>
    <row r="721" spans="4:4" ht="15.75" customHeight="1" x14ac:dyDescent="0.25">
      <c r="D721" s="286"/>
    </row>
    <row r="722" spans="4:4" ht="15.75" customHeight="1" x14ac:dyDescent="0.25">
      <c r="D722" s="286"/>
    </row>
    <row r="723" spans="4:4" ht="15.75" customHeight="1" x14ac:dyDescent="0.25">
      <c r="D723" s="286"/>
    </row>
    <row r="724" spans="4:4" ht="15.75" customHeight="1" x14ac:dyDescent="0.25">
      <c r="D724" s="286"/>
    </row>
    <row r="725" spans="4:4" ht="15.75" customHeight="1" x14ac:dyDescent="0.25">
      <c r="D725" s="286"/>
    </row>
    <row r="726" spans="4:4" ht="15.75" customHeight="1" x14ac:dyDescent="0.25">
      <c r="D726" s="286"/>
    </row>
    <row r="727" spans="4:4" ht="15.75" customHeight="1" x14ac:dyDescent="0.25">
      <c r="D727" s="286"/>
    </row>
    <row r="728" spans="4:4" ht="15.75" customHeight="1" x14ac:dyDescent="0.25">
      <c r="D728" s="286"/>
    </row>
    <row r="729" spans="4:4" ht="15.75" customHeight="1" x14ac:dyDescent="0.25">
      <c r="D729" s="286"/>
    </row>
    <row r="730" spans="4:4" ht="15.75" customHeight="1" x14ac:dyDescent="0.25">
      <c r="D730" s="286"/>
    </row>
    <row r="731" spans="4:4" ht="15.75" customHeight="1" x14ac:dyDescent="0.25">
      <c r="D731" s="286"/>
    </row>
    <row r="732" spans="4:4" ht="15.75" customHeight="1" x14ac:dyDescent="0.25">
      <c r="D732" s="286"/>
    </row>
    <row r="733" spans="4:4" ht="15.75" customHeight="1" x14ac:dyDescent="0.25">
      <c r="D733" s="286"/>
    </row>
    <row r="734" spans="4:4" ht="15.75" customHeight="1" x14ac:dyDescent="0.25">
      <c r="D734" s="286"/>
    </row>
    <row r="735" spans="4:4" ht="15.75" customHeight="1" x14ac:dyDescent="0.25">
      <c r="D735" s="286"/>
    </row>
    <row r="736" spans="4:4" ht="15.75" customHeight="1" x14ac:dyDescent="0.25">
      <c r="D736" s="286"/>
    </row>
    <row r="737" spans="4:4" ht="15.75" customHeight="1" x14ac:dyDescent="0.25">
      <c r="D737" s="286"/>
    </row>
    <row r="738" spans="4:4" ht="15.75" customHeight="1" x14ac:dyDescent="0.25">
      <c r="D738" s="286"/>
    </row>
    <row r="739" spans="4:4" ht="15.75" customHeight="1" x14ac:dyDescent="0.25">
      <c r="D739" s="286"/>
    </row>
    <row r="740" spans="4:4" ht="15.75" customHeight="1" x14ac:dyDescent="0.25">
      <c r="D740" s="286"/>
    </row>
    <row r="741" spans="4:4" ht="15.75" customHeight="1" x14ac:dyDescent="0.25">
      <c r="D741" s="286"/>
    </row>
    <row r="742" spans="4:4" ht="15.75" customHeight="1" x14ac:dyDescent="0.25">
      <c r="D742" s="286"/>
    </row>
    <row r="743" spans="4:4" ht="15.75" customHeight="1" x14ac:dyDescent="0.25">
      <c r="D743" s="286"/>
    </row>
    <row r="744" spans="4:4" ht="15.75" customHeight="1" x14ac:dyDescent="0.25">
      <c r="D744" s="286"/>
    </row>
    <row r="745" spans="4:4" ht="15.75" customHeight="1" x14ac:dyDescent="0.25">
      <c r="D745" s="286"/>
    </row>
    <row r="746" spans="4:4" ht="15.75" customHeight="1" x14ac:dyDescent="0.25">
      <c r="D746" s="286"/>
    </row>
    <row r="747" spans="4:4" ht="15.75" customHeight="1" x14ac:dyDescent="0.25">
      <c r="D747" s="286"/>
    </row>
    <row r="748" spans="4:4" ht="15.75" customHeight="1" x14ac:dyDescent="0.25">
      <c r="D748" s="286"/>
    </row>
    <row r="749" spans="4:4" ht="15.75" customHeight="1" x14ac:dyDescent="0.25">
      <c r="D749" s="286"/>
    </row>
    <row r="750" spans="4:4" ht="15.75" customHeight="1" x14ac:dyDescent="0.25">
      <c r="D750" s="286"/>
    </row>
    <row r="751" spans="4:4" ht="15.75" customHeight="1" x14ac:dyDescent="0.25">
      <c r="D751" s="286"/>
    </row>
    <row r="752" spans="4:4" ht="15.75" customHeight="1" x14ac:dyDescent="0.25">
      <c r="D752" s="286"/>
    </row>
    <row r="753" spans="4:4" ht="15.75" customHeight="1" x14ac:dyDescent="0.25">
      <c r="D753" s="286"/>
    </row>
    <row r="754" spans="4:4" ht="15.75" customHeight="1" x14ac:dyDescent="0.25">
      <c r="D754" s="286"/>
    </row>
    <row r="755" spans="4:4" ht="15.75" customHeight="1" x14ac:dyDescent="0.25">
      <c r="D755" s="286"/>
    </row>
    <row r="756" spans="4:4" ht="15.75" customHeight="1" x14ac:dyDescent="0.25">
      <c r="D756" s="286"/>
    </row>
    <row r="757" spans="4:4" ht="15.75" customHeight="1" x14ac:dyDescent="0.25">
      <c r="D757" s="286"/>
    </row>
    <row r="758" spans="4:4" ht="15.75" customHeight="1" x14ac:dyDescent="0.25">
      <c r="D758" s="286"/>
    </row>
    <row r="759" spans="4:4" ht="15.75" customHeight="1" x14ac:dyDescent="0.25">
      <c r="D759" s="286"/>
    </row>
    <row r="760" spans="4:4" ht="15.75" customHeight="1" x14ac:dyDescent="0.25">
      <c r="D760" s="286"/>
    </row>
    <row r="761" spans="4:4" ht="15.75" customHeight="1" x14ac:dyDescent="0.25">
      <c r="D761" s="286"/>
    </row>
    <row r="762" spans="4:4" ht="15.75" customHeight="1" x14ac:dyDescent="0.25">
      <c r="D762" s="286"/>
    </row>
    <row r="763" spans="4:4" ht="15.75" customHeight="1" x14ac:dyDescent="0.25">
      <c r="D763" s="286"/>
    </row>
    <row r="764" spans="4:4" ht="15.75" customHeight="1" x14ac:dyDescent="0.25">
      <c r="D764" s="286"/>
    </row>
    <row r="765" spans="4:4" ht="15.75" customHeight="1" x14ac:dyDescent="0.25">
      <c r="D765" s="286"/>
    </row>
    <row r="766" spans="4:4" ht="15.75" customHeight="1" x14ac:dyDescent="0.25">
      <c r="D766" s="286"/>
    </row>
    <row r="767" spans="4:4" ht="15.75" customHeight="1" x14ac:dyDescent="0.25">
      <c r="D767" s="286"/>
    </row>
    <row r="768" spans="4:4" ht="15.75" customHeight="1" x14ac:dyDescent="0.25">
      <c r="D768" s="286"/>
    </row>
    <row r="769" spans="4:4" ht="15.75" customHeight="1" x14ac:dyDescent="0.25">
      <c r="D769" s="286"/>
    </row>
    <row r="770" spans="4:4" ht="15.75" customHeight="1" x14ac:dyDescent="0.25">
      <c r="D770" s="286"/>
    </row>
    <row r="771" spans="4:4" ht="15.75" customHeight="1" x14ac:dyDescent="0.25">
      <c r="D771" s="286"/>
    </row>
    <row r="772" spans="4:4" ht="15.75" customHeight="1" x14ac:dyDescent="0.25">
      <c r="D772" s="286"/>
    </row>
    <row r="773" spans="4:4" ht="15.75" customHeight="1" x14ac:dyDescent="0.25">
      <c r="D773" s="286"/>
    </row>
    <row r="774" spans="4:4" ht="15.75" customHeight="1" x14ac:dyDescent="0.25">
      <c r="D774" s="286"/>
    </row>
    <row r="775" spans="4:4" ht="15.75" customHeight="1" x14ac:dyDescent="0.25">
      <c r="D775" s="286"/>
    </row>
    <row r="776" spans="4:4" ht="15.75" customHeight="1" x14ac:dyDescent="0.25">
      <c r="D776" s="286"/>
    </row>
    <row r="777" spans="4:4" ht="15.75" customHeight="1" x14ac:dyDescent="0.25">
      <c r="D777" s="286"/>
    </row>
    <row r="778" spans="4:4" ht="15.75" customHeight="1" x14ac:dyDescent="0.25">
      <c r="D778" s="286"/>
    </row>
    <row r="779" spans="4:4" ht="15.75" customHeight="1" x14ac:dyDescent="0.25">
      <c r="D779" s="286"/>
    </row>
    <row r="780" spans="4:4" ht="15.75" customHeight="1" x14ac:dyDescent="0.25">
      <c r="D780" s="286"/>
    </row>
    <row r="781" spans="4:4" ht="15.75" customHeight="1" x14ac:dyDescent="0.25">
      <c r="D781" s="286"/>
    </row>
    <row r="782" spans="4:4" ht="15.75" customHeight="1" x14ac:dyDescent="0.25">
      <c r="D782" s="286"/>
    </row>
    <row r="783" spans="4:4" ht="15.75" customHeight="1" x14ac:dyDescent="0.25">
      <c r="D783" s="286"/>
    </row>
    <row r="784" spans="4:4" ht="15.75" customHeight="1" x14ac:dyDescent="0.25">
      <c r="D784" s="286"/>
    </row>
    <row r="785" spans="4:4" ht="15.75" customHeight="1" x14ac:dyDescent="0.25">
      <c r="D785" s="286"/>
    </row>
    <row r="786" spans="4:4" ht="15.75" customHeight="1" x14ac:dyDescent="0.25">
      <c r="D786" s="286"/>
    </row>
    <row r="787" spans="4:4" ht="15.75" customHeight="1" x14ac:dyDescent="0.25">
      <c r="D787" s="286"/>
    </row>
    <row r="788" spans="4:4" ht="15.75" customHeight="1" x14ac:dyDescent="0.25">
      <c r="D788" s="286"/>
    </row>
    <row r="789" spans="4:4" ht="15.75" customHeight="1" x14ac:dyDescent="0.25">
      <c r="D789" s="286"/>
    </row>
    <row r="790" spans="4:4" ht="15.75" customHeight="1" x14ac:dyDescent="0.25">
      <c r="D790" s="286"/>
    </row>
    <row r="791" spans="4:4" ht="15.75" customHeight="1" x14ac:dyDescent="0.25">
      <c r="D791" s="286"/>
    </row>
    <row r="792" spans="4:4" ht="15.75" customHeight="1" x14ac:dyDescent="0.25">
      <c r="D792" s="286"/>
    </row>
    <row r="793" spans="4:4" ht="15.75" customHeight="1" x14ac:dyDescent="0.25">
      <c r="D793" s="286"/>
    </row>
    <row r="794" spans="4:4" ht="15.75" customHeight="1" x14ac:dyDescent="0.25">
      <c r="D794" s="286"/>
    </row>
    <row r="795" spans="4:4" ht="15.75" customHeight="1" x14ac:dyDescent="0.25">
      <c r="D795" s="286"/>
    </row>
    <row r="796" spans="4:4" ht="15.75" customHeight="1" x14ac:dyDescent="0.25">
      <c r="D796" s="286"/>
    </row>
    <row r="797" spans="4:4" ht="15.75" customHeight="1" x14ac:dyDescent="0.25">
      <c r="D797" s="286"/>
    </row>
    <row r="798" spans="4:4" ht="15.75" customHeight="1" x14ac:dyDescent="0.25">
      <c r="D798" s="286"/>
    </row>
    <row r="799" spans="4:4" ht="15.75" customHeight="1" x14ac:dyDescent="0.25">
      <c r="D799" s="286"/>
    </row>
    <row r="800" spans="4:4" ht="15.75" customHeight="1" x14ac:dyDescent="0.25">
      <c r="D800" s="286"/>
    </row>
    <row r="801" spans="4:4" ht="15.75" customHeight="1" x14ac:dyDescent="0.25">
      <c r="D801" s="286"/>
    </row>
    <row r="802" spans="4:4" ht="15.75" customHeight="1" x14ac:dyDescent="0.25">
      <c r="D802" s="286"/>
    </row>
    <row r="803" spans="4:4" ht="15.75" customHeight="1" x14ac:dyDescent="0.25">
      <c r="D803" s="286"/>
    </row>
    <row r="804" spans="4:4" ht="15.75" customHeight="1" x14ac:dyDescent="0.25">
      <c r="D804" s="286"/>
    </row>
    <row r="805" spans="4:4" ht="15.75" customHeight="1" x14ac:dyDescent="0.25">
      <c r="D805" s="286"/>
    </row>
    <row r="806" spans="4:4" ht="15.75" customHeight="1" x14ac:dyDescent="0.25">
      <c r="D806" s="286"/>
    </row>
    <row r="807" spans="4:4" ht="15.75" customHeight="1" x14ac:dyDescent="0.25">
      <c r="D807" s="286"/>
    </row>
    <row r="808" spans="4:4" ht="15.75" customHeight="1" x14ac:dyDescent="0.25">
      <c r="D808" s="286"/>
    </row>
    <row r="809" spans="4:4" ht="15.75" customHeight="1" x14ac:dyDescent="0.25">
      <c r="D809" s="286"/>
    </row>
    <row r="810" spans="4:4" ht="15.75" customHeight="1" x14ac:dyDescent="0.25">
      <c r="D810" s="286"/>
    </row>
    <row r="811" spans="4:4" ht="15.75" customHeight="1" x14ac:dyDescent="0.25">
      <c r="D811" s="286"/>
    </row>
    <row r="812" spans="4:4" ht="15.75" customHeight="1" x14ac:dyDescent="0.25">
      <c r="D812" s="286"/>
    </row>
    <row r="813" spans="4:4" ht="15.75" customHeight="1" x14ac:dyDescent="0.25">
      <c r="D813" s="286"/>
    </row>
    <row r="814" spans="4:4" ht="15.75" customHeight="1" x14ac:dyDescent="0.25">
      <c r="D814" s="286"/>
    </row>
    <row r="815" spans="4:4" ht="15.75" customHeight="1" x14ac:dyDescent="0.25">
      <c r="D815" s="286"/>
    </row>
    <row r="816" spans="4:4" ht="15.75" customHeight="1" x14ac:dyDescent="0.25">
      <c r="D816" s="286"/>
    </row>
    <row r="817" spans="4:4" ht="15.75" customHeight="1" x14ac:dyDescent="0.25">
      <c r="D817" s="286"/>
    </row>
    <row r="818" spans="4:4" ht="15.75" customHeight="1" x14ac:dyDescent="0.25">
      <c r="D818" s="286"/>
    </row>
    <row r="819" spans="4:4" ht="15.75" customHeight="1" x14ac:dyDescent="0.25">
      <c r="D819" s="286"/>
    </row>
    <row r="820" spans="4:4" ht="15.75" customHeight="1" x14ac:dyDescent="0.25">
      <c r="D820" s="286"/>
    </row>
    <row r="821" spans="4:4" ht="15.75" customHeight="1" x14ac:dyDescent="0.25">
      <c r="D821" s="286"/>
    </row>
    <row r="822" spans="4:4" ht="15.75" customHeight="1" x14ac:dyDescent="0.25">
      <c r="D822" s="286"/>
    </row>
    <row r="823" spans="4:4" ht="15.75" customHeight="1" x14ac:dyDescent="0.25">
      <c r="D823" s="286"/>
    </row>
    <row r="824" spans="4:4" ht="15.75" customHeight="1" x14ac:dyDescent="0.25">
      <c r="D824" s="286"/>
    </row>
    <row r="825" spans="4:4" ht="15.75" customHeight="1" x14ac:dyDescent="0.25">
      <c r="D825" s="286"/>
    </row>
    <row r="826" spans="4:4" ht="15.75" customHeight="1" x14ac:dyDescent="0.25">
      <c r="D826" s="286"/>
    </row>
    <row r="827" spans="4:4" ht="15.75" customHeight="1" x14ac:dyDescent="0.25">
      <c r="D827" s="286"/>
    </row>
    <row r="828" spans="4:4" ht="15.75" customHeight="1" x14ac:dyDescent="0.25">
      <c r="D828" s="286"/>
    </row>
    <row r="829" spans="4:4" ht="15.75" customHeight="1" x14ac:dyDescent="0.25">
      <c r="D829" s="286"/>
    </row>
    <row r="830" spans="4:4" ht="15.75" customHeight="1" x14ac:dyDescent="0.25">
      <c r="D830" s="286"/>
    </row>
    <row r="831" spans="4:4" ht="15.75" customHeight="1" x14ac:dyDescent="0.25">
      <c r="D831" s="286"/>
    </row>
    <row r="832" spans="4:4" ht="15.75" customHeight="1" x14ac:dyDescent="0.25">
      <c r="D832" s="286"/>
    </row>
    <row r="833" spans="4:4" ht="15.75" customHeight="1" x14ac:dyDescent="0.25">
      <c r="D833" s="286"/>
    </row>
    <row r="834" spans="4:4" ht="15.75" customHeight="1" x14ac:dyDescent="0.25">
      <c r="D834" s="286"/>
    </row>
    <row r="835" spans="4:4" ht="15.75" customHeight="1" x14ac:dyDescent="0.25">
      <c r="D835" s="286"/>
    </row>
    <row r="836" spans="4:4" ht="15.75" customHeight="1" x14ac:dyDescent="0.25">
      <c r="D836" s="286"/>
    </row>
    <row r="837" spans="4:4" ht="15.75" customHeight="1" x14ac:dyDescent="0.25">
      <c r="D837" s="286"/>
    </row>
    <row r="838" spans="4:4" ht="15.75" customHeight="1" x14ac:dyDescent="0.25">
      <c r="D838" s="286"/>
    </row>
    <row r="839" spans="4:4" ht="15.75" customHeight="1" x14ac:dyDescent="0.25">
      <c r="D839" s="286"/>
    </row>
    <row r="840" spans="4:4" ht="15.75" customHeight="1" x14ac:dyDescent="0.25">
      <c r="D840" s="286"/>
    </row>
    <row r="841" spans="4:4" ht="15.75" customHeight="1" x14ac:dyDescent="0.25">
      <c r="D841" s="286"/>
    </row>
    <row r="842" spans="4:4" ht="15.75" customHeight="1" x14ac:dyDescent="0.25">
      <c r="D842" s="286"/>
    </row>
    <row r="843" spans="4:4" ht="15.75" customHeight="1" x14ac:dyDescent="0.25">
      <c r="D843" s="286"/>
    </row>
    <row r="844" spans="4:4" ht="15.75" customHeight="1" x14ac:dyDescent="0.25">
      <c r="D844" s="286"/>
    </row>
    <row r="845" spans="4:4" ht="15.75" customHeight="1" x14ac:dyDescent="0.25">
      <c r="D845" s="286"/>
    </row>
    <row r="846" spans="4:4" ht="15.75" customHeight="1" x14ac:dyDescent="0.25">
      <c r="D846" s="286"/>
    </row>
    <row r="847" spans="4:4" ht="15.75" customHeight="1" x14ac:dyDescent="0.25">
      <c r="D847" s="286"/>
    </row>
    <row r="848" spans="4:4" ht="15.75" customHeight="1" x14ac:dyDescent="0.25">
      <c r="D848" s="286"/>
    </row>
    <row r="849" spans="4:4" ht="15.75" customHeight="1" x14ac:dyDescent="0.25">
      <c r="D849" s="286"/>
    </row>
    <row r="850" spans="4:4" ht="15.75" customHeight="1" x14ac:dyDescent="0.25">
      <c r="D850" s="286"/>
    </row>
    <row r="851" spans="4:4" ht="15.75" customHeight="1" x14ac:dyDescent="0.25">
      <c r="D851" s="286"/>
    </row>
    <row r="852" spans="4:4" ht="15.75" customHeight="1" x14ac:dyDescent="0.25">
      <c r="D852" s="286"/>
    </row>
    <row r="853" spans="4:4" ht="15.75" customHeight="1" x14ac:dyDescent="0.25">
      <c r="D853" s="286"/>
    </row>
    <row r="854" spans="4:4" ht="15.75" customHeight="1" x14ac:dyDescent="0.25">
      <c r="D854" s="286"/>
    </row>
    <row r="855" spans="4:4" ht="15.75" customHeight="1" x14ac:dyDescent="0.25">
      <c r="D855" s="286"/>
    </row>
    <row r="856" spans="4:4" ht="15.75" customHeight="1" x14ac:dyDescent="0.25">
      <c r="D856" s="286"/>
    </row>
    <row r="857" spans="4:4" ht="15.75" customHeight="1" x14ac:dyDescent="0.25">
      <c r="D857" s="286"/>
    </row>
    <row r="858" spans="4:4" ht="15.75" customHeight="1" x14ac:dyDescent="0.25">
      <c r="D858" s="286"/>
    </row>
    <row r="859" spans="4:4" ht="15.75" customHeight="1" x14ac:dyDescent="0.25">
      <c r="D859" s="286"/>
    </row>
    <row r="860" spans="4:4" ht="15.75" customHeight="1" x14ac:dyDescent="0.25">
      <c r="D860" s="286"/>
    </row>
    <row r="861" spans="4:4" ht="15.75" customHeight="1" x14ac:dyDescent="0.25">
      <c r="D861" s="286"/>
    </row>
    <row r="862" spans="4:4" ht="15.75" customHeight="1" x14ac:dyDescent="0.25">
      <c r="D862" s="286"/>
    </row>
    <row r="863" spans="4:4" ht="15.75" customHeight="1" x14ac:dyDescent="0.25">
      <c r="D863" s="286"/>
    </row>
    <row r="864" spans="4:4" ht="15.75" customHeight="1" x14ac:dyDescent="0.25">
      <c r="D864" s="286"/>
    </row>
    <row r="865" spans="4:4" ht="15.75" customHeight="1" x14ac:dyDescent="0.25">
      <c r="D865" s="286"/>
    </row>
    <row r="866" spans="4:4" ht="15.75" customHeight="1" x14ac:dyDescent="0.25">
      <c r="D866" s="286"/>
    </row>
    <row r="867" spans="4:4" ht="15.75" customHeight="1" x14ac:dyDescent="0.25">
      <c r="D867" s="286"/>
    </row>
    <row r="868" spans="4:4" ht="15.75" customHeight="1" x14ac:dyDescent="0.25">
      <c r="D868" s="286"/>
    </row>
    <row r="869" spans="4:4" ht="15.75" customHeight="1" x14ac:dyDescent="0.25">
      <c r="D869" s="286"/>
    </row>
    <row r="870" spans="4:4" ht="15.75" customHeight="1" x14ac:dyDescent="0.25">
      <c r="D870" s="286"/>
    </row>
    <row r="871" spans="4:4" ht="15.75" customHeight="1" x14ac:dyDescent="0.25">
      <c r="D871" s="286"/>
    </row>
    <row r="872" spans="4:4" ht="15.75" customHeight="1" x14ac:dyDescent="0.25">
      <c r="D872" s="286"/>
    </row>
    <row r="873" spans="4:4" ht="15.75" customHeight="1" x14ac:dyDescent="0.25">
      <c r="D873" s="286"/>
    </row>
    <row r="874" spans="4:4" ht="15.75" customHeight="1" x14ac:dyDescent="0.25">
      <c r="D874" s="286"/>
    </row>
    <row r="875" spans="4:4" ht="15.75" customHeight="1" x14ac:dyDescent="0.25">
      <c r="D875" s="286"/>
    </row>
    <row r="876" spans="4:4" ht="15.75" customHeight="1" x14ac:dyDescent="0.25">
      <c r="D876" s="286"/>
    </row>
    <row r="877" spans="4:4" ht="15.75" customHeight="1" x14ac:dyDescent="0.25">
      <c r="D877" s="286"/>
    </row>
    <row r="878" spans="4:4" ht="15.75" customHeight="1" x14ac:dyDescent="0.25">
      <c r="D878" s="286"/>
    </row>
    <row r="879" spans="4:4" ht="15.75" customHeight="1" x14ac:dyDescent="0.25">
      <c r="D879" s="286"/>
    </row>
    <row r="880" spans="4:4" ht="15.75" customHeight="1" x14ac:dyDescent="0.25">
      <c r="D880" s="286"/>
    </row>
    <row r="881" spans="4:4" ht="15.75" customHeight="1" x14ac:dyDescent="0.25">
      <c r="D881" s="286"/>
    </row>
    <row r="882" spans="4:4" ht="15.75" customHeight="1" x14ac:dyDescent="0.25">
      <c r="D882" s="286"/>
    </row>
    <row r="883" spans="4:4" ht="15.75" customHeight="1" x14ac:dyDescent="0.25">
      <c r="D883" s="286"/>
    </row>
    <row r="884" spans="4:4" ht="15.75" customHeight="1" x14ac:dyDescent="0.25">
      <c r="D884" s="286"/>
    </row>
    <row r="885" spans="4:4" ht="15.75" customHeight="1" x14ac:dyDescent="0.25">
      <c r="D885" s="286"/>
    </row>
    <row r="886" spans="4:4" ht="15.75" customHeight="1" x14ac:dyDescent="0.25">
      <c r="D886" s="286"/>
    </row>
    <row r="887" spans="4:4" ht="15.75" customHeight="1" x14ac:dyDescent="0.25">
      <c r="D887" s="286"/>
    </row>
    <row r="888" spans="4:4" ht="15.75" customHeight="1" x14ac:dyDescent="0.25">
      <c r="D888" s="286"/>
    </row>
    <row r="889" spans="4:4" ht="15.75" customHeight="1" x14ac:dyDescent="0.25">
      <c r="D889" s="286"/>
    </row>
    <row r="890" spans="4:4" ht="15.75" customHeight="1" x14ac:dyDescent="0.25">
      <c r="D890" s="286"/>
    </row>
    <row r="891" spans="4:4" ht="15.75" customHeight="1" x14ac:dyDescent="0.25">
      <c r="D891" s="286"/>
    </row>
    <row r="892" spans="4:4" ht="15.75" customHeight="1" x14ac:dyDescent="0.25">
      <c r="D892" s="286"/>
    </row>
    <row r="893" spans="4:4" ht="15.75" customHeight="1" x14ac:dyDescent="0.25">
      <c r="D893" s="286"/>
    </row>
    <row r="894" spans="4:4" ht="15.75" customHeight="1" x14ac:dyDescent="0.25">
      <c r="D894" s="286"/>
    </row>
    <row r="895" spans="4:4" ht="15.75" customHeight="1" x14ac:dyDescent="0.25">
      <c r="D895" s="286"/>
    </row>
    <row r="896" spans="4:4" ht="15.75" customHeight="1" x14ac:dyDescent="0.25">
      <c r="D896" s="286"/>
    </row>
    <row r="897" spans="4:4" ht="15.75" customHeight="1" x14ac:dyDescent="0.25">
      <c r="D897" s="286"/>
    </row>
    <row r="898" spans="4:4" ht="15.75" customHeight="1" x14ac:dyDescent="0.25">
      <c r="D898" s="286"/>
    </row>
    <row r="899" spans="4:4" ht="15.75" customHeight="1" x14ac:dyDescent="0.25">
      <c r="D899" s="286"/>
    </row>
    <row r="900" spans="4:4" ht="15.75" customHeight="1" x14ac:dyDescent="0.25">
      <c r="D900" s="286"/>
    </row>
    <row r="901" spans="4:4" ht="15.75" customHeight="1" x14ac:dyDescent="0.25">
      <c r="D901" s="286"/>
    </row>
    <row r="902" spans="4:4" ht="15.75" customHeight="1" x14ac:dyDescent="0.25">
      <c r="D902" s="286"/>
    </row>
    <row r="903" spans="4:4" ht="15.75" customHeight="1" x14ac:dyDescent="0.25">
      <c r="D903" s="286"/>
    </row>
    <row r="904" spans="4:4" ht="15.75" customHeight="1" x14ac:dyDescent="0.25">
      <c r="D904" s="286"/>
    </row>
    <row r="905" spans="4:4" ht="15.75" customHeight="1" x14ac:dyDescent="0.25">
      <c r="D905" s="286"/>
    </row>
    <row r="906" spans="4:4" ht="15.75" customHeight="1" x14ac:dyDescent="0.25">
      <c r="D906" s="286"/>
    </row>
    <row r="907" spans="4:4" ht="15.75" customHeight="1" x14ac:dyDescent="0.25">
      <c r="D907" s="286"/>
    </row>
    <row r="908" spans="4:4" ht="15.75" customHeight="1" x14ac:dyDescent="0.25">
      <c r="D908" s="286"/>
    </row>
    <row r="909" spans="4:4" ht="15.75" customHeight="1" x14ac:dyDescent="0.25">
      <c r="D909" s="286"/>
    </row>
    <row r="910" spans="4:4" ht="15.75" customHeight="1" x14ac:dyDescent="0.25">
      <c r="D910" s="286"/>
    </row>
    <row r="911" spans="4:4" ht="15.75" customHeight="1" x14ac:dyDescent="0.25">
      <c r="D911" s="286"/>
    </row>
    <row r="912" spans="4:4" ht="15.75" customHeight="1" x14ac:dyDescent="0.25">
      <c r="D912" s="286"/>
    </row>
    <row r="913" spans="4:4" ht="15.75" customHeight="1" x14ac:dyDescent="0.25">
      <c r="D913" s="286"/>
    </row>
    <row r="914" spans="4:4" ht="15.75" customHeight="1" x14ac:dyDescent="0.25">
      <c r="D914" s="286"/>
    </row>
    <row r="915" spans="4:4" ht="15.75" customHeight="1" x14ac:dyDescent="0.25">
      <c r="D915" s="286"/>
    </row>
    <row r="916" spans="4:4" ht="15.75" customHeight="1" x14ac:dyDescent="0.25">
      <c r="D916" s="286"/>
    </row>
    <row r="917" spans="4:4" ht="15.75" customHeight="1" x14ac:dyDescent="0.25">
      <c r="D917" s="286"/>
    </row>
    <row r="918" spans="4:4" ht="15.75" customHeight="1" x14ac:dyDescent="0.25">
      <c r="D918" s="286"/>
    </row>
    <row r="919" spans="4:4" ht="15.75" customHeight="1" x14ac:dyDescent="0.25">
      <c r="D919" s="286"/>
    </row>
    <row r="920" spans="4:4" ht="15.75" customHeight="1" x14ac:dyDescent="0.25">
      <c r="D920" s="286"/>
    </row>
    <row r="921" spans="4:4" ht="15.75" customHeight="1" x14ac:dyDescent="0.25">
      <c r="D921" s="286"/>
    </row>
    <row r="922" spans="4:4" ht="15.75" customHeight="1" x14ac:dyDescent="0.25">
      <c r="D922" s="286"/>
    </row>
    <row r="923" spans="4:4" ht="15.75" customHeight="1" x14ac:dyDescent="0.25">
      <c r="D923" s="286"/>
    </row>
    <row r="924" spans="4:4" ht="15.75" customHeight="1" x14ac:dyDescent="0.25">
      <c r="D924" s="286"/>
    </row>
    <row r="925" spans="4:4" ht="15.75" customHeight="1" x14ac:dyDescent="0.25">
      <c r="D925" s="286"/>
    </row>
    <row r="926" spans="4:4" ht="15.75" customHeight="1" x14ac:dyDescent="0.25">
      <c r="D926" s="286"/>
    </row>
    <row r="927" spans="4:4" ht="15.75" customHeight="1" x14ac:dyDescent="0.25">
      <c r="D927" s="286"/>
    </row>
    <row r="928" spans="4:4" ht="15.75" customHeight="1" x14ac:dyDescent="0.25">
      <c r="D928" s="286"/>
    </row>
    <row r="929" spans="4:4" ht="15.75" customHeight="1" x14ac:dyDescent="0.25">
      <c r="D929" s="286"/>
    </row>
    <row r="930" spans="4:4" ht="15.75" customHeight="1" x14ac:dyDescent="0.25">
      <c r="D930" s="286"/>
    </row>
    <row r="931" spans="4:4" ht="15.75" customHeight="1" x14ac:dyDescent="0.25">
      <c r="D931" s="286"/>
    </row>
    <row r="932" spans="4:4" ht="15.75" customHeight="1" x14ac:dyDescent="0.25">
      <c r="D932" s="286"/>
    </row>
    <row r="933" spans="4:4" ht="15.75" customHeight="1" x14ac:dyDescent="0.25">
      <c r="D933" s="286"/>
    </row>
    <row r="934" spans="4:4" ht="15.75" customHeight="1" x14ac:dyDescent="0.25">
      <c r="D934" s="286"/>
    </row>
    <row r="935" spans="4:4" ht="15.75" customHeight="1" x14ac:dyDescent="0.25">
      <c r="D935" s="286"/>
    </row>
    <row r="936" spans="4:4" ht="15.75" customHeight="1" x14ac:dyDescent="0.25">
      <c r="D936" s="286"/>
    </row>
    <row r="937" spans="4:4" ht="15.75" customHeight="1" x14ac:dyDescent="0.25">
      <c r="D937" s="286"/>
    </row>
    <row r="938" spans="4:4" ht="15.75" customHeight="1" x14ac:dyDescent="0.25">
      <c r="D938" s="286"/>
    </row>
    <row r="939" spans="4:4" ht="15.75" customHeight="1" x14ac:dyDescent="0.25">
      <c r="D939" s="286"/>
    </row>
    <row r="940" spans="4:4" ht="15.75" customHeight="1" x14ac:dyDescent="0.25">
      <c r="D940" s="286"/>
    </row>
    <row r="941" spans="4:4" ht="15.75" customHeight="1" x14ac:dyDescent="0.25">
      <c r="D941" s="286"/>
    </row>
    <row r="942" spans="4:4" ht="15.75" customHeight="1" x14ac:dyDescent="0.25">
      <c r="D942" s="286"/>
    </row>
    <row r="943" spans="4:4" ht="15.75" customHeight="1" x14ac:dyDescent="0.25">
      <c r="D943" s="286"/>
    </row>
    <row r="944" spans="4:4" ht="15.75" customHeight="1" x14ac:dyDescent="0.25">
      <c r="D944" s="286"/>
    </row>
    <row r="945" spans="4:4" ht="15.75" customHeight="1" x14ac:dyDescent="0.25">
      <c r="D945" s="286"/>
    </row>
    <row r="946" spans="4:4" ht="15.75" customHeight="1" x14ac:dyDescent="0.25">
      <c r="D946" s="286"/>
    </row>
    <row r="947" spans="4:4" ht="15.75" customHeight="1" x14ac:dyDescent="0.25">
      <c r="D947" s="286"/>
    </row>
    <row r="948" spans="4:4" ht="15.75" customHeight="1" x14ac:dyDescent="0.25">
      <c r="D948" s="286"/>
    </row>
    <row r="949" spans="4:4" ht="15.75" customHeight="1" x14ac:dyDescent="0.25">
      <c r="D949" s="286"/>
    </row>
    <row r="950" spans="4:4" ht="15.75" customHeight="1" x14ac:dyDescent="0.25">
      <c r="D950" s="286"/>
    </row>
    <row r="951" spans="4:4" ht="15.75" customHeight="1" x14ac:dyDescent="0.25">
      <c r="D951" s="286"/>
    </row>
    <row r="952" spans="4:4" ht="15.75" customHeight="1" x14ac:dyDescent="0.25">
      <c r="D952" s="286"/>
    </row>
    <row r="953" spans="4:4" ht="15.75" customHeight="1" x14ac:dyDescent="0.25">
      <c r="D953" s="286"/>
    </row>
    <row r="954" spans="4:4" ht="15.75" customHeight="1" x14ac:dyDescent="0.25">
      <c r="D954" s="286"/>
    </row>
    <row r="955" spans="4:4" ht="15.75" customHeight="1" x14ac:dyDescent="0.25">
      <c r="D955" s="286"/>
    </row>
    <row r="956" spans="4:4" ht="15.75" customHeight="1" x14ac:dyDescent="0.25">
      <c r="D956" s="286"/>
    </row>
    <row r="957" spans="4:4" ht="15.75" customHeight="1" x14ac:dyDescent="0.25">
      <c r="D957" s="286"/>
    </row>
    <row r="958" spans="4:4" ht="15.75" customHeight="1" x14ac:dyDescent="0.25">
      <c r="D958" s="286"/>
    </row>
    <row r="959" spans="4:4" ht="15.75" customHeight="1" x14ac:dyDescent="0.25">
      <c r="D959" s="286"/>
    </row>
    <row r="960" spans="4:4" ht="15.75" customHeight="1" x14ac:dyDescent="0.25">
      <c r="D960" s="286"/>
    </row>
    <row r="961" spans="4:4" ht="15.75" customHeight="1" x14ac:dyDescent="0.25">
      <c r="D961" s="286"/>
    </row>
    <row r="962" spans="4:4" ht="15.75" customHeight="1" x14ac:dyDescent="0.25">
      <c r="D962" s="286"/>
    </row>
    <row r="963" spans="4:4" ht="15.75" customHeight="1" x14ac:dyDescent="0.25">
      <c r="D963" s="286"/>
    </row>
    <row r="964" spans="4:4" ht="15.75" customHeight="1" x14ac:dyDescent="0.25">
      <c r="D964" s="286"/>
    </row>
    <row r="965" spans="4:4" ht="15.75" customHeight="1" x14ac:dyDescent="0.25">
      <c r="D965" s="286"/>
    </row>
    <row r="966" spans="4:4" ht="15.75" customHeight="1" x14ac:dyDescent="0.25">
      <c r="D966" s="286"/>
    </row>
    <row r="967" spans="4:4" ht="15.75" customHeight="1" x14ac:dyDescent="0.25">
      <c r="D967" s="286"/>
    </row>
    <row r="968" spans="4:4" ht="15.75" customHeight="1" x14ac:dyDescent="0.25">
      <c r="D968" s="286"/>
    </row>
    <row r="969" spans="4:4" ht="15.75" customHeight="1" x14ac:dyDescent="0.25">
      <c r="D969" s="286"/>
    </row>
    <row r="970" spans="4:4" ht="15.75" customHeight="1" x14ac:dyDescent="0.25">
      <c r="D970" s="286"/>
    </row>
    <row r="971" spans="4:4" ht="15.75" customHeight="1" x14ac:dyDescent="0.25">
      <c r="D971" s="286"/>
    </row>
    <row r="972" spans="4:4" ht="15.75" customHeight="1" x14ac:dyDescent="0.25">
      <c r="D972" s="286"/>
    </row>
    <row r="973" spans="4:4" ht="15.75" customHeight="1" x14ac:dyDescent="0.25">
      <c r="D973" s="286"/>
    </row>
    <row r="974" spans="4:4" ht="15.75" customHeight="1" x14ac:dyDescent="0.25">
      <c r="D974" s="286"/>
    </row>
    <row r="975" spans="4:4" ht="15.75" customHeight="1" x14ac:dyDescent="0.25">
      <c r="D975" s="286"/>
    </row>
    <row r="976" spans="4:4" ht="15.75" customHeight="1" x14ac:dyDescent="0.25">
      <c r="D976" s="286"/>
    </row>
    <row r="977" spans="4:4" ht="15.75" customHeight="1" x14ac:dyDescent="0.25">
      <c r="D977" s="286"/>
    </row>
    <row r="978" spans="4:4" ht="15.75" customHeight="1" x14ac:dyDescent="0.25">
      <c r="D978" s="286"/>
    </row>
    <row r="979" spans="4:4" ht="15.75" customHeight="1" x14ac:dyDescent="0.25">
      <c r="D979" s="286"/>
    </row>
    <row r="980" spans="4:4" ht="15.75" customHeight="1" x14ac:dyDescent="0.25">
      <c r="D980" s="286"/>
    </row>
    <row r="981" spans="4:4" ht="15.75" customHeight="1" x14ac:dyDescent="0.25">
      <c r="D981" s="286"/>
    </row>
    <row r="982" spans="4:4" ht="15.75" customHeight="1" x14ac:dyDescent="0.25">
      <c r="D982" s="286"/>
    </row>
    <row r="983" spans="4:4" ht="15.75" customHeight="1" x14ac:dyDescent="0.25">
      <c r="D983" s="286"/>
    </row>
    <row r="984" spans="4:4" ht="15.75" customHeight="1" x14ac:dyDescent="0.25">
      <c r="D984" s="286"/>
    </row>
    <row r="985" spans="4:4" ht="15.75" customHeight="1" x14ac:dyDescent="0.25">
      <c r="D985" s="286"/>
    </row>
    <row r="986" spans="4:4" ht="15.75" customHeight="1" x14ac:dyDescent="0.25">
      <c r="D986" s="286"/>
    </row>
    <row r="987" spans="4:4" ht="15.75" customHeight="1" x14ac:dyDescent="0.25">
      <c r="D987" s="286"/>
    </row>
    <row r="988" spans="4:4" ht="15.75" customHeight="1" x14ac:dyDescent="0.25">
      <c r="D988" s="286"/>
    </row>
    <row r="989" spans="4:4" ht="15.75" customHeight="1" x14ac:dyDescent="0.25">
      <c r="D989" s="286"/>
    </row>
    <row r="990" spans="4:4" ht="15.75" customHeight="1" x14ac:dyDescent="0.25">
      <c r="D990" s="286"/>
    </row>
    <row r="991" spans="4:4" ht="15.75" customHeight="1" x14ac:dyDescent="0.25">
      <c r="D991" s="286"/>
    </row>
    <row r="992" spans="4:4" ht="15.75" customHeight="1" x14ac:dyDescent="0.25">
      <c r="D992" s="286"/>
    </row>
    <row r="993" spans="4:4" ht="15.75" customHeight="1" x14ac:dyDescent="0.25">
      <c r="D993" s="286"/>
    </row>
    <row r="994" spans="4:4" ht="15.75" customHeight="1" x14ac:dyDescent="0.25">
      <c r="D994" s="286"/>
    </row>
    <row r="995" spans="4:4" ht="15.75" customHeight="1" x14ac:dyDescent="0.25">
      <c r="D995" s="286"/>
    </row>
    <row r="996" spans="4:4" ht="15.75" customHeight="1" x14ac:dyDescent="0.25">
      <c r="D996" s="286"/>
    </row>
    <row r="997" spans="4:4" ht="15.75" customHeight="1" x14ac:dyDescent="0.25">
      <c r="D997" s="286"/>
    </row>
    <row r="998" spans="4:4" ht="15.75" customHeight="1" x14ac:dyDescent="0.25">
      <c r="D998" s="286"/>
    </row>
    <row r="999" spans="4:4" ht="15.75" customHeight="1" x14ac:dyDescent="0.25">
      <c r="D999" s="286"/>
    </row>
    <row r="1000" spans="4:4" ht="15.75" customHeight="1" x14ac:dyDescent="0.25">
      <c r="D1000" s="286"/>
    </row>
  </sheetData>
  <mergeCells count="1">
    <mergeCell ref="E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C1085"/>
  <sheetViews>
    <sheetView showGridLines="0" workbookViewId="0">
      <pane xSplit="2" ySplit="5" topLeftCell="E231" activePane="bottomRight" state="frozen"/>
      <selection pane="topRight" activeCell="C1" sqref="C1"/>
      <selection pane="bottomLeft" activeCell="A6" sqref="A6"/>
      <selection pane="bottomRight" activeCell="B241" sqref="B241"/>
    </sheetView>
  </sheetViews>
  <sheetFormatPr baseColWidth="10" defaultColWidth="4.5703125" defaultRowHeight="15" x14ac:dyDescent="0.25"/>
  <cols>
    <col min="1" max="1" width="13.140625" style="84" customWidth="1"/>
    <col min="2" max="2" width="46.42578125" style="84" customWidth="1"/>
    <col min="3" max="3" width="18.42578125" style="89" bestFit="1" customWidth="1"/>
    <col min="4" max="4" width="16.42578125" style="89" bestFit="1" customWidth="1"/>
    <col min="5" max="5" width="22.140625" style="89" bestFit="1" customWidth="1"/>
    <col min="6" max="6" width="17.42578125" style="89" bestFit="1" customWidth="1"/>
    <col min="7" max="7" width="21.42578125" style="89" bestFit="1" customWidth="1"/>
    <col min="8" max="8" width="18" style="89" bestFit="1" customWidth="1"/>
    <col min="9" max="9" width="20.85546875" style="89" customWidth="1"/>
    <col min="10" max="10" width="19.7109375" style="89" bestFit="1" customWidth="1"/>
    <col min="11" max="11" width="16.42578125" style="89" bestFit="1" customWidth="1"/>
    <col min="12" max="12" width="17.5703125" style="89" bestFit="1" customWidth="1"/>
    <col min="13" max="14" width="17.42578125" style="89" bestFit="1" customWidth="1"/>
    <col min="15" max="15" width="19.7109375" style="89" bestFit="1" customWidth="1"/>
    <col min="16" max="16" width="22.7109375" style="89" bestFit="1" customWidth="1"/>
    <col min="17" max="17" width="17.42578125" style="89" bestFit="1" customWidth="1"/>
    <col min="18" max="18" width="6.42578125" style="84" hidden="1" customWidth="1"/>
    <col min="19" max="19" width="17.42578125" style="84" hidden="1" customWidth="1"/>
    <col min="20" max="20" width="18" style="84" hidden="1" customWidth="1"/>
    <col min="21" max="21" width="6.5703125" style="84" hidden="1" customWidth="1"/>
    <col min="22" max="23" width="0" style="84" hidden="1" customWidth="1"/>
    <col min="24" max="24" width="14.85546875" style="84" hidden="1" customWidth="1"/>
    <col min="25" max="25" width="13.7109375" style="84" hidden="1" customWidth="1"/>
    <col min="26" max="26" width="4.5703125" style="84"/>
    <col min="27" max="27" width="17.28515625" style="84" bestFit="1" customWidth="1"/>
    <col min="28" max="28" width="4.5703125" style="84"/>
    <col min="29" max="29" width="8.5703125" style="84" bestFit="1" customWidth="1"/>
    <col min="30" max="16384" width="4.5703125" style="84"/>
  </cols>
  <sheetData>
    <row r="4" spans="1:29" ht="30.95" customHeight="1" x14ac:dyDescent="0.25"/>
    <row r="5" spans="1:29" ht="45" x14ac:dyDescent="0.25">
      <c r="A5" s="44" t="s">
        <v>0</v>
      </c>
      <c r="B5" s="44" t="s">
        <v>1</v>
      </c>
      <c r="C5" s="45" t="s">
        <v>2</v>
      </c>
      <c r="D5" s="45" t="s">
        <v>3</v>
      </c>
      <c r="E5" s="45" t="s">
        <v>4</v>
      </c>
      <c r="F5" s="45" t="s">
        <v>5</v>
      </c>
      <c r="G5" s="45" t="s">
        <v>505</v>
      </c>
      <c r="H5" s="45" t="s">
        <v>797</v>
      </c>
      <c r="I5" s="45" t="s">
        <v>798</v>
      </c>
      <c r="J5" s="45" t="s">
        <v>506</v>
      </c>
      <c r="K5" s="45" t="s">
        <v>800</v>
      </c>
      <c r="L5" s="45" t="s">
        <v>889</v>
      </c>
      <c r="M5" s="45" t="s">
        <v>802</v>
      </c>
      <c r="N5" s="45" t="s">
        <v>803</v>
      </c>
      <c r="O5" s="45" t="s">
        <v>508</v>
      </c>
      <c r="P5" s="45" t="s">
        <v>220</v>
      </c>
      <c r="Q5" s="45" t="s">
        <v>509</v>
      </c>
      <c r="S5" s="45" t="s">
        <v>890</v>
      </c>
      <c r="T5" s="45" t="s">
        <v>891</v>
      </c>
      <c r="V5" s="94" t="s">
        <v>805</v>
      </c>
    </row>
    <row r="6" spans="1:29" s="100" customFormat="1" x14ac:dyDescent="0.25">
      <c r="A6" s="97">
        <v>2</v>
      </c>
      <c r="B6" s="98" t="s">
        <v>6</v>
      </c>
      <c r="C6" s="99">
        <f>+C7+C249</f>
        <v>128545687388</v>
      </c>
      <c r="D6" s="99">
        <f t="shared" ref="D6:N6" si="0">+D7+D249</f>
        <v>9888520662</v>
      </c>
      <c r="E6" s="99">
        <f t="shared" si="0"/>
        <v>9888520662</v>
      </c>
      <c r="F6" s="99">
        <f t="shared" si="0"/>
        <v>24369960170.239998</v>
      </c>
      <c r="G6" s="99">
        <f t="shared" si="0"/>
        <v>152915647558.23999</v>
      </c>
      <c r="H6" s="99">
        <f t="shared" si="0"/>
        <v>8978329077.0900002</v>
      </c>
      <c r="I6" s="99">
        <f t="shared" si="0"/>
        <v>79561538004.669983</v>
      </c>
      <c r="J6" s="99">
        <f>+G6-I6</f>
        <v>73354109553.570007</v>
      </c>
      <c r="K6" s="99">
        <f t="shared" si="0"/>
        <v>9413215010.7700005</v>
      </c>
      <c r="L6" s="99">
        <f t="shared" si="0"/>
        <v>65815676234.329994</v>
      </c>
      <c r="M6" s="99">
        <f>+I6-L6</f>
        <v>13745861770.339989</v>
      </c>
      <c r="N6" s="99">
        <f t="shared" si="0"/>
        <v>85384605777.419998</v>
      </c>
      <c r="O6" s="99">
        <f>+N6-I6</f>
        <v>5823067772.7500153</v>
      </c>
      <c r="P6" s="99">
        <f>+G6-N6</f>
        <v>67531041780.819992</v>
      </c>
      <c r="Q6" s="99">
        <f>+L6</f>
        <v>65815676234.329994</v>
      </c>
      <c r="R6" s="148"/>
      <c r="S6" s="99"/>
      <c r="T6" s="99"/>
      <c r="V6" s="149">
        <v>65316013691.820007</v>
      </c>
      <c r="X6" s="150"/>
      <c r="Y6" s="84"/>
    </row>
    <row r="7" spans="1:29" s="100" customFormat="1" x14ac:dyDescent="0.25">
      <c r="A7" s="151">
        <v>21</v>
      </c>
      <c r="B7" s="152" t="s">
        <v>7</v>
      </c>
      <c r="C7" s="153">
        <f>+C8+C63+C235+C239+C241</f>
        <v>117594878148</v>
      </c>
      <c r="D7" s="153">
        <f t="shared" ref="D7:N7" si="1">+D8+D63+D235+D239+D241</f>
        <v>3167716342</v>
      </c>
      <c r="E7" s="153">
        <f t="shared" si="1"/>
        <v>3167716342</v>
      </c>
      <c r="F7" s="153">
        <f t="shared" si="1"/>
        <v>3860919311.73</v>
      </c>
      <c r="G7" s="153">
        <f t="shared" si="1"/>
        <v>121455797459.73</v>
      </c>
      <c r="H7" s="153">
        <f t="shared" si="1"/>
        <v>7760473465.0200005</v>
      </c>
      <c r="I7" s="153">
        <f t="shared" si="1"/>
        <v>70939301305.769989</v>
      </c>
      <c r="J7" s="153">
        <f t="shared" ref="J7:J70" si="2">+G7-I7</f>
        <v>50516496153.960007</v>
      </c>
      <c r="K7" s="153">
        <f t="shared" si="1"/>
        <v>8073765199.1899996</v>
      </c>
      <c r="L7" s="153">
        <f t="shared" si="1"/>
        <v>61826575470.059998</v>
      </c>
      <c r="M7" s="153">
        <f t="shared" ref="M7:M70" si="3">+I7-L7</f>
        <v>9112725835.7099915</v>
      </c>
      <c r="N7" s="153">
        <f t="shared" si="1"/>
        <v>73416773983.080002</v>
      </c>
      <c r="O7" s="153">
        <f t="shared" ref="O7:O70" si="4">+N7-I7</f>
        <v>2477472677.3100128</v>
      </c>
      <c r="P7" s="153">
        <f t="shared" ref="P7:P70" si="5">+G7-N7</f>
        <v>48039023476.649994</v>
      </c>
      <c r="Q7" s="153">
        <f t="shared" ref="Q7:Q70" si="6">+L7</f>
        <v>61826575470.059998</v>
      </c>
      <c r="S7" s="153"/>
      <c r="T7" s="153"/>
      <c r="V7" s="149">
        <v>48039023476.650009</v>
      </c>
      <c r="X7" s="84"/>
      <c r="Y7" s="84"/>
    </row>
    <row r="8" spans="1:29" s="100" customFormat="1" x14ac:dyDescent="0.25">
      <c r="A8" s="151">
        <v>211</v>
      </c>
      <c r="B8" s="152" t="s">
        <v>8</v>
      </c>
      <c r="C8" s="153">
        <f>+C9+C43</f>
        <v>103924427514</v>
      </c>
      <c r="D8" s="153">
        <f t="shared" ref="D8:N8" si="7">+D9+D43</f>
        <v>150000000</v>
      </c>
      <c r="E8" s="153">
        <f t="shared" si="7"/>
        <v>2303003991</v>
      </c>
      <c r="F8" s="153">
        <f t="shared" si="7"/>
        <v>1853314409</v>
      </c>
      <c r="G8" s="153">
        <f t="shared" si="7"/>
        <v>103624737932</v>
      </c>
      <c r="H8" s="153">
        <f t="shared" si="7"/>
        <v>7047935750</v>
      </c>
      <c r="I8" s="153">
        <f t="shared" si="7"/>
        <v>58679486473.849998</v>
      </c>
      <c r="J8" s="153">
        <f t="shared" si="2"/>
        <v>44945251458.150002</v>
      </c>
      <c r="K8" s="153">
        <f t="shared" si="7"/>
        <v>7265603135</v>
      </c>
      <c r="L8" s="153">
        <f t="shared" si="7"/>
        <v>52813808538.649994</v>
      </c>
      <c r="M8" s="153">
        <f t="shared" si="3"/>
        <v>5865677935.2000046</v>
      </c>
      <c r="N8" s="153">
        <f t="shared" si="7"/>
        <v>59358339003.169998</v>
      </c>
      <c r="O8" s="153">
        <f t="shared" si="4"/>
        <v>678852529.31999969</v>
      </c>
      <c r="P8" s="153">
        <f t="shared" si="5"/>
        <v>44266398928.830002</v>
      </c>
      <c r="Q8" s="153">
        <f t="shared" si="6"/>
        <v>52813808538.649994</v>
      </c>
      <c r="S8" s="153">
        <f>+S9+S43</f>
        <v>36449497851.68</v>
      </c>
      <c r="T8" s="154">
        <f t="shared" ref="T8" si="8">+T9+T43</f>
        <v>-6836321550.6800003</v>
      </c>
      <c r="U8" s="155" t="s">
        <v>892</v>
      </c>
      <c r="V8" s="149">
        <v>44266398928.830002</v>
      </c>
      <c r="X8" s="84"/>
      <c r="Y8" s="84"/>
    </row>
    <row r="9" spans="1:29" s="100" customFormat="1" x14ac:dyDescent="0.25">
      <c r="A9" s="151">
        <v>2111</v>
      </c>
      <c r="B9" s="152" t="s">
        <v>9</v>
      </c>
      <c r="C9" s="153">
        <f>+C10+C27+C34</f>
        <v>76451082961</v>
      </c>
      <c r="D9" s="153">
        <f t="shared" ref="D9:N9" si="9">+D10+D27+D34</f>
        <v>150000000</v>
      </c>
      <c r="E9" s="153">
        <f t="shared" si="9"/>
        <v>1938003991</v>
      </c>
      <c r="F9" s="153">
        <f t="shared" si="9"/>
        <v>81443507</v>
      </c>
      <c r="G9" s="153">
        <f t="shared" si="9"/>
        <v>74744522477</v>
      </c>
      <c r="H9" s="153">
        <f t="shared" si="9"/>
        <v>6075539859</v>
      </c>
      <c r="I9" s="153">
        <f t="shared" si="9"/>
        <v>39789799008.169998</v>
      </c>
      <c r="J9" s="153">
        <f t="shared" si="2"/>
        <v>34954723468.830002</v>
      </c>
      <c r="K9" s="153">
        <f t="shared" si="9"/>
        <v>5999134789</v>
      </c>
      <c r="L9" s="153">
        <f t="shared" si="9"/>
        <v>39649430761.169998</v>
      </c>
      <c r="M9" s="153">
        <f t="shared" si="3"/>
        <v>140368247</v>
      </c>
      <c r="N9" s="153">
        <f t="shared" si="9"/>
        <v>39794297358.169998</v>
      </c>
      <c r="O9" s="153">
        <f t="shared" si="4"/>
        <v>4498350</v>
      </c>
      <c r="P9" s="153">
        <f t="shared" si="5"/>
        <v>34950225118.830002</v>
      </c>
      <c r="Q9" s="153">
        <f t="shared" si="6"/>
        <v>39649430761.169998</v>
      </c>
      <c r="R9" s="156"/>
      <c r="S9" s="153">
        <f t="shared" ref="S9:T9" si="10">+S10+S27+S34</f>
        <v>22299164250</v>
      </c>
      <c r="T9" s="153">
        <f t="shared" si="10"/>
        <v>-259814751</v>
      </c>
      <c r="V9" s="149">
        <v>34950225118.830002</v>
      </c>
      <c r="X9" s="84"/>
      <c r="Y9" s="84"/>
    </row>
    <row r="10" spans="1:29" s="100" customFormat="1" x14ac:dyDescent="0.25">
      <c r="A10" s="157">
        <v>21111</v>
      </c>
      <c r="B10" s="158" t="s">
        <v>10</v>
      </c>
      <c r="C10" s="159">
        <f>+C11+C23</f>
        <v>58994774236</v>
      </c>
      <c r="D10" s="159">
        <f t="shared" ref="D10:N10" si="11">+D11+D23</f>
        <v>0</v>
      </c>
      <c r="E10" s="159">
        <f t="shared" si="11"/>
        <v>0</v>
      </c>
      <c r="F10" s="159">
        <f t="shared" si="11"/>
        <v>81443507</v>
      </c>
      <c r="G10" s="159">
        <f t="shared" si="11"/>
        <v>59076217743</v>
      </c>
      <c r="H10" s="159">
        <f t="shared" si="11"/>
        <v>4576917516</v>
      </c>
      <c r="I10" s="159">
        <f t="shared" si="11"/>
        <v>30688523551.169998</v>
      </c>
      <c r="J10" s="159">
        <f t="shared" si="2"/>
        <v>28387694191.830002</v>
      </c>
      <c r="K10" s="159">
        <f t="shared" si="11"/>
        <v>4575924963</v>
      </c>
      <c r="L10" s="159">
        <f t="shared" si="11"/>
        <v>30679983281.169998</v>
      </c>
      <c r="M10" s="159">
        <f t="shared" si="3"/>
        <v>8540270</v>
      </c>
      <c r="N10" s="159">
        <f t="shared" si="11"/>
        <v>30692303551.169998</v>
      </c>
      <c r="O10" s="159">
        <f t="shared" si="4"/>
        <v>3780000</v>
      </c>
      <c r="P10" s="159">
        <f t="shared" si="5"/>
        <v>28383914191.830002</v>
      </c>
      <c r="Q10" s="159">
        <f t="shared" si="6"/>
        <v>30679983281.169998</v>
      </c>
      <c r="R10" s="156"/>
      <c r="S10" s="159">
        <f t="shared" ref="S10:T10" si="12">+S11+S23</f>
        <v>22299164250</v>
      </c>
      <c r="T10" s="159">
        <f t="shared" si="12"/>
        <v>-259814751</v>
      </c>
      <c r="V10" s="149">
        <v>28383914191.830002</v>
      </c>
      <c r="X10" s="84"/>
      <c r="Y10" s="84"/>
    </row>
    <row r="11" spans="1:29" s="100" customFormat="1" x14ac:dyDescent="0.25">
      <c r="A11" s="160">
        <v>211111</v>
      </c>
      <c r="B11" s="161" t="s">
        <v>11</v>
      </c>
      <c r="C11" s="162">
        <f>+C12+C13+C14+C15+C16+C17+C18+C19+C22</f>
        <v>57900582100</v>
      </c>
      <c r="D11" s="162">
        <f t="shared" ref="D11:N11" si="13">+D12+D13+D14+D15+D16+D17+D18+D19+D22</f>
        <v>0</v>
      </c>
      <c r="E11" s="162">
        <f t="shared" si="13"/>
        <v>0</v>
      </c>
      <c r="F11" s="162">
        <f t="shared" si="13"/>
        <v>81443507</v>
      </c>
      <c r="G11" s="162">
        <f>+G12+G13+G14+G15+G16+G17+G18+G19+G22</f>
        <v>57982025607</v>
      </c>
      <c r="H11" s="162">
        <f t="shared" si="13"/>
        <v>3738253555</v>
      </c>
      <c r="I11" s="162">
        <f t="shared" si="13"/>
        <v>29752807748.169998</v>
      </c>
      <c r="J11" s="162">
        <f t="shared" si="2"/>
        <v>28229217858.830002</v>
      </c>
      <c r="K11" s="162">
        <f t="shared" si="13"/>
        <v>3737261002</v>
      </c>
      <c r="L11" s="162">
        <f t="shared" si="13"/>
        <v>29749821727.169998</v>
      </c>
      <c r="M11" s="162">
        <f t="shared" si="3"/>
        <v>2986021</v>
      </c>
      <c r="N11" s="162">
        <f t="shared" si="13"/>
        <v>29752807748.169998</v>
      </c>
      <c r="O11" s="162">
        <f t="shared" si="4"/>
        <v>0</v>
      </c>
      <c r="P11" s="162">
        <f t="shared" si="5"/>
        <v>28229217858.830002</v>
      </c>
      <c r="Q11" s="162">
        <f t="shared" si="6"/>
        <v>29749821727.169998</v>
      </c>
      <c r="S11" s="162">
        <f t="shared" ref="S11:T11" si="14">+S12+S13+S14+S15+S16+S17+S18+S19+S22</f>
        <v>22299164250</v>
      </c>
      <c r="T11" s="162">
        <f t="shared" si="14"/>
        <v>-259814751</v>
      </c>
      <c r="V11" s="149">
        <v>28229217858.830002</v>
      </c>
      <c r="X11" s="84"/>
      <c r="Y11" s="84"/>
    </row>
    <row r="12" spans="1:29" x14ac:dyDescent="0.25">
      <c r="A12" s="163">
        <v>2111111</v>
      </c>
      <c r="B12" s="164" t="s">
        <v>510</v>
      </c>
      <c r="C12" s="165">
        <v>32061480419</v>
      </c>
      <c r="D12" s="165">
        <v>0</v>
      </c>
      <c r="E12" s="165">
        <v>0</v>
      </c>
      <c r="F12" s="165">
        <v>81443507</v>
      </c>
      <c r="G12" s="165">
        <f>+C12+D12-E12+F12</f>
        <v>32142923926</v>
      </c>
      <c r="H12" s="165">
        <v>2357062575</v>
      </c>
      <c r="I12" s="165">
        <v>16829352779</v>
      </c>
      <c r="J12" s="165">
        <f t="shared" si="2"/>
        <v>15313571147</v>
      </c>
      <c r="K12" s="165">
        <v>2357062575</v>
      </c>
      <c r="L12" s="165">
        <v>16829352779</v>
      </c>
      <c r="M12" s="165">
        <f t="shared" si="3"/>
        <v>0</v>
      </c>
      <c r="N12" s="165">
        <v>16829352779</v>
      </c>
      <c r="O12" s="165">
        <f t="shared" si="4"/>
        <v>0</v>
      </c>
      <c r="P12" s="165">
        <f t="shared" si="5"/>
        <v>15313571147</v>
      </c>
      <c r="Q12" s="165">
        <f t="shared" si="6"/>
        <v>16829352779</v>
      </c>
      <c r="S12" s="121">
        <f t="shared" ref="S12:S18" si="15">+H12*6</f>
        <v>14142375450</v>
      </c>
      <c r="T12" s="166">
        <f t="shared" ref="T12:T18" si="16">+P12-S12</f>
        <v>1171195697</v>
      </c>
      <c r="V12" s="149">
        <v>15313571147</v>
      </c>
      <c r="AA12" s="121">
        <f>+G12+1030000000</f>
        <v>33172923926</v>
      </c>
      <c r="AB12" s="84" t="s">
        <v>1001</v>
      </c>
      <c r="AC12" s="84">
        <f>+AA12*AB12</f>
        <v>1492781576.6699998</v>
      </c>
    </row>
    <row r="13" spans="1:29" x14ac:dyDescent="0.25">
      <c r="A13" s="163">
        <v>2111112</v>
      </c>
      <c r="B13" s="164" t="s">
        <v>511</v>
      </c>
      <c r="C13" s="165">
        <v>585798342</v>
      </c>
      <c r="D13" s="165">
        <v>0</v>
      </c>
      <c r="E13" s="165">
        <v>0</v>
      </c>
      <c r="F13" s="165">
        <v>0</v>
      </c>
      <c r="G13" s="165">
        <f>+C13+D13-E13+F13</f>
        <v>585798342</v>
      </c>
      <c r="H13" s="165">
        <v>39344100</v>
      </c>
      <c r="I13" s="165">
        <v>305703794</v>
      </c>
      <c r="J13" s="165">
        <f t="shared" si="2"/>
        <v>280094548</v>
      </c>
      <c r="K13" s="165">
        <v>39344100</v>
      </c>
      <c r="L13" s="165">
        <v>305703794</v>
      </c>
      <c r="M13" s="165">
        <f t="shared" si="3"/>
        <v>0</v>
      </c>
      <c r="N13" s="165">
        <v>305703794</v>
      </c>
      <c r="O13" s="165">
        <f t="shared" si="4"/>
        <v>0</v>
      </c>
      <c r="P13" s="165">
        <f t="shared" si="5"/>
        <v>280094548</v>
      </c>
      <c r="Q13" s="165">
        <f t="shared" si="6"/>
        <v>305703794</v>
      </c>
      <c r="S13" s="121">
        <f t="shared" si="15"/>
        <v>236064600</v>
      </c>
      <c r="T13" s="166">
        <f t="shared" si="16"/>
        <v>44029948</v>
      </c>
      <c r="V13" s="149">
        <v>280094548</v>
      </c>
    </row>
    <row r="14" spans="1:29" x14ac:dyDescent="0.25">
      <c r="A14" s="163">
        <v>2111113</v>
      </c>
      <c r="B14" s="164" t="s">
        <v>512</v>
      </c>
      <c r="C14" s="165">
        <v>12743785045</v>
      </c>
      <c r="D14" s="165">
        <v>0</v>
      </c>
      <c r="E14" s="165">
        <v>0</v>
      </c>
      <c r="F14" s="165">
        <v>0</v>
      </c>
      <c r="G14" s="165">
        <f>+C14+D14-E14+F14</f>
        <v>12743785045</v>
      </c>
      <c r="H14" s="165">
        <v>1074564669</v>
      </c>
      <c r="I14" s="165">
        <v>7472146514</v>
      </c>
      <c r="J14" s="165">
        <f t="shared" si="2"/>
        <v>5271638531</v>
      </c>
      <c r="K14" s="165">
        <v>1074564669</v>
      </c>
      <c r="L14" s="165">
        <v>7472146514</v>
      </c>
      <c r="M14" s="165">
        <f t="shared" si="3"/>
        <v>0</v>
      </c>
      <c r="N14" s="165">
        <v>7472146514</v>
      </c>
      <c r="O14" s="165">
        <f t="shared" si="4"/>
        <v>0</v>
      </c>
      <c r="P14" s="165">
        <f t="shared" si="5"/>
        <v>5271638531</v>
      </c>
      <c r="Q14" s="165">
        <f t="shared" si="6"/>
        <v>7472146514</v>
      </c>
      <c r="S14" s="121">
        <f t="shared" si="15"/>
        <v>6447388014</v>
      </c>
      <c r="T14" s="166">
        <f t="shared" si="16"/>
        <v>-1175749483</v>
      </c>
      <c r="V14" s="149">
        <v>5271638531</v>
      </c>
    </row>
    <row r="15" spans="1:29" x14ac:dyDescent="0.25">
      <c r="A15" s="163">
        <v>2111114</v>
      </c>
      <c r="B15" s="164" t="s">
        <v>513</v>
      </c>
      <c r="C15" s="165">
        <v>319163730</v>
      </c>
      <c r="D15" s="165">
        <v>0</v>
      </c>
      <c r="E15" s="165">
        <v>0</v>
      </c>
      <c r="F15" s="165">
        <v>0</v>
      </c>
      <c r="G15" s="165">
        <f>+C15+D15-E15+F15</f>
        <v>319163730</v>
      </c>
      <c r="H15" s="165">
        <v>22209364</v>
      </c>
      <c r="I15" s="165">
        <v>147925094</v>
      </c>
      <c r="J15" s="165">
        <f t="shared" si="2"/>
        <v>171238636</v>
      </c>
      <c r="K15" s="165">
        <v>22209364</v>
      </c>
      <c r="L15" s="165">
        <v>147925094</v>
      </c>
      <c r="M15" s="165">
        <f t="shared" si="3"/>
        <v>0</v>
      </c>
      <c r="N15" s="165">
        <v>147925094</v>
      </c>
      <c r="O15" s="165">
        <f t="shared" si="4"/>
        <v>0</v>
      </c>
      <c r="P15" s="165">
        <f t="shared" si="5"/>
        <v>171238636</v>
      </c>
      <c r="Q15" s="165">
        <f t="shared" si="6"/>
        <v>147925094</v>
      </c>
      <c r="S15" s="121">
        <f t="shared" si="15"/>
        <v>133256184</v>
      </c>
      <c r="T15" s="166">
        <f t="shared" si="16"/>
        <v>37982452</v>
      </c>
      <c r="V15" s="149">
        <v>171238636</v>
      </c>
    </row>
    <row r="16" spans="1:29" x14ac:dyDescent="0.25">
      <c r="A16" s="163">
        <v>2111115</v>
      </c>
      <c r="B16" s="164" t="s">
        <v>514</v>
      </c>
      <c r="C16" s="165">
        <v>331125950</v>
      </c>
      <c r="D16" s="165">
        <v>0</v>
      </c>
      <c r="E16" s="165">
        <v>0</v>
      </c>
      <c r="F16" s="165">
        <v>0</v>
      </c>
      <c r="G16" s="165">
        <f t="shared" ref="G16:G79" si="17">+C16+D16-E16+F16</f>
        <v>331125950</v>
      </c>
      <c r="H16" s="165">
        <v>21508449</v>
      </c>
      <c r="I16" s="165">
        <v>158459330</v>
      </c>
      <c r="J16" s="165">
        <f t="shared" si="2"/>
        <v>172666620</v>
      </c>
      <c r="K16" s="165">
        <v>21508449</v>
      </c>
      <c r="L16" s="165">
        <v>158459330</v>
      </c>
      <c r="M16" s="165">
        <f t="shared" si="3"/>
        <v>0</v>
      </c>
      <c r="N16" s="165">
        <v>158459330</v>
      </c>
      <c r="O16" s="165">
        <f t="shared" si="4"/>
        <v>0</v>
      </c>
      <c r="P16" s="165">
        <f t="shared" si="5"/>
        <v>172666620</v>
      </c>
      <c r="Q16" s="165">
        <f t="shared" si="6"/>
        <v>158459330</v>
      </c>
      <c r="S16" s="121">
        <f t="shared" si="15"/>
        <v>129050694</v>
      </c>
      <c r="T16" s="166">
        <f t="shared" si="16"/>
        <v>43615926</v>
      </c>
      <c r="V16" s="149">
        <v>172666620</v>
      </c>
    </row>
    <row r="17" spans="1:25" x14ac:dyDescent="0.25">
      <c r="A17" s="163">
        <v>2111116</v>
      </c>
      <c r="B17" s="164" t="s">
        <v>515</v>
      </c>
      <c r="C17" s="165">
        <v>3339172054</v>
      </c>
      <c r="D17" s="165">
        <v>0</v>
      </c>
      <c r="E17" s="165">
        <v>0</v>
      </c>
      <c r="F17" s="165">
        <v>0</v>
      </c>
      <c r="G17" s="165">
        <f t="shared" si="17"/>
        <v>3339172054</v>
      </c>
      <c r="H17" s="165">
        <v>0</v>
      </c>
      <c r="I17" s="165">
        <v>3339172054</v>
      </c>
      <c r="J17" s="165">
        <f t="shared" si="2"/>
        <v>0</v>
      </c>
      <c r="K17" s="165">
        <v>0</v>
      </c>
      <c r="L17" s="165">
        <v>3339172054</v>
      </c>
      <c r="M17" s="165">
        <f t="shared" si="3"/>
        <v>0</v>
      </c>
      <c r="N17" s="165">
        <v>3339172054</v>
      </c>
      <c r="O17" s="165">
        <f t="shared" si="4"/>
        <v>0</v>
      </c>
      <c r="P17" s="165">
        <f t="shared" si="5"/>
        <v>0</v>
      </c>
      <c r="Q17" s="165">
        <f t="shared" si="6"/>
        <v>3339172054</v>
      </c>
      <c r="S17" s="121">
        <f t="shared" si="15"/>
        <v>0</v>
      </c>
      <c r="T17" s="166">
        <f t="shared" si="16"/>
        <v>0</v>
      </c>
      <c r="V17" s="149">
        <v>0</v>
      </c>
    </row>
    <row r="18" spans="1:25" x14ac:dyDescent="0.25">
      <c r="A18" s="163">
        <v>2111117</v>
      </c>
      <c r="B18" s="164" t="s">
        <v>516</v>
      </c>
      <c r="C18" s="165">
        <v>1856673210</v>
      </c>
      <c r="D18" s="165">
        <v>0</v>
      </c>
      <c r="E18" s="165">
        <v>0</v>
      </c>
      <c r="F18" s="165">
        <v>0</v>
      </c>
      <c r="G18" s="165">
        <f t="shared" si="17"/>
        <v>1856673210</v>
      </c>
      <c r="H18" s="165">
        <v>179294202</v>
      </c>
      <c r="I18" s="165">
        <v>1143084440</v>
      </c>
      <c r="J18" s="165">
        <f t="shared" si="2"/>
        <v>713588770</v>
      </c>
      <c r="K18" s="165">
        <v>179294202</v>
      </c>
      <c r="L18" s="165">
        <v>1143084440</v>
      </c>
      <c r="M18" s="165">
        <f t="shared" si="3"/>
        <v>0</v>
      </c>
      <c r="N18" s="165">
        <v>1143084440</v>
      </c>
      <c r="O18" s="165">
        <f t="shared" si="4"/>
        <v>0</v>
      </c>
      <c r="P18" s="165">
        <f t="shared" si="5"/>
        <v>713588770</v>
      </c>
      <c r="Q18" s="165">
        <f t="shared" si="6"/>
        <v>1143084440</v>
      </c>
      <c r="S18" s="121">
        <f t="shared" si="15"/>
        <v>1075765212</v>
      </c>
      <c r="T18" s="166">
        <f t="shared" si="16"/>
        <v>-362176442</v>
      </c>
      <c r="V18" s="149">
        <v>713588770</v>
      </c>
    </row>
    <row r="19" spans="1:25" s="100" customFormat="1" x14ac:dyDescent="0.25">
      <c r="A19" s="160">
        <v>2111118</v>
      </c>
      <c r="B19" s="161" t="s">
        <v>12</v>
      </c>
      <c r="C19" s="162">
        <f>+C20+C21</f>
        <v>6389023991</v>
      </c>
      <c r="D19" s="162">
        <f t="shared" ref="D19:N19" si="18">+D20+D21</f>
        <v>0</v>
      </c>
      <c r="E19" s="162">
        <f t="shared" si="18"/>
        <v>0</v>
      </c>
      <c r="F19" s="162">
        <f t="shared" si="18"/>
        <v>0</v>
      </c>
      <c r="G19" s="162">
        <f t="shared" si="18"/>
        <v>6389023991</v>
      </c>
      <c r="H19" s="162">
        <f t="shared" si="18"/>
        <v>21726180</v>
      </c>
      <c r="I19" s="162">
        <f t="shared" si="18"/>
        <v>199155631.17000002</v>
      </c>
      <c r="J19" s="162">
        <f t="shared" si="2"/>
        <v>6189868359.8299999</v>
      </c>
      <c r="K19" s="162">
        <f t="shared" si="18"/>
        <v>20733627</v>
      </c>
      <c r="L19" s="162">
        <f t="shared" si="18"/>
        <v>196169610.17000002</v>
      </c>
      <c r="M19" s="162">
        <f t="shared" si="3"/>
        <v>2986021</v>
      </c>
      <c r="N19" s="162">
        <f t="shared" si="18"/>
        <v>199155631.17000002</v>
      </c>
      <c r="O19" s="162">
        <f t="shared" si="4"/>
        <v>0</v>
      </c>
      <c r="P19" s="162">
        <f t="shared" si="5"/>
        <v>6189868359.8299999</v>
      </c>
      <c r="Q19" s="162">
        <f t="shared" si="6"/>
        <v>196169610.17000002</v>
      </c>
      <c r="V19" s="149">
        <v>6189868359.8299999</v>
      </c>
      <c r="X19" s="84"/>
      <c r="Y19" s="84"/>
    </row>
    <row r="20" spans="1:25" x14ac:dyDescent="0.25">
      <c r="A20" s="163">
        <v>21111181</v>
      </c>
      <c r="B20" s="164" t="s">
        <v>517</v>
      </c>
      <c r="C20" s="165">
        <v>3937020869</v>
      </c>
      <c r="D20" s="165">
        <v>0</v>
      </c>
      <c r="E20" s="165">
        <v>0</v>
      </c>
      <c r="F20" s="165">
        <v>0</v>
      </c>
      <c r="G20" s="165">
        <f t="shared" si="17"/>
        <v>3937020869</v>
      </c>
      <c r="H20" s="165">
        <v>6191652</v>
      </c>
      <c r="I20" s="165">
        <v>52173952.170000002</v>
      </c>
      <c r="J20" s="165">
        <f t="shared" si="2"/>
        <v>3884846916.8299999</v>
      </c>
      <c r="K20" s="165">
        <v>6191652</v>
      </c>
      <c r="L20" s="165">
        <v>52173952.170000002</v>
      </c>
      <c r="M20" s="165">
        <f t="shared" si="3"/>
        <v>0</v>
      </c>
      <c r="N20" s="165">
        <v>52173952.170000002</v>
      </c>
      <c r="O20" s="165">
        <f t="shared" si="4"/>
        <v>0</v>
      </c>
      <c r="P20" s="165">
        <f t="shared" si="5"/>
        <v>3884846916.8299999</v>
      </c>
      <c r="Q20" s="165">
        <f t="shared" si="6"/>
        <v>52173952.170000002</v>
      </c>
      <c r="S20" s="121">
        <f>+H20*6</f>
        <v>37149912</v>
      </c>
      <c r="T20" s="166">
        <f>+P20-S20</f>
        <v>3847697004.8299999</v>
      </c>
      <c r="V20" s="149">
        <v>3884846916.8299999</v>
      </c>
    </row>
    <row r="21" spans="1:25" x14ac:dyDescent="0.25">
      <c r="A21" s="163">
        <v>21111182</v>
      </c>
      <c r="B21" s="164" t="s">
        <v>518</v>
      </c>
      <c r="C21" s="165">
        <v>2452003122</v>
      </c>
      <c r="D21" s="165">
        <v>0</v>
      </c>
      <c r="E21" s="165">
        <v>0</v>
      </c>
      <c r="F21" s="165">
        <v>0</v>
      </c>
      <c r="G21" s="165">
        <f t="shared" si="17"/>
        <v>2452003122</v>
      </c>
      <c r="H21" s="165">
        <v>15534528</v>
      </c>
      <c r="I21" s="165">
        <v>146981679</v>
      </c>
      <c r="J21" s="165">
        <f t="shared" si="2"/>
        <v>2305021443</v>
      </c>
      <c r="K21" s="165">
        <v>14541975</v>
      </c>
      <c r="L21" s="165">
        <v>143995658</v>
      </c>
      <c r="M21" s="165">
        <f t="shared" si="3"/>
        <v>2986021</v>
      </c>
      <c r="N21" s="165">
        <v>146981679</v>
      </c>
      <c r="O21" s="165">
        <f t="shared" si="4"/>
        <v>0</v>
      </c>
      <c r="P21" s="165">
        <f t="shared" si="5"/>
        <v>2305021443</v>
      </c>
      <c r="Q21" s="165">
        <f t="shared" si="6"/>
        <v>143995658</v>
      </c>
      <c r="S21" s="121">
        <f>+H21*6</f>
        <v>93207168</v>
      </c>
      <c r="T21" s="166">
        <f>+P21-S21</f>
        <v>2211814275</v>
      </c>
      <c r="V21" s="149">
        <v>2305021443</v>
      </c>
    </row>
    <row r="22" spans="1:25" x14ac:dyDescent="0.25">
      <c r="A22" s="163">
        <v>2111119</v>
      </c>
      <c r="B22" s="164" t="s">
        <v>519</v>
      </c>
      <c r="C22" s="165">
        <v>274359359</v>
      </c>
      <c r="D22" s="165">
        <v>0</v>
      </c>
      <c r="E22" s="165">
        <v>0</v>
      </c>
      <c r="F22" s="165">
        <v>0</v>
      </c>
      <c r="G22" s="165">
        <f t="shared" si="17"/>
        <v>274359359</v>
      </c>
      <c r="H22" s="165">
        <v>22544016</v>
      </c>
      <c r="I22" s="165">
        <v>157808112</v>
      </c>
      <c r="J22" s="165">
        <f t="shared" si="2"/>
        <v>116551247</v>
      </c>
      <c r="K22" s="165">
        <v>22544016</v>
      </c>
      <c r="L22" s="165">
        <v>157808112</v>
      </c>
      <c r="M22" s="165">
        <f t="shared" si="3"/>
        <v>0</v>
      </c>
      <c r="N22" s="165">
        <v>157808112</v>
      </c>
      <c r="O22" s="165">
        <f t="shared" si="4"/>
        <v>0</v>
      </c>
      <c r="P22" s="165">
        <f t="shared" si="5"/>
        <v>116551247</v>
      </c>
      <c r="Q22" s="165">
        <f t="shared" si="6"/>
        <v>157808112</v>
      </c>
      <c r="S22" s="121">
        <f>+H22*6</f>
        <v>135264096</v>
      </c>
      <c r="T22" s="166">
        <f>+P22-S22</f>
        <v>-18712849</v>
      </c>
      <c r="V22" s="149">
        <v>116551247</v>
      </c>
    </row>
    <row r="23" spans="1:25" s="100" customFormat="1" x14ac:dyDescent="0.25">
      <c r="A23" s="160">
        <v>211112</v>
      </c>
      <c r="B23" s="161" t="s">
        <v>13</v>
      </c>
      <c r="C23" s="162">
        <f>SUM(C24:C26)</f>
        <v>1094192136</v>
      </c>
      <c r="D23" s="162">
        <f t="shared" ref="D23:N23" si="19">SUM(D24:D26)</f>
        <v>0</v>
      </c>
      <c r="E23" s="162">
        <f t="shared" si="19"/>
        <v>0</v>
      </c>
      <c r="F23" s="162">
        <f t="shared" si="19"/>
        <v>0</v>
      </c>
      <c r="G23" s="162">
        <f t="shared" si="19"/>
        <v>1094192136</v>
      </c>
      <c r="H23" s="162">
        <f t="shared" si="19"/>
        <v>838663961</v>
      </c>
      <c r="I23" s="162">
        <f t="shared" si="19"/>
        <v>935715803</v>
      </c>
      <c r="J23" s="162">
        <f t="shared" si="2"/>
        <v>158476333</v>
      </c>
      <c r="K23" s="162">
        <f t="shared" si="19"/>
        <v>838663961</v>
      </c>
      <c r="L23" s="162">
        <f t="shared" si="19"/>
        <v>930161554</v>
      </c>
      <c r="M23" s="162">
        <f t="shared" si="3"/>
        <v>5554249</v>
      </c>
      <c r="N23" s="162">
        <f t="shared" si="19"/>
        <v>939495803</v>
      </c>
      <c r="O23" s="162">
        <f t="shared" si="4"/>
        <v>3780000</v>
      </c>
      <c r="P23" s="162">
        <f t="shared" si="5"/>
        <v>154696333</v>
      </c>
      <c r="Q23" s="162">
        <f t="shared" si="6"/>
        <v>930161554</v>
      </c>
      <c r="V23" s="149">
        <v>154696333</v>
      </c>
      <c r="X23" s="84"/>
      <c r="Y23" s="84"/>
    </row>
    <row r="24" spans="1:25" x14ac:dyDescent="0.25">
      <c r="A24" s="163">
        <v>2111122</v>
      </c>
      <c r="B24" s="164" t="s">
        <v>520</v>
      </c>
      <c r="C24" s="165">
        <v>71380618</v>
      </c>
      <c r="D24" s="165">
        <v>0</v>
      </c>
      <c r="E24" s="165">
        <v>0</v>
      </c>
      <c r="F24" s="165">
        <v>0</v>
      </c>
      <c r="G24" s="165">
        <f t="shared" si="17"/>
        <v>71380618</v>
      </c>
      <c r="H24" s="165">
        <v>0</v>
      </c>
      <c r="I24" s="165">
        <v>54233166</v>
      </c>
      <c r="J24" s="165">
        <f t="shared" si="2"/>
        <v>17147452</v>
      </c>
      <c r="K24" s="165">
        <v>0</v>
      </c>
      <c r="L24" s="165">
        <v>53355362</v>
      </c>
      <c r="M24" s="165">
        <f t="shared" si="3"/>
        <v>877804</v>
      </c>
      <c r="N24" s="165">
        <v>54233166</v>
      </c>
      <c r="O24" s="165">
        <f t="shared" si="4"/>
        <v>0</v>
      </c>
      <c r="P24" s="165">
        <f t="shared" si="5"/>
        <v>17147452</v>
      </c>
      <c r="Q24" s="165">
        <f t="shared" si="6"/>
        <v>53355362</v>
      </c>
      <c r="S24" s="121">
        <f>+H24*7</f>
        <v>0</v>
      </c>
      <c r="T24" s="166">
        <f>+P24-S24</f>
        <v>17147452</v>
      </c>
      <c r="V24" s="149">
        <v>17147452</v>
      </c>
    </row>
    <row r="25" spans="1:25" x14ac:dyDescent="0.25">
      <c r="A25" s="163">
        <v>2111124</v>
      </c>
      <c r="B25" s="164" t="s">
        <v>521</v>
      </c>
      <c r="C25" s="165">
        <v>65137062</v>
      </c>
      <c r="D25" s="165">
        <v>0</v>
      </c>
      <c r="E25" s="165">
        <v>0</v>
      </c>
      <c r="F25" s="165">
        <v>0</v>
      </c>
      <c r="G25" s="165">
        <f t="shared" si="17"/>
        <v>65137062</v>
      </c>
      <c r="H25" s="165">
        <v>0</v>
      </c>
      <c r="I25" s="165">
        <v>12772402</v>
      </c>
      <c r="J25" s="165">
        <f t="shared" si="2"/>
        <v>52364660</v>
      </c>
      <c r="K25" s="165">
        <v>0</v>
      </c>
      <c r="L25" s="165">
        <v>12772402</v>
      </c>
      <c r="M25" s="165">
        <f t="shared" si="3"/>
        <v>0</v>
      </c>
      <c r="N25" s="165">
        <v>16552402</v>
      </c>
      <c r="O25" s="165">
        <f t="shared" si="4"/>
        <v>3780000</v>
      </c>
      <c r="P25" s="165">
        <f t="shared" si="5"/>
        <v>48584660</v>
      </c>
      <c r="Q25" s="165">
        <f t="shared" si="6"/>
        <v>12772402</v>
      </c>
      <c r="S25" s="121">
        <f>5600000*6</f>
        <v>33600000</v>
      </c>
      <c r="T25" s="166">
        <f>+P25-S25</f>
        <v>14984660</v>
      </c>
      <c r="V25" s="149">
        <v>48584660</v>
      </c>
    </row>
    <row r="26" spans="1:25" x14ac:dyDescent="0.25">
      <c r="A26" s="163">
        <v>2111126</v>
      </c>
      <c r="B26" s="164" t="s">
        <v>522</v>
      </c>
      <c r="C26" s="165">
        <v>957674456</v>
      </c>
      <c r="D26" s="165">
        <v>0</v>
      </c>
      <c r="E26" s="165">
        <v>0</v>
      </c>
      <c r="F26" s="165">
        <v>0</v>
      </c>
      <c r="G26" s="165">
        <f t="shared" si="17"/>
        <v>957674456</v>
      </c>
      <c r="H26" s="165">
        <v>838663961</v>
      </c>
      <c r="I26" s="165">
        <v>868710235</v>
      </c>
      <c r="J26" s="165">
        <f t="shared" si="2"/>
        <v>88964221</v>
      </c>
      <c r="K26" s="165">
        <v>838663961</v>
      </c>
      <c r="L26" s="165">
        <v>864033790</v>
      </c>
      <c r="M26" s="165">
        <f t="shared" si="3"/>
        <v>4676445</v>
      </c>
      <c r="N26" s="165">
        <v>868710235</v>
      </c>
      <c r="O26" s="165">
        <f t="shared" si="4"/>
        <v>0</v>
      </c>
      <c r="P26" s="165">
        <f t="shared" si="5"/>
        <v>88964221</v>
      </c>
      <c r="Q26" s="165">
        <f t="shared" si="6"/>
        <v>864033790</v>
      </c>
      <c r="S26" s="121">
        <f>+H26*7</f>
        <v>5870647727</v>
      </c>
      <c r="V26" s="149">
        <v>88964221</v>
      </c>
    </row>
    <row r="27" spans="1:25" s="100" customFormat="1" x14ac:dyDescent="0.25">
      <c r="A27" s="160">
        <v>21112</v>
      </c>
      <c r="B27" s="161" t="s">
        <v>14</v>
      </c>
      <c r="C27" s="162">
        <f>SUM(C28:C33)</f>
        <v>16332606577</v>
      </c>
      <c r="D27" s="162">
        <f t="shared" ref="D27:N27" si="20">SUM(D28:D33)</f>
        <v>0</v>
      </c>
      <c r="E27" s="162">
        <f t="shared" si="20"/>
        <v>1938003991</v>
      </c>
      <c r="F27" s="162">
        <f t="shared" si="20"/>
        <v>0</v>
      </c>
      <c r="G27" s="162">
        <f t="shared" si="20"/>
        <v>14394602586</v>
      </c>
      <c r="H27" s="162">
        <f t="shared" si="20"/>
        <v>1282662368</v>
      </c>
      <c r="I27" s="162">
        <f t="shared" si="20"/>
        <v>8183623403</v>
      </c>
      <c r="J27" s="162">
        <f t="shared" si="2"/>
        <v>6210979183</v>
      </c>
      <c r="K27" s="162">
        <f t="shared" si="20"/>
        <v>1282662368</v>
      </c>
      <c r="L27" s="162">
        <f t="shared" si="20"/>
        <v>8180793176</v>
      </c>
      <c r="M27" s="162">
        <f t="shared" si="3"/>
        <v>2830227</v>
      </c>
      <c r="N27" s="162">
        <f t="shared" si="20"/>
        <v>8183623403</v>
      </c>
      <c r="O27" s="162">
        <f t="shared" si="4"/>
        <v>0</v>
      </c>
      <c r="P27" s="162">
        <f t="shared" si="5"/>
        <v>6210979183</v>
      </c>
      <c r="Q27" s="162">
        <f t="shared" si="6"/>
        <v>8180793176</v>
      </c>
      <c r="V27" s="149">
        <v>6210979183</v>
      </c>
      <c r="X27" s="84"/>
      <c r="Y27" s="84"/>
    </row>
    <row r="28" spans="1:25" x14ac:dyDescent="0.25">
      <c r="A28" s="163">
        <v>211121</v>
      </c>
      <c r="B28" s="164" t="s">
        <v>523</v>
      </c>
      <c r="C28" s="165">
        <v>6597489723</v>
      </c>
      <c r="D28" s="165">
        <v>0</v>
      </c>
      <c r="E28" s="165">
        <v>518000000</v>
      </c>
      <c r="F28" s="165">
        <v>0</v>
      </c>
      <c r="G28" s="165">
        <f t="shared" si="17"/>
        <v>6079489723</v>
      </c>
      <c r="H28" s="165">
        <v>512365126</v>
      </c>
      <c r="I28" s="165">
        <v>3021210309</v>
      </c>
      <c r="J28" s="165">
        <f t="shared" si="2"/>
        <v>3058279414</v>
      </c>
      <c r="K28" s="165">
        <v>512365126</v>
      </c>
      <c r="L28" s="165">
        <v>3021210309</v>
      </c>
      <c r="M28" s="165">
        <f t="shared" si="3"/>
        <v>0</v>
      </c>
      <c r="N28" s="165">
        <v>3021210309</v>
      </c>
      <c r="O28" s="165">
        <f t="shared" si="4"/>
        <v>0</v>
      </c>
      <c r="P28" s="165">
        <f t="shared" si="5"/>
        <v>3058279414</v>
      </c>
      <c r="Q28" s="165">
        <f t="shared" si="6"/>
        <v>3021210309</v>
      </c>
      <c r="S28" s="121">
        <f t="shared" ref="S28:S33" si="21">+H28*6</f>
        <v>3074190756</v>
      </c>
      <c r="T28" s="166">
        <f>+P28-S28</f>
        <v>-15911342</v>
      </c>
      <c r="V28" s="149">
        <v>3058279414</v>
      </c>
    </row>
    <row r="29" spans="1:25" x14ac:dyDescent="0.25">
      <c r="A29" s="163">
        <v>211122</v>
      </c>
      <c r="B29" s="164" t="s">
        <v>524</v>
      </c>
      <c r="C29" s="165">
        <v>4673221887</v>
      </c>
      <c r="D29" s="165">
        <v>0</v>
      </c>
      <c r="E29" s="165">
        <v>0</v>
      </c>
      <c r="F29" s="165">
        <v>0</v>
      </c>
      <c r="G29" s="165">
        <f t="shared" si="17"/>
        <v>4673221887</v>
      </c>
      <c r="H29" s="165">
        <v>419207830</v>
      </c>
      <c r="I29" s="165">
        <v>2632034130</v>
      </c>
      <c r="J29" s="165">
        <f t="shared" si="2"/>
        <v>2041187757</v>
      </c>
      <c r="K29" s="165">
        <v>419207830</v>
      </c>
      <c r="L29" s="165">
        <v>2632034130</v>
      </c>
      <c r="M29" s="165">
        <f t="shared" si="3"/>
        <v>0</v>
      </c>
      <c r="N29" s="165">
        <v>2632034130</v>
      </c>
      <c r="O29" s="165">
        <f t="shared" si="4"/>
        <v>0</v>
      </c>
      <c r="P29" s="165">
        <f t="shared" si="5"/>
        <v>2041187757</v>
      </c>
      <c r="Q29" s="165">
        <f t="shared" si="6"/>
        <v>2632034130</v>
      </c>
      <c r="S29" s="121">
        <f t="shared" si="21"/>
        <v>2515246980</v>
      </c>
      <c r="T29" s="166">
        <f>+P29-S29</f>
        <v>-474059223</v>
      </c>
      <c r="V29" s="149">
        <v>2041187757</v>
      </c>
    </row>
    <row r="30" spans="1:25" x14ac:dyDescent="0.25">
      <c r="A30" s="163">
        <v>211123</v>
      </c>
      <c r="B30" s="164" t="s">
        <v>525</v>
      </c>
      <c r="C30" s="165">
        <v>890128449</v>
      </c>
      <c r="D30" s="165">
        <v>0</v>
      </c>
      <c r="E30" s="165">
        <v>485500000</v>
      </c>
      <c r="F30" s="165">
        <v>0</v>
      </c>
      <c r="G30" s="165">
        <f t="shared" si="17"/>
        <v>404628449</v>
      </c>
      <c r="H30" s="165">
        <v>0</v>
      </c>
      <c r="I30" s="165">
        <v>404628449</v>
      </c>
      <c r="J30" s="165">
        <f t="shared" si="2"/>
        <v>0</v>
      </c>
      <c r="K30" s="165">
        <v>0</v>
      </c>
      <c r="L30" s="165">
        <v>404628449</v>
      </c>
      <c r="M30" s="165">
        <f t="shared" si="3"/>
        <v>0</v>
      </c>
      <c r="N30" s="165">
        <v>404628449</v>
      </c>
      <c r="O30" s="165">
        <f t="shared" si="4"/>
        <v>0</v>
      </c>
      <c r="P30" s="165">
        <f t="shared" si="5"/>
        <v>0</v>
      </c>
      <c r="Q30" s="165">
        <f t="shared" si="6"/>
        <v>404628449</v>
      </c>
      <c r="S30" s="121">
        <f t="shared" si="21"/>
        <v>0</v>
      </c>
      <c r="V30" s="149">
        <v>0</v>
      </c>
    </row>
    <row r="31" spans="1:25" x14ac:dyDescent="0.25">
      <c r="A31" s="163">
        <v>211124</v>
      </c>
      <c r="B31" s="164" t="s">
        <v>526</v>
      </c>
      <c r="C31" s="165">
        <v>2199163241</v>
      </c>
      <c r="D31" s="165">
        <v>0</v>
      </c>
      <c r="E31" s="165">
        <v>684503991</v>
      </c>
      <c r="F31" s="165">
        <v>0</v>
      </c>
      <c r="G31" s="165">
        <f t="shared" si="17"/>
        <v>1514659250</v>
      </c>
      <c r="H31" s="165">
        <v>193094347</v>
      </c>
      <c r="I31" s="165">
        <v>1132231049.72</v>
      </c>
      <c r="J31" s="165">
        <f t="shared" si="2"/>
        <v>382428200.27999997</v>
      </c>
      <c r="K31" s="165">
        <v>193094347</v>
      </c>
      <c r="L31" s="165">
        <v>1132231049.72</v>
      </c>
      <c r="M31" s="165">
        <f t="shared" si="3"/>
        <v>0</v>
      </c>
      <c r="N31" s="165">
        <v>1132231049.72</v>
      </c>
      <c r="O31" s="165">
        <f t="shared" si="4"/>
        <v>0</v>
      </c>
      <c r="P31" s="165">
        <f t="shared" si="5"/>
        <v>382428200.27999997</v>
      </c>
      <c r="Q31" s="165">
        <f t="shared" si="6"/>
        <v>1132231049.72</v>
      </c>
      <c r="S31" s="121">
        <f t="shared" si="21"/>
        <v>1158566082</v>
      </c>
      <c r="T31" s="166">
        <f>+P31-S31</f>
        <v>-776137881.72000003</v>
      </c>
      <c r="V31" s="149">
        <v>382428200.27999997</v>
      </c>
    </row>
    <row r="32" spans="1:25" ht="30" x14ac:dyDescent="0.25">
      <c r="A32" s="163">
        <v>211125</v>
      </c>
      <c r="B32" s="164" t="s">
        <v>527</v>
      </c>
      <c r="C32" s="165">
        <v>323230846</v>
      </c>
      <c r="D32" s="165">
        <v>0</v>
      </c>
      <c r="E32" s="165">
        <v>0</v>
      </c>
      <c r="F32" s="165">
        <v>0</v>
      </c>
      <c r="G32" s="165">
        <f t="shared" si="17"/>
        <v>323230846</v>
      </c>
      <c r="H32" s="165">
        <v>29265500</v>
      </c>
      <c r="I32" s="165">
        <v>185399027</v>
      </c>
      <c r="J32" s="165">
        <f t="shared" si="2"/>
        <v>137831819</v>
      </c>
      <c r="K32" s="165">
        <v>29265500</v>
      </c>
      <c r="L32" s="165">
        <v>182568800</v>
      </c>
      <c r="M32" s="165">
        <f t="shared" si="3"/>
        <v>2830227</v>
      </c>
      <c r="N32" s="165">
        <v>185399027</v>
      </c>
      <c r="O32" s="165">
        <f t="shared" si="4"/>
        <v>0</v>
      </c>
      <c r="P32" s="165">
        <f t="shared" si="5"/>
        <v>137831819</v>
      </c>
      <c r="Q32" s="165">
        <f t="shared" si="6"/>
        <v>182568800</v>
      </c>
      <c r="S32" s="121">
        <f t="shared" si="21"/>
        <v>175593000</v>
      </c>
      <c r="T32" s="166">
        <f>+P32-S32</f>
        <v>-37761181</v>
      </c>
      <c r="V32" s="149">
        <v>137831819</v>
      </c>
    </row>
    <row r="33" spans="1:25" x14ac:dyDescent="0.25">
      <c r="A33" s="163">
        <v>211126</v>
      </c>
      <c r="B33" s="164" t="s">
        <v>633</v>
      </c>
      <c r="C33" s="165">
        <v>1649372431</v>
      </c>
      <c r="D33" s="165">
        <v>0</v>
      </c>
      <c r="E33" s="165">
        <v>250000000</v>
      </c>
      <c r="F33" s="165">
        <v>0</v>
      </c>
      <c r="G33" s="165">
        <f t="shared" si="17"/>
        <v>1399372431</v>
      </c>
      <c r="H33" s="165">
        <v>128729565</v>
      </c>
      <c r="I33" s="165">
        <v>808120438.27999997</v>
      </c>
      <c r="J33" s="165">
        <f t="shared" si="2"/>
        <v>591251992.72000003</v>
      </c>
      <c r="K33" s="165">
        <v>128729565</v>
      </c>
      <c r="L33" s="165">
        <v>808120438.27999997</v>
      </c>
      <c r="M33" s="165">
        <f t="shared" si="3"/>
        <v>0</v>
      </c>
      <c r="N33" s="165">
        <v>808120438.27999997</v>
      </c>
      <c r="O33" s="165">
        <f t="shared" si="4"/>
        <v>0</v>
      </c>
      <c r="P33" s="165">
        <f t="shared" si="5"/>
        <v>591251992.72000003</v>
      </c>
      <c r="Q33" s="165">
        <f t="shared" si="6"/>
        <v>808120438.27999997</v>
      </c>
      <c r="S33" s="121">
        <f t="shared" si="21"/>
        <v>772377390</v>
      </c>
      <c r="T33" s="166">
        <f>+P33-S33</f>
        <v>-181125397.27999997</v>
      </c>
      <c r="V33" s="149">
        <v>591251992.72000003</v>
      </c>
    </row>
    <row r="34" spans="1:25" s="100" customFormat="1" x14ac:dyDescent="0.25">
      <c r="A34" s="157">
        <v>21113</v>
      </c>
      <c r="B34" s="157" t="s">
        <v>15</v>
      </c>
      <c r="C34" s="159">
        <f>+C35</f>
        <v>1123702148</v>
      </c>
      <c r="D34" s="159">
        <f t="shared" ref="D34:N34" si="22">+D35</f>
        <v>150000000</v>
      </c>
      <c r="E34" s="159">
        <f t="shared" si="22"/>
        <v>0</v>
      </c>
      <c r="F34" s="159">
        <f t="shared" si="22"/>
        <v>0</v>
      </c>
      <c r="G34" s="159">
        <f t="shared" si="22"/>
        <v>1273702148</v>
      </c>
      <c r="H34" s="159">
        <f t="shared" si="22"/>
        <v>215959975</v>
      </c>
      <c r="I34" s="159">
        <f t="shared" si="22"/>
        <v>917652054</v>
      </c>
      <c r="J34" s="159">
        <f t="shared" si="2"/>
        <v>356050094</v>
      </c>
      <c r="K34" s="159">
        <f t="shared" si="22"/>
        <v>140547458</v>
      </c>
      <c r="L34" s="159">
        <f t="shared" si="22"/>
        <v>788654304</v>
      </c>
      <c r="M34" s="159">
        <f t="shared" si="3"/>
        <v>128997750</v>
      </c>
      <c r="N34" s="159">
        <f t="shared" si="22"/>
        <v>918370404</v>
      </c>
      <c r="O34" s="159">
        <f t="shared" si="4"/>
        <v>718350</v>
      </c>
      <c r="P34" s="159">
        <f t="shared" si="5"/>
        <v>355331744</v>
      </c>
      <c r="Q34" s="159">
        <f t="shared" si="6"/>
        <v>788654304</v>
      </c>
      <c r="V34" s="149">
        <v>355331744</v>
      </c>
      <c r="X34" s="84"/>
      <c r="Y34" s="84"/>
    </row>
    <row r="35" spans="1:25" s="100" customFormat="1" x14ac:dyDescent="0.25">
      <c r="A35" s="157">
        <v>211131</v>
      </c>
      <c r="B35" s="157" t="s">
        <v>12</v>
      </c>
      <c r="C35" s="159">
        <f>+C36+C39</f>
        <v>1123702148</v>
      </c>
      <c r="D35" s="159">
        <f t="shared" ref="D35:N35" si="23">+D36+D39</f>
        <v>150000000</v>
      </c>
      <c r="E35" s="159">
        <f t="shared" si="23"/>
        <v>0</v>
      </c>
      <c r="F35" s="159">
        <f t="shared" si="23"/>
        <v>0</v>
      </c>
      <c r="G35" s="159">
        <f t="shared" si="23"/>
        <v>1273702148</v>
      </c>
      <c r="H35" s="159">
        <f t="shared" si="23"/>
        <v>215959975</v>
      </c>
      <c r="I35" s="159">
        <f t="shared" si="23"/>
        <v>917652054</v>
      </c>
      <c r="J35" s="159">
        <f t="shared" si="2"/>
        <v>356050094</v>
      </c>
      <c r="K35" s="159">
        <f t="shared" si="23"/>
        <v>140547458</v>
      </c>
      <c r="L35" s="159">
        <f t="shared" si="23"/>
        <v>788654304</v>
      </c>
      <c r="M35" s="159">
        <f t="shared" si="3"/>
        <v>128997750</v>
      </c>
      <c r="N35" s="159">
        <f t="shared" si="23"/>
        <v>918370404</v>
      </c>
      <c r="O35" s="159">
        <f t="shared" si="4"/>
        <v>718350</v>
      </c>
      <c r="P35" s="159">
        <f t="shared" si="5"/>
        <v>355331744</v>
      </c>
      <c r="Q35" s="159">
        <f t="shared" si="6"/>
        <v>788654304</v>
      </c>
      <c r="V35" s="149">
        <v>355331744</v>
      </c>
      <c r="X35" s="84"/>
      <c r="Y35" s="84"/>
    </row>
    <row r="36" spans="1:25" s="100" customFormat="1" x14ac:dyDescent="0.25">
      <c r="A36" s="160">
        <v>2111313</v>
      </c>
      <c r="B36" s="160" t="s">
        <v>16</v>
      </c>
      <c r="C36" s="162">
        <f>+C37+C38</f>
        <v>771955345</v>
      </c>
      <c r="D36" s="162">
        <f t="shared" ref="D36:N36" si="24">+D37+D38</f>
        <v>0</v>
      </c>
      <c r="E36" s="162">
        <f t="shared" si="24"/>
        <v>0</v>
      </c>
      <c r="F36" s="162">
        <f t="shared" si="24"/>
        <v>0</v>
      </c>
      <c r="G36" s="162">
        <f t="shared" si="24"/>
        <v>771955345</v>
      </c>
      <c r="H36" s="162">
        <f t="shared" si="24"/>
        <v>78948614</v>
      </c>
      <c r="I36" s="162">
        <f t="shared" si="24"/>
        <v>474978363</v>
      </c>
      <c r="J36" s="162">
        <f t="shared" si="2"/>
        <v>296976982</v>
      </c>
      <c r="K36" s="162">
        <f t="shared" si="24"/>
        <v>110060105</v>
      </c>
      <c r="L36" s="162">
        <f t="shared" si="24"/>
        <v>454022887</v>
      </c>
      <c r="M36" s="162">
        <f t="shared" si="3"/>
        <v>20955476</v>
      </c>
      <c r="N36" s="162">
        <f t="shared" si="24"/>
        <v>474978363</v>
      </c>
      <c r="O36" s="162">
        <f t="shared" si="4"/>
        <v>0</v>
      </c>
      <c r="P36" s="162">
        <f t="shared" si="5"/>
        <v>296976982</v>
      </c>
      <c r="Q36" s="162">
        <f t="shared" si="6"/>
        <v>454022887</v>
      </c>
      <c r="V36" s="149">
        <v>296976982</v>
      </c>
      <c r="X36" s="84"/>
      <c r="Y36" s="84"/>
    </row>
    <row r="37" spans="1:25" x14ac:dyDescent="0.25">
      <c r="A37" s="163">
        <v>21113131</v>
      </c>
      <c r="B37" s="163" t="s">
        <v>634</v>
      </c>
      <c r="C37" s="165">
        <v>1310595</v>
      </c>
      <c r="D37" s="165">
        <v>0</v>
      </c>
      <c r="E37" s="165">
        <v>0</v>
      </c>
      <c r="F37" s="165">
        <v>0</v>
      </c>
      <c r="G37" s="165">
        <f t="shared" si="17"/>
        <v>1310595</v>
      </c>
      <c r="H37" s="165">
        <v>60625</v>
      </c>
      <c r="I37" s="165">
        <v>424375</v>
      </c>
      <c r="J37" s="165">
        <f t="shared" si="2"/>
        <v>886220</v>
      </c>
      <c r="K37" s="165">
        <v>60625</v>
      </c>
      <c r="L37" s="165">
        <v>424375</v>
      </c>
      <c r="M37" s="165">
        <f t="shared" si="3"/>
        <v>0</v>
      </c>
      <c r="N37" s="165">
        <v>424375</v>
      </c>
      <c r="O37" s="165">
        <f t="shared" si="4"/>
        <v>0</v>
      </c>
      <c r="P37" s="165">
        <f t="shared" si="5"/>
        <v>886220</v>
      </c>
      <c r="Q37" s="165">
        <f t="shared" si="6"/>
        <v>424375</v>
      </c>
      <c r="S37" s="121">
        <f>+H37*6</f>
        <v>363750</v>
      </c>
      <c r="V37" s="149">
        <v>886220</v>
      </c>
    </row>
    <row r="38" spans="1:25" x14ac:dyDescent="0.25">
      <c r="A38" s="163">
        <v>21113132</v>
      </c>
      <c r="B38" s="163" t="s">
        <v>528</v>
      </c>
      <c r="C38" s="165">
        <v>770644750</v>
      </c>
      <c r="D38" s="165">
        <v>0</v>
      </c>
      <c r="E38" s="165">
        <v>0</v>
      </c>
      <c r="F38" s="165">
        <v>0</v>
      </c>
      <c r="G38" s="165">
        <f t="shared" si="17"/>
        <v>770644750</v>
      </c>
      <c r="H38" s="165">
        <v>78887989</v>
      </c>
      <c r="I38" s="165">
        <v>474553988</v>
      </c>
      <c r="J38" s="165">
        <f t="shared" si="2"/>
        <v>296090762</v>
      </c>
      <c r="K38" s="165">
        <v>109999480</v>
      </c>
      <c r="L38" s="165">
        <v>453598512</v>
      </c>
      <c r="M38" s="165">
        <f t="shared" si="3"/>
        <v>20955476</v>
      </c>
      <c r="N38" s="165">
        <v>474553988</v>
      </c>
      <c r="O38" s="165">
        <f t="shared" si="4"/>
        <v>0</v>
      </c>
      <c r="P38" s="165">
        <f t="shared" si="5"/>
        <v>296090762</v>
      </c>
      <c r="Q38" s="165">
        <f t="shared" si="6"/>
        <v>453598512</v>
      </c>
      <c r="S38" s="121">
        <f>+H38*6</f>
        <v>473327934</v>
      </c>
      <c r="V38" s="149">
        <v>296090762</v>
      </c>
    </row>
    <row r="39" spans="1:25" s="100" customFormat="1" x14ac:dyDescent="0.25">
      <c r="A39" s="160">
        <v>2111314</v>
      </c>
      <c r="B39" s="160" t="s">
        <v>17</v>
      </c>
      <c r="C39" s="162">
        <f>+C40+C41+C42</f>
        <v>351746803</v>
      </c>
      <c r="D39" s="162">
        <f t="shared" ref="D39:N39" si="25">+D40+D41+D42</f>
        <v>150000000</v>
      </c>
      <c r="E39" s="162">
        <f t="shared" si="25"/>
        <v>0</v>
      </c>
      <c r="F39" s="162">
        <f t="shared" si="25"/>
        <v>0</v>
      </c>
      <c r="G39" s="162">
        <f t="shared" si="25"/>
        <v>501746803</v>
      </c>
      <c r="H39" s="162">
        <f t="shared" si="25"/>
        <v>137011361</v>
      </c>
      <c r="I39" s="162">
        <f t="shared" si="25"/>
        <v>442673691</v>
      </c>
      <c r="J39" s="162">
        <f t="shared" si="2"/>
        <v>59073112</v>
      </c>
      <c r="K39" s="162">
        <f t="shared" si="25"/>
        <v>30487353</v>
      </c>
      <c r="L39" s="162">
        <f t="shared" si="25"/>
        <v>334631417</v>
      </c>
      <c r="M39" s="162">
        <f t="shared" si="3"/>
        <v>108042274</v>
      </c>
      <c r="N39" s="162">
        <f t="shared" si="25"/>
        <v>443392041</v>
      </c>
      <c r="O39" s="162">
        <f t="shared" si="4"/>
        <v>718350</v>
      </c>
      <c r="P39" s="162">
        <f t="shared" si="5"/>
        <v>58354762</v>
      </c>
      <c r="Q39" s="162">
        <f t="shared" si="6"/>
        <v>334631417</v>
      </c>
      <c r="V39" s="149">
        <v>58354762</v>
      </c>
      <c r="X39" s="84"/>
      <c r="Y39" s="84"/>
    </row>
    <row r="40" spans="1:25" x14ac:dyDescent="0.25">
      <c r="A40" s="163">
        <v>21113141</v>
      </c>
      <c r="B40" s="163" t="s">
        <v>520</v>
      </c>
      <c r="C40" s="165">
        <v>98148934</v>
      </c>
      <c r="D40" s="165">
        <v>150000000</v>
      </c>
      <c r="E40" s="165">
        <v>0</v>
      </c>
      <c r="F40" s="165">
        <v>0</v>
      </c>
      <c r="G40" s="165">
        <f t="shared" si="17"/>
        <v>248148934</v>
      </c>
      <c r="H40" s="165">
        <v>136879691</v>
      </c>
      <c r="I40" s="165">
        <v>199435341</v>
      </c>
      <c r="J40" s="165">
        <f t="shared" si="2"/>
        <v>48713593</v>
      </c>
      <c r="K40" s="165">
        <v>30355683</v>
      </c>
      <c r="L40" s="165">
        <v>92911333</v>
      </c>
      <c r="M40" s="165">
        <f t="shared" si="3"/>
        <v>106524008</v>
      </c>
      <c r="N40" s="165">
        <v>199435341</v>
      </c>
      <c r="O40" s="165">
        <f t="shared" si="4"/>
        <v>0</v>
      </c>
      <c r="P40" s="165">
        <f t="shared" si="5"/>
        <v>48713593</v>
      </c>
      <c r="Q40" s="165">
        <f t="shared" si="6"/>
        <v>92911333</v>
      </c>
      <c r="S40" s="121">
        <f>+H40*6</f>
        <v>821278146</v>
      </c>
      <c r="V40" s="149">
        <v>48713593</v>
      </c>
      <c r="X40" s="167"/>
      <c r="Y40" s="168"/>
    </row>
    <row r="41" spans="1:25" x14ac:dyDescent="0.25">
      <c r="A41" s="163">
        <v>21113142</v>
      </c>
      <c r="B41" s="163" t="s">
        <v>529</v>
      </c>
      <c r="C41" s="165">
        <v>235801530</v>
      </c>
      <c r="D41" s="165">
        <v>0</v>
      </c>
      <c r="E41" s="165">
        <v>0</v>
      </c>
      <c r="F41" s="165">
        <v>0</v>
      </c>
      <c r="G41" s="165">
        <f t="shared" si="17"/>
        <v>235801530</v>
      </c>
      <c r="H41" s="165">
        <v>131670</v>
      </c>
      <c r="I41" s="165">
        <v>235083180</v>
      </c>
      <c r="J41" s="165">
        <f t="shared" si="2"/>
        <v>718350</v>
      </c>
      <c r="K41" s="165">
        <v>131670</v>
      </c>
      <c r="L41" s="165">
        <v>233564914</v>
      </c>
      <c r="M41" s="165">
        <f t="shared" si="3"/>
        <v>1518266</v>
      </c>
      <c r="N41" s="165">
        <v>235801530</v>
      </c>
      <c r="O41" s="165">
        <f t="shared" si="4"/>
        <v>718350</v>
      </c>
      <c r="P41" s="165">
        <f t="shared" si="5"/>
        <v>0</v>
      </c>
      <c r="Q41" s="165">
        <f t="shared" si="6"/>
        <v>233564914</v>
      </c>
      <c r="S41" s="121">
        <f>+H41*6</f>
        <v>790020</v>
      </c>
      <c r="V41" s="149">
        <v>0</v>
      </c>
      <c r="X41" s="167"/>
      <c r="Y41" s="168"/>
    </row>
    <row r="42" spans="1:25" x14ac:dyDescent="0.25">
      <c r="A42" s="163">
        <v>21113143</v>
      </c>
      <c r="B42" s="163" t="s">
        <v>530</v>
      </c>
      <c r="C42" s="165">
        <v>17796339</v>
      </c>
      <c r="D42" s="165">
        <v>0</v>
      </c>
      <c r="E42" s="165">
        <v>0</v>
      </c>
      <c r="F42" s="165">
        <v>0</v>
      </c>
      <c r="G42" s="165">
        <f t="shared" si="17"/>
        <v>17796339</v>
      </c>
      <c r="H42" s="165">
        <v>0</v>
      </c>
      <c r="I42" s="165">
        <v>8155170</v>
      </c>
      <c r="J42" s="165">
        <f t="shared" si="2"/>
        <v>9641169</v>
      </c>
      <c r="K42" s="165">
        <v>0</v>
      </c>
      <c r="L42" s="165">
        <v>8155170</v>
      </c>
      <c r="M42" s="165">
        <f t="shared" si="3"/>
        <v>0</v>
      </c>
      <c r="N42" s="165">
        <v>8155170</v>
      </c>
      <c r="O42" s="165">
        <f t="shared" si="4"/>
        <v>0</v>
      </c>
      <c r="P42" s="165">
        <f t="shared" si="5"/>
        <v>9641169</v>
      </c>
      <c r="Q42" s="165">
        <f t="shared" si="6"/>
        <v>8155170</v>
      </c>
      <c r="S42" s="121">
        <f>+H42*6</f>
        <v>0</v>
      </c>
      <c r="V42" s="149">
        <v>9641169</v>
      </c>
      <c r="X42" s="167"/>
      <c r="Y42" s="168"/>
    </row>
    <row r="43" spans="1:25" s="100" customFormat="1" x14ac:dyDescent="0.25">
      <c r="A43" s="151">
        <v>2112</v>
      </c>
      <c r="B43" s="151" t="s">
        <v>18</v>
      </c>
      <c r="C43" s="153">
        <f>+C44+C56</f>
        <v>27473344553</v>
      </c>
      <c r="D43" s="153">
        <f t="shared" ref="D43:N43" si="26">+D44+D56</f>
        <v>0</v>
      </c>
      <c r="E43" s="153">
        <f t="shared" si="26"/>
        <v>365000000</v>
      </c>
      <c r="F43" s="153">
        <f t="shared" si="26"/>
        <v>1771870902</v>
      </c>
      <c r="G43" s="153">
        <f t="shared" si="26"/>
        <v>28880215455</v>
      </c>
      <c r="H43" s="153">
        <f t="shared" si="26"/>
        <v>972395891</v>
      </c>
      <c r="I43" s="153">
        <f t="shared" si="26"/>
        <v>18889687465.68</v>
      </c>
      <c r="J43" s="153">
        <f t="shared" si="2"/>
        <v>9990527989.3199997</v>
      </c>
      <c r="K43" s="153">
        <f t="shared" si="26"/>
        <v>1266468346</v>
      </c>
      <c r="L43" s="153">
        <f t="shared" si="26"/>
        <v>13164377777.48</v>
      </c>
      <c r="M43" s="153">
        <f t="shared" si="3"/>
        <v>5725309688.2000008</v>
      </c>
      <c r="N43" s="153">
        <f t="shared" si="26"/>
        <v>19564041645</v>
      </c>
      <c r="O43" s="153">
        <f t="shared" si="4"/>
        <v>674354179.31999969</v>
      </c>
      <c r="P43" s="153">
        <f t="shared" si="5"/>
        <v>9316173810</v>
      </c>
      <c r="Q43" s="153">
        <f t="shared" si="6"/>
        <v>13164377777.48</v>
      </c>
      <c r="S43" s="153">
        <f t="shared" ref="S43:T43" si="27">+S44+S56</f>
        <v>14150333601.68</v>
      </c>
      <c r="T43" s="153">
        <f t="shared" si="27"/>
        <v>-6576506799.6800003</v>
      </c>
      <c r="V43" s="149">
        <v>9316173810</v>
      </c>
      <c r="X43" s="167"/>
      <c r="Y43" s="168"/>
    </row>
    <row r="44" spans="1:25" x14ac:dyDescent="0.25">
      <c r="A44" s="169">
        <v>21121</v>
      </c>
      <c r="B44" s="169" t="s">
        <v>19</v>
      </c>
      <c r="C44" s="170">
        <f>+C45</f>
        <v>22678383399</v>
      </c>
      <c r="D44" s="170">
        <f t="shared" ref="D44:N44" si="28">+D45</f>
        <v>0</v>
      </c>
      <c r="E44" s="170">
        <f t="shared" si="28"/>
        <v>365000000</v>
      </c>
      <c r="F44" s="170">
        <f t="shared" si="28"/>
        <v>1771870902</v>
      </c>
      <c r="G44" s="170">
        <f t="shared" si="28"/>
        <v>24085254301</v>
      </c>
      <c r="H44" s="170">
        <f t="shared" si="28"/>
        <v>736237294</v>
      </c>
      <c r="I44" s="170">
        <f t="shared" si="28"/>
        <v>15854636605.68</v>
      </c>
      <c r="J44" s="170">
        <f t="shared" si="2"/>
        <v>8230617695.3199997</v>
      </c>
      <c r="K44" s="170">
        <f t="shared" si="28"/>
        <v>1194135287</v>
      </c>
      <c r="L44" s="170">
        <f t="shared" si="28"/>
        <v>11572025241.48</v>
      </c>
      <c r="M44" s="170">
        <f t="shared" si="3"/>
        <v>4282611364.2000008</v>
      </c>
      <c r="N44" s="170">
        <f t="shared" si="28"/>
        <v>16500050377</v>
      </c>
      <c r="O44" s="170">
        <f t="shared" si="4"/>
        <v>645413771.31999969</v>
      </c>
      <c r="P44" s="170">
        <f t="shared" si="5"/>
        <v>7585203924</v>
      </c>
      <c r="Q44" s="170">
        <f t="shared" si="6"/>
        <v>11572025241.48</v>
      </c>
      <c r="S44" s="170">
        <f t="shared" ref="S44:T44" si="29">+S45</f>
        <v>14150333601.68</v>
      </c>
      <c r="T44" s="170">
        <f t="shared" si="29"/>
        <v>-6576506799.6800003</v>
      </c>
      <c r="V44" s="149">
        <v>7585203924</v>
      </c>
      <c r="X44" s="167"/>
      <c r="Y44" s="168"/>
    </row>
    <row r="45" spans="1:25" s="100" customFormat="1" x14ac:dyDescent="0.25">
      <c r="A45" s="160">
        <v>211211</v>
      </c>
      <c r="B45" s="160" t="s">
        <v>11</v>
      </c>
      <c r="C45" s="162">
        <f>+C46+C47+C48+C49+C50+C51+C52+C55</f>
        <v>22678383399</v>
      </c>
      <c r="D45" s="162">
        <f t="shared" ref="D45:N45" si="30">+D46+D47+D48+D49+D50+D51+D52+D55</f>
        <v>0</v>
      </c>
      <c r="E45" s="162">
        <f t="shared" si="30"/>
        <v>365000000</v>
      </c>
      <c r="F45" s="162">
        <f t="shared" si="30"/>
        <v>1771870902</v>
      </c>
      <c r="G45" s="162">
        <f t="shared" si="30"/>
        <v>24085254301</v>
      </c>
      <c r="H45" s="162">
        <f t="shared" si="30"/>
        <v>736237294</v>
      </c>
      <c r="I45" s="162">
        <f t="shared" si="30"/>
        <v>15854636605.68</v>
      </c>
      <c r="J45" s="162">
        <f t="shared" si="2"/>
        <v>8230617695.3199997</v>
      </c>
      <c r="K45" s="162">
        <f t="shared" si="30"/>
        <v>1194135287</v>
      </c>
      <c r="L45" s="162">
        <f>+L46+L47+L48+L49+L50+L51+L52+L55</f>
        <v>11572025241.48</v>
      </c>
      <c r="M45" s="162">
        <f t="shared" si="3"/>
        <v>4282611364.2000008</v>
      </c>
      <c r="N45" s="162">
        <f t="shared" si="30"/>
        <v>16500050377</v>
      </c>
      <c r="O45" s="162">
        <f t="shared" si="4"/>
        <v>645413771.31999969</v>
      </c>
      <c r="P45" s="162">
        <f t="shared" si="5"/>
        <v>7585203924</v>
      </c>
      <c r="Q45" s="162">
        <f t="shared" si="6"/>
        <v>11572025241.48</v>
      </c>
      <c r="S45" s="162">
        <f t="shared" ref="S45:T45" si="31">+S46+S47+S48+S49+S50+S51+S52+S55</f>
        <v>14150333601.68</v>
      </c>
      <c r="T45" s="162">
        <f t="shared" si="31"/>
        <v>-6576506799.6800003</v>
      </c>
      <c r="V45" s="149">
        <v>7585203924</v>
      </c>
      <c r="X45" s="167"/>
      <c r="Y45" s="168"/>
    </row>
    <row r="46" spans="1:25" x14ac:dyDescent="0.25">
      <c r="A46" s="163">
        <v>2112111</v>
      </c>
      <c r="B46" s="163" t="s">
        <v>510</v>
      </c>
      <c r="C46" s="165">
        <v>20052276642</v>
      </c>
      <c r="D46" s="165">
        <v>0</v>
      </c>
      <c r="E46" s="165">
        <v>365000000</v>
      </c>
      <c r="F46" s="165">
        <v>1771870902</v>
      </c>
      <c r="G46" s="165">
        <f t="shared" si="17"/>
        <v>21459147544</v>
      </c>
      <c r="H46" s="165">
        <v>718306742</v>
      </c>
      <c r="I46" s="165">
        <v>13979047369.68</v>
      </c>
      <c r="J46" s="165">
        <f t="shared" si="2"/>
        <v>7480100174.3199997</v>
      </c>
      <c r="K46" s="165">
        <v>1176204735</v>
      </c>
      <c r="L46" s="165">
        <v>10575386933.48</v>
      </c>
      <c r="M46" s="165">
        <f t="shared" si="3"/>
        <v>3403660436.2000008</v>
      </c>
      <c r="N46" s="165">
        <v>14623655249</v>
      </c>
      <c r="O46" s="165">
        <f t="shared" si="4"/>
        <v>644607879.31999969</v>
      </c>
      <c r="P46" s="165">
        <f t="shared" si="5"/>
        <v>6835492295</v>
      </c>
      <c r="Q46" s="165">
        <f t="shared" si="6"/>
        <v>10575386933.48</v>
      </c>
      <c r="S46" s="150">
        <f t="shared" ref="S46:S51" si="32">+I46</f>
        <v>13979047369.68</v>
      </c>
      <c r="T46" s="150">
        <f t="shared" ref="T46:T51" si="33">+P46-S46</f>
        <v>-7143555074.6800003</v>
      </c>
      <c r="V46" s="149">
        <v>6835492295</v>
      </c>
      <c r="X46" s="167"/>
      <c r="Y46" s="168"/>
    </row>
    <row r="47" spans="1:25" x14ac:dyDescent="0.25">
      <c r="A47" s="163">
        <v>2112112</v>
      </c>
      <c r="B47" s="163" t="s">
        <v>511</v>
      </c>
      <c r="C47" s="165">
        <v>137214482</v>
      </c>
      <c r="D47" s="165">
        <v>0</v>
      </c>
      <c r="E47" s="165">
        <v>0</v>
      </c>
      <c r="F47" s="165">
        <v>0</v>
      </c>
      <c r="G47" s="165">
        <f t="shared" si="17"/>
        <v>137214482</v>
      </c>
      <c r="H47" s="165">
        <v>0</v>
      </c>
      <c r="I47" s="165">
        <v>22407125</v>
      </c>
      <c r="J47" s="165">
        <f t="shared" si="2"/>
        <v>114807357</v>
      </c>
      <c r="K47" s="165">
        <v>0</v>
      </c>
      <c r="L47" s="165">
        <v>22407125</v>
      </c>
      <c r="M47" s="165">
        <f t="shared" si="3"/>
        <v>0</v>
      </c>
      <c r="N47" s="165">
        <v>22407125</v>
      </c>
      <c r="O47" s="165">
        <f t="shared" si="4"/>
        <v>0</v>
      </c>
      <c r="P47" s="165">
        <f t="shared" si="5"/>
        <v>114807357</v>
      </c>
      <c r="Q47" s="165">
        <f t="shared" si="6"/>
        <v>22407125</v>
      </c>
      <c r="S47" s="150">
        <f t="shared" si="32"/>
        <v>22407125</v>
      </c>
      <c r="T47" s="150">
        <f t="shared" si="33"/>
        <v>92400232</v>
      </c>
      <c r="V47" s="149">
        <v>114807357</v>
      </c>
      <c r="X47" s="167"/>
      <c r="Y47" s="168"/>
    </row>
    <row r="48" spans="1:25" x14ac:dyDescent="0.25">
      <c r="A48" s="163">
        <v>2112114</v>
      </c>
      <c r="B48" s="163" t="s">
        <v>513</v>
      </c>
      <c r="C48" s="165">
        <v>419208140</v>
      </c>
      <c r="D48" s="165">
        <v>0</v>
      </c>
      <c r="E48" s="165">
        <v>0</v>
      </c>
      <c r="F48" s="165">
        <v>0</v>
      </c>
      <c r="G48" s="165">
        <f t="shared" si="17"/>
        <v>419208140</v>
      </c>
      <c r="H48" s="165">
        <v>0</v>
      </c>
      <c r="I48" s="165">
        <v>6880256</v>
      </c>
      <c r="J48" s="165">
        <f t="shared" si="2"/>
        <v>412327884</v>
      </c>
      <c r="K48" s="165">
        <v>0</v>
      </c>
      <c r="L48" s="165">
        <v>30846</v>
      </c>
      <c r="M48" s="165">
        <f t="shared" si="3"/>
        <v>6849410</v>
      </c>
      <c r="N48" s="165">
        <v>6880256</v>
      </c>
      <c r="O48" s="165">
        <f t="shared" si="4"/>
        <v>0</v>
      </c>
      <c r="P48" s="165">
        <f t="shared" si="5"/>
        <v>412327884</v>
      </c>
      <c r="Q48" s="165">
        <f t="shared" si="6"/>
        <v>30846</v>
      </c>
      <c r="S48" s="150">
        <f t="shared" si="32"/>
        <v>6880256</v>
      </c>
      <c r="T48" s="150">
        <f t="shared" si="33"/>
        <v>405447628</v>
      </c>
      <c r="V48" s="149">
        <v>412327884</v>
      </c>
      <c r="X48" s="167"/>
      <c r="Y48" s="168"/>
    </row>
    <row r="49" spans="1:25" x14ac:dyDescent="0.25">
      <c r="A49" s="163">
        <v>2112115</v>
      </c>
      <c r="B49" s="163" t="s">
        <v>514</v>
      </c>
      <c r="C49" s="165">
        <v>60763988</v>
      </c>
      <c r="D49" s="165">
        <v>0</v>
      </c>
      <c r="E49" s="165">
        <v>0</v>
      </c>
      <c r="F49" s="165">
        <v>0</v>
      </c>
      <c r="G49" s="165">
        <f t="shared" si="17"/>
        <v>60763988</v>
      </c>
      <c r="H49" s="165">
        <v>0</v>
      </c>
      <c r="I49" s="165">
        <v>9922759</v>
      </c>
      <c r="J49" s="165">
        <f t="shared" si="2"/>
        <v>50841229</v>
      </c>
      <c r="K49" s="165">
        <v>0</v>
      </c>
      <c r="L49" s="165">
        <v>47998</v>
      </c>
      <c r="M49" s="165">
        <f t="shared" si="3"/>
        <v>9874761</v>
      </c>
      <c r="N49" s="165">
        <v>9922759</v>
      </c>
      <c r="O49" s="165">
        <f t="shared" si="4"/>
        <v>0</v>
      </c>
      <c r="P49" s="165">
        <f t="shared" si="5"/>
        <v>50841229</v>
      </c>
      <c r="Q49" s="165">
        <f t="shared" si="6"/>
        <v>47998</v>
      </c>
      <c r="S49" s="150">
        <f t="shared" si="32"/>
        <v>9922759</v>
      </c>
      <c r="T49" s="150">
        <f t="shared" si="33"/>
        <v>40918470</v>
      </c>
      <c r="V49" s="149">
        <v>50841229</v>
      </c>
      <c r="X49" s="167"/>
      <c r="Y49" s="168"/>
    </row>
    <row r="50" spans="1:25" x14ac:dyDescent="0.25">
      <c r="A50" s="163">
        <v>2112116</v>
      </c>
      <c r="B50" s="163" t="s">
        <v>515</v>
      </c>
      <c r="C50" s="165">
        <v>146760056</v>
      </c>
      <c r="D50" s="165">
        <v>0</v>
      </c>
      <c r="E50" s="165">
        <v>0</v>
      </c>
      <c r="F50" s="165">
        <v>0</v>
      </c>
      <c r="G50" s="165">
        <f t="shared" si="17"/>
        <v>146760056</v>
      </c>
      <c r="H50" s="165">
        <v>17930552</v>
      </c>
      <c r="I50" s="165">
        <v>116674514</v>
      </c>
      <c r="J50" s="165">
        <f t="shared" si="2"/>
        <v>30085542</v>
      </c>
      <c r="K50" s="165">
        <v>17930552</v>
      </c>
      <c r="L50" s="165">
        <v>116674514</v>
      </c>
      <c r="M50" s="165">
        <f t="shared" si="3"/>
        <v>0</v>
      </c>
      <c r="N50" s="165">
        <v>116674514</v>
      </c>
      <c r="O50" s="165">
        <f t="shared" si="4"/>
        <v>0</v>
      </c>
      <c r="P50" s="165">
        <f t="shared" si="5"/>
        <v>30085542</v>
      </c>
      <c r="Q50" s="165">
        <f t="shared" si="6"/>
        <v>116674514</v>
      </c>
      <c r="S50" s="150">
        <f t="shared" si="32"/>
        <v>116674514</v>
      </c>
      <c r="T50" s="150">
        <f t="shared" si="33"/>
        <v>-86588972</v>
      </c>
      <c r="V50" s="149">
        <v>30085542</v>
      </c>
      <c r="X50" s="167"/>
      <c r="Y50" s="168"/>
    </row>
    <row r="51" spans="1:25" x14ac:dyDescent="0.25">
      <c r="A51" s="163">
        <v>2112117</v>
      </c>
      <c r="B51" s="163" t="s">
        <v>516</v>
      </c>
      <c r="C51" s="165">
        <v>80449599</v>
      </c>
      <c r="D51" s="165">
        <v>0</v>
      </c>
      <c r="E51" s="165">
        <v>0</v>
      </c>
      <c r="F51" s="165">
        <v>0</v>
      </c>
      <c r="G51" s="165">
        <f t="shared" si="17"/>
        <v>80449599</v>
      </c>
      <c r="H51" s="165">
        <v>0</v>
      </c>
      <c r="I51" s="165">
        <v>13137420</v>
      </c>
      <c r="J51" s="165">
        <f t="shared" si="2"/>
        <v>67312179</v>
      </c>
      <c r="K51" s="165">
        <v>0</v>
      </c>
      <c r="L51" s="165">
        <v>13137420</v>
      </c>
      <c r="M51" s="165">
        <f t="shared" si="3"/>
        <v>0</v>
      </c>
      <c r="N51" s="165">
        <v>13137420</v>
      </c>
      <c r="O51" s="165">
        <f t="shared" si="4"/>
        <v>0</v>
      </c>
      <c r="P51" s="165">
        <f t="shared" si="5"/>
        <v>67312179</v>
      </c>
      <c r="Q51" s="165">
        <f t="shared" si="6"/>
        <v>13137420</v>
      </c>
      <c r="S51" s="150">
        <f t="shared" si="32"/>
        <v>13137420</v>
      </c>
      <c r="T51" s="150">
        <f t="shared" si="33"/>
        <v>54174759</v>
      </c>
      <c r="V51" s="149">
        <v>67312179</v>
      </c>
      <c r="X51" s="167"/>
      <c r="Y51" s="168"/>
    </row>
    <row r="52" spans="1:25" s="100" customFormat="1" x14ac:dyDescent="0.25">
      <c r="A52" s="160">
        <v>2112118</v>
      </c>
      <c r="B52" s="160" t="s">
        <v>12</v>
      </c>
      <c r="C52" s="162">
        <f>+C53+C54</f>
        <v>1716486018</v>
      </c>
      <c r="D52" s="162">
        <f t="shared" ref="D52:N52" si="34">+D53+D54</f>
        <v>0</v>
      </c>
      <c r="E52" s="162">
        <f t="shared" si="34"/>
        <v>0</v>
      </c>
      <c r="F52" s="162">
        <f t="shared" si="34"/>
        <v>0</v>
      </c>
      <c r="G52" s="162">
        <f t="shared" si="34"/>
        <v>1716486018</v>
      </c>
      <c r="H52" s="162">
        <f t="shared" si="34"/>
        <v>0</v>
      </c>
      <c r="I52" s="162">
        <f t="shared" si="34"/>
        <v>1704303004</v>
      </c>
      <c r="J52" s="162">
        <f t="shared" si="2"/>
        <v>12183014</v>
      </c>
      <c r="K52" s="162">
        <f t="shared" si="34"/>
        <v>0</v>
      </c>
      <c r="L52" s="162">
        <f t="shared" si="34"/>
        <v>842076247</v>
      </c>
      <c r="M52" s="162">
        <f t="shared" si="3"/>
        <v>862226757</v>
      </c>
      <c r="N52" s="162">
        <f t="shared" si="34"/>
        <v>1705108896</v>
      </c>
      <c r="O52" s="162">
        <f t="shared" si="4"/>
        <v>805892</v>
      </c>
      <c r="P52" s="162">
        <f t="shared" si="5"/>
        <v>11377122</v>
      </c>
      <c r="Q52" s="162">
        <f t="shared" si="6"/>
        <v>842076247</v>
      </c>
      <c r="V52" s="149">
        <v>11377122</v>
      </c>
      <c r="X52" s="167"/>
      <c r="Y52" s="168"/>
    </row>
    <row r="53" spans="1:25" x14ac:dyDescent="0.25">
      <c r="A53" s="163">
        <v>21121181</v>
      </c>
      <c r="B53" s="164" t="s">
        <v>517</v>
      </c>
      <c r="C53" s="165">
        <v>740067090</v>
      </c>
      <c r="D53" s="165">
        <v>0</v>
      </c>
      <c r="E53" s="165">
        <v>0</v>
      </c>
      <c r="F53" s="165">
        <v>0</v>
      </c>
      <c r="G53" s="165">
        <f t="shared" si="17"/>
        <v>740067090</v>
      </c>
      <c r="H53" s="165">
        <v>0</v>
      </c>
      <c r="I53" s="165">
        <v>740067090</v>
      </c>
      <c r="J53" s="165">
        <f t="shared" si="2"/>
        <v>0</v>
      </c>
      <c r="K53" s="165">
        <v>0</v>
      </c>
      <c r="L53" s="165">
        <v>371634604.5</v>
      </c>
      <c r="M53" s="165">
        <f t="shared" si="3"/>
        <v>368432485.5</v>
      </c>
      <c r="N53" s="165">
        <v>740067090</v>
      </c>
      <c r="O53" s="165">
        <f t="shared" si="4"/>
        <v>0</v>
      </c>
      <c r="P53" s="165">
        <f t="shared" si="5"/>
        <v>0</v>
      </c>
      <c r="Q53" s="165">
        <f t="shared" si="6"/>
        <v>371634604.5</v>
      </c>
      <c r="S53" s="150">
        <f>+I53</f>
        <v>740067090</v>
      </c>
      <c r="T53" s="150">
        <f>+P53-S53</f>
        <v>-740067090</v>
      </c>
      <c r="V53" s="149">
        <v>0</v>
      </c>
      <c r="X53" s="167"/>
      <c r="Y53" s="168"/>
    </row>
    <row r="54" spans="1:25" x14ac:dyDescent="0.25">
      <c r="A54" s="163">
        <v>21121182</v>
      </c>
      <c r="B54" s="164" t="s">
        <v>518</v>
      </c>
      <c r="C54" s="165">
        <v>976418928</v>
      </c>
      <c r="D54" s="165">
        <v>0</v>
      </c>
      <c r="E54" s="165">
        <v>0</v>
      </c>
      <c r="F54" s="165">
        <v>0</v>
      </c>
      <c r="G54" s="165">
        <f t="shared" si="17"/>
        <v>976418928</v>
      </c>
      <c r="H54" s="165">
        <v>0</v>
      </c>
      <c r="I54" s="165">
        <v>964235914</v>
      </c>
      <c r="J54" s="165">
        <f t="shared" si="2"/>
        <v>12183014</v>
      </c>
      <c r="K54" s="165">
        <v>0</v>
      </c>
      <c r="L54" s="165">
        <v>470441642.5</v>
      </c>
      <c r="M54" s="165">
        <f t="shared" si="3"/>
        <v>493794271.5</v>
      </c>
      <c r="N54" s="165">
        <v>965041806</v>
      </c>
      <c r="O54" s="165">
        <f t="shared" si="4"/>
        <v>805892</v>
      </c>
      <c r="P54" s="165">
        <f t="shared" si="5"/>
        <v>11377122</v>
      </c>
      <c r="Q54" s="165">
        <f t="shared" si="6"/>
        <v>470441642.5</v>
      </c>
      <c r="S54" s="150">
        <f>+I54</f>
        <v>964235914</v>
      </c>
      <c r="T54" s="150">
        <f>+P54-S54</f>
        <v>-952858792</v>
      </c>
      <c r="V54" s="149">
        <v>11377122</v>
      </c>
      <c r="X54" s="167"/>
      <c r="Y54" s="168"/>
    </row>
    <row r="55" spans="1:25" x14ac:dyDescent="0.25">
      <c r="A55" s="163">
        <v>2112119</v>
      </c>
      <c r="B55" s="164" t="s">
        <v>531</v>
      </c>
      <c r="C55" s="165">
        <v>65224474</v>
      </c>
      <c r="D55" s="165">
        <v>0</v>
      </c>
      <c r="E55" s="165">
        <v>0</v>
      </c>
      <c r="F55" s="165">
        <v>0</v>
      </c>
      <c r="G55" s="165">
        <f t="shared" si="17"/>
        <v>65224474</v>
      </c>
      <c r="H55" s="165">
        <v>0</v>
      </c>
      <c r="I55" s="165">
        <v>2264158</v>
      </c>
      <c r="J55" s="165">
        <f t="shared" si="2"/>
        <v>62960316</v>
      </c>
      <c r="K55" s="165">
        <v>0</v>
      </c>
      <c r="L55" s="165">
        <v>2264158</v>
      </c>
      <c r="M55" s="165">
        <f t="shared" si="3"/>
        <v>0</v>
      </c>
      <c r="N55" s="165">
        <v>2264158</v>
      </c>
      <c r="O55" s="165">
        <f t="shared" si="4"/>
        <v>0</v>
      </c>
      <c r="P55" s="165">
        <f t="shared" si="5"/>
        <v>62960316</v>
      </c>
      <c r="Q55" s="165">
        <f t="shared" si="6"/>
        <v>2264158</v>
      </c>
      <c r="S55" s="150">
        <f>+I55</f>
        <v>2264158</v>
      </c>
      <c r="T55" s="150">
        <f>+P55-S55</f>
        <v>60696158</v>
      </c>
      <c r="V55" s="149">
        <v>62960316</v>
      </c>
      <c r="X55" s="167"/>
      <c r="Y55" s="168"/>
    </row>
    <row r="56" spans="1:25" s="100" customFormat="1" x14ac:dyDescent="0.25">
      <c r="A56" s="160">
        <v>21122</v>
      </c>
      <c r="B56" s="161" t="s">
        <v>14</v>
      </c>
      <c r="C56" s="162">
        <f>SUM(C57:C62)</f>
        <v>4794961154</v>
      </c>
      <c r="D56" s="162">
        <f t="shared" ref="D56:N56" si="35">SUM(D57:D62)</f>
        <v>0</v>
      </c>
      <c r="E56" s="162">
        <f t="shared" si="35"/>
        <v>0</v>
      </c>
      <c r="F56" s="162">
        <f t="shared" si="35"/>
        <v>0</v>
      </c>
      <c r="G56" s="162">
        <f t="shared" si="35"/>
        <v>4794961154</v>
      </c>
      <c r="H56" s="162">
        <f t="shared" si="35"/>
        <v>236158597</v>
      </c>
      <c r="I56" s="162">
        <f t="shared" si="35"/>
        <v>3035050860</v>
      </c>
      <c r="J56" s="162">
        <f t="shared" si="2"/>
        <v>1759910294</v>
      </c>
      <c r="K56" s="162">
        <f t="shared" si="35"/>
        <v>72333059</v>
      </c>
      <c r="L56" s="162">
        <f t="shared" si="35"/>
        <v>1592352536</v>
      </c>
      <c r="M56" s="162">
        <f t="shared" si="3"/>
        <v>1442698324</v>
      </c>
      <c r="N56" s="162">
        <f t="shared" si="35"/>
        <v>3063991268</v>
      </c>
      <c r="O56" s="162">
        <f t="shared" si="4"/>
        <v>28940408</v>
      </c>
      <c r="P56" s="162">
        <f t="shared" si="5"/>
        <v>1730969886</v>
      </c>
      <c r="Q56" s="162">
        <f t="shared" si="6"/>
        <v>1592352536</v>
      </c>
      <c r="V56" s="149">
        <v>1730969886</v>
      </c>
      <c r="X56" s="167"/>
      <c r="Y56" s="168"/>
    </row>
    <row r="57" spans="1:25" x14ac:dyDescent="0.25">
      <c r="A57" s="163">
        <v>211221</v>
      </c>
      <c r="B57" s="164" t="s">
        <v>532</v>
      </c>
      <c r="C57" s="165">
        <v>1515268362</v>
      </c>
      <c r="D57" s="165">
        <v>0</v>
      </c>
      <c r="E57" s="165">
        <v>0</v>
      </c>
      <c r="F57" s="165">
        <v>0</v>
      </c>
      <c r="G57" s="165">
        <f t="shared" si="17"/>
        <v>1515268362</v>
      </c>
      <c r="H57" s="165">
        <v>112764894</v>
      </c>
      <c r="I57" s="165">
        <v>1161698603</v>
      </c>
      <c r="J57" s="165">
        <f t="shared" si="2"/>
        <v>353569759</v>
      </c>
      <c r="K57" s="165">
        <v>35000000</v>
      </c>
      <c r="L57" s="165">
        <v>678560340</v>
      </c>
      <c r="M57" s="165">
        <f t="shared" si="3"/>
        <v>483138263</v>
      </c>
      <c r="N57" s="165">
        <v>1163116051</v>
      </c>
      <c r="O57" s="165">
        <f t="shared" si="4"/>
        <v>1417448</v>
      </c>
      <c r="P57" s="165">
        <f t="shared" si="5"/>
        <v>352152311</v>
      </c>
      <c r="Q57" s="165">
        <f t="shared" si="6"/>
        <v>678560340</v>
      </c>
      <c r="S57" s="150">
        <f t="shared" ref="S57:S62" si="36">+I57</f>
        <v>1161698603</v>
      </c>
      <c r="T57" s="150">
        <f t="shared" ref="T57:T62" si="37">+P57-S57</f>
        <v>-809546292</v>
      </c>
      <c r="V57" s="149">
        <v>352152311</v>
      </c>
      <c r="X57" s="167"/>
      <c r="Y57" s="168"/>
    </row>
    <row r="58" spans="1:25" x14ac:dyDescent="0.25">
      <c r="A58" s="163">
        <v>211222</v>
      </c>
      <c r="B58" s="164" t="s">
        <v>533</v>
      </c>
      <c r="C58" s="165">
        <v>1129786699</v>
      </c>
      <c r="D58" s="165">
        <v>0</v>
      </c>
      <c r="E58" s="165">
        <v>0</v>
      </c>
      <c r="F58" s="165">
        <v>0</v>
      </c>
      <c r="G58" s="165">
        <f t="shared" si="17"/>
        <v>1129786699</v>
      </c>
      <c r="H58" s="165">
        <v>112764893</v>
      </c>
      <c r="I58" s="165">
        <v>978525550</v>
      </c>
      <c r="J58" s="165">
        <f t="shared" si="2"/>
        <v>151261149</v>
      </c>
      <c r="K58" s="165">
        <v>32000000</v>
      </c>
      <c r="L58" s="165">
        <v>650154032</v>
      </c>
      <c r="M58" s="165">
        <f t="shared" si="3"/>
        <v>328371518</v>
      </c>
      <c r="N58" s="165">
        <v>1005349304</v>
      </c>
      <c r="O58" s="165">
        <f t="shared" si="4"/>
        <v>26823754</v>
      </c>
      <c r="P58" s="165">
        <f t="shared" si="5"/>
        <v>124437395</v>
      </c>
      <c r="Q58" s="165">
        <f t="shared" si="6"/>
        <v>650154032</v>
      </c>
      <c r="S58" s="150">
        <f t="shared" si="36"/>
        <v>978525550</v>
      </c>
      <c r="T58" s="150">
        <f t="shared" si="37"/>
        <v>-854088155</v>
      </c>
      <c r="V58" s="149">
        <v>124437395</v>
      </c>
      <c r="X58" s="167"/>
      <c r="Y58" s="168"/>
    </row>
    <row r="59" spans="1:25" x14ac:dyDescent="0.25">
      <c r="A59" s="163">
        <v>211223</v>
      </c>
      <c r="B59" s="164" t="s">
        <v>525</v>
      </c>
      <c r="C59" s="165">
        <v>1018047988</v>
      </c>
      <c r="D59" s="165">
        <v>0</v>
      </c>
      <c r="E59" s="165">
        <v>0</v>
      </c>
      <c r="F59" s="165">
        <v>0</v>
      </c>
      <c r="G59" s="165">
        <f t="shared" si="17"/>
        <v>1018047988</v>
      </c>
      <c r="H59" s="165">
        <v>5333059</v>
      </c>
      <c r="I59" s="165">
        <v>520051681</v>
      </c>
      <c r="J59" s="165">
        <f t="shared" si="2"/>
        <v>497996307</v>
      </c>
      <c r="K59" s="165">
        <v>5333059</v>
      </c>
      <c r="L59" s="165">
        <v>204716069</v>
      </c>
      <c r="M59" s="165">
        <f t="shared" si="3"/>
        <v>315335612</v>
      </c>
      <c r="N59" s="165">
        <v>520750887</v>
      </c>
      <c r="O59" s="165">
        <f t="shared" si="4"/>
        <v>699206</v>
      </c>
      <c r="P59" s="165">
        <f t="shared" si="5"/>
        <v>497297101</v>
      </c>
      <c r="Q59" s="165">
        <f t="shared" si="6"/>
        <v>204716069</v>
      </c>
      <c r="S59" s="150">
        <f t="shared" si="36"/>
        <v>520051681</v>
      </c>
      <c r="T59" s="150">
        <f t="shared" si="37"/>
        <v>-22754580</v>
      </c>
      <c r="V59" s="149">
        <v>497297101</v>
      </c>
      <c r="X59" s="167"/>
      <c r="Y59" s="168"/>
    </row>
    <row r="60" spans="1:25" x14ac:dyDescent="0.25">
      <c r="A60" s="163">
        <v>211224</v>
      </c>
      <c r="B60" s="164" t="s">
        <v>534</v>
      </c>
      <c r="C60" s="165">
        <v>502767364</v>
      </c>
      <c r="D60" s="165">
        <v>0</v>
      </c>
      <c r="E60" s="165">
        <v>0</v>
      </c>
      <c r="F60" s="165">
        <v>0</v>
      </c>
      <c r="G60" s="165">
        <f t="shared" si="17"/>
        <v>502767364</v>
      </c>
      <c r="H60" s="165">
        <v>0</v>
      </c>
      <c r="I60" s="165">
        <v>226179154</v>
      </c>
      <c r="J60" s="165">
        <f t="shared" si="2"/>
        <v>276588210</v>
      </c>
      <c r="K60" s="165">
        <v>0</v>
      </c>
      <c r="L60" s="165">
        <v>58922095</v>
      </c>
      <c r="M60" s="165">
        <f t="shared" si="3"/>
        <v>167257059</v>
      </c>
      <c r="N60" s="165">
        <v>226179154</v>
      </c>
      <c r="O60" s="165">
        <f t="shared" si="4"/>
        <v>0</v>
      </c>
      <c r="P60" s="165">
        <f t="shared" si="5"/>
        <v>276588210</v>
      </c>
      <c r="Q60" s="165">
        <f t="shared" si="6"/>
        <v>58922095</v>
      </c>
      <c r="S60" s="150">
        <f t="shared" si="36"/>
        <v>226179154</v>
      </c>
      <c r="T60" s="150">
        <f t="shared" si="37"/>
        <v>50409056</v>
      </c>
      <c r="V60" s="149">
        <v>276588210</v>
      </c>
      <c r="X60" s="167"/>
      <c r="Y60" s="168"/>
    </row>
    <row r="61" spans="1:25" ht="30" x14ac:dyDescent="0.25">
      <c r="A61" s="163">
        <v>211225</v>
      </c>
      <c r="B61" s="164" t="s">
        <v>527</v>
      </c>
      <c r="C61" s="165">
        <v>252015215</v>
      </c>
      <c r="D61" s="165">
        <v>0</v>
      </c>
      <c r="E61" s="165">
        <v>0</v>
      </c>
      <c r="F61" s="165">
        <v>0</v>
      </c>
      <c r="G61" s="165">
        <f t="shared" si="17"/>
        <v>252015215</v>
      </c>
      <c r="H61" s="165">
        <v>5295751</v>
      </c>
      <c r="I61" s="165">
        <v>91461506</v>
      </c>
      <c r="J61" s="165">
        <f t="shared" si="2"/>
        <v>160553709</v>
      </c>
      <c r="K61" s="165">
        <v>0</v>
      </c>
      <c r="L61" s="165">
        <v>0</v>
      </c>
      <c r="M61" s="165">
        <f t="shared" si="3"/>
        <v>91461506</v>
      </c>
      <c r="N61" s="165">
        <v>91461506</v>
      </c>
      <c r="O61" s="165">
        <f t="shared" si="4"/>
        <v>0</v>
      </c>
      <c r="P61" s="165">
        <f t="shared" si="5"/>
        <v>160553709</v>
      </c>
      <c r="Q61" s="165">
        <f t="shared" si="6"/>
        <v>0</v>
      </c>
      <c r="S61" s="150">
        <f t="shared" si="36"/>
        <v>91461506</v>
      </c>
      <c r="T61" s="150">
        <f t="shared" si="37"/>
        <v>69092203</v>
      </c>
      <c r="V61" s="149">
        <v>160553709</v>
      </c>
      <c r="X61" s="167"/>
      <c r="Y61" s="168"/>
    </row>
    <row r="62" spans="1:25" x14ac:dyDescent="0.25">
      <c r="A62" s="163">
        <v>211226</v>
      </c>
      <c r="B62" s="164" t="s">
        <v>633</v>
      </c>
      <c r="C62" s="165">
        <v>377075526</v>
      </c>
      <c r="D62" s="165">
        <v>0</v>
      </c>
      <c r="E62" s="165">
        <v>0</v>
      </c>
      <c r="F62" s="165">
        <v>0</v>
      </c>
      <c r="G62" s="165">
        <f t="shared" si="17"/>
        <v>377075526</v>
      </c>
      <c r="H62" s="165">
        <v>0</v>
      </c>
      <c r="I62" s="165">
        <v>57134366</v>
      </c>
      <c r="J62" s="165">
        <f t="shared" si="2"/>
        <v>319941160</v>
      </c>
      <c r="K62" s="165">
        <v>0</v>
      </c>
      <c r="L62" s="165">
        <v>0</v>
      </c>
      <c r="M62" s="165">
        <f t="shared" si="3"/>
        <v>57134366</v>
      </c>
      <c r="N62" s="165">
        <v>57134366</v>
      </c>
      <c r="O62" s="165">
        <f t="shared" si="4"/>
        <v>0</v>
      </c>
      <c r="P62" s="165">
        <f t="shared" si="5"/>
        <v>319941160</v>
      </c>
      <c r="Q62" s="165">
        <f t="shared" si="6"/>
        <v>0</v>
      </c>
      <c r="S62" s="150">
        <f t="shared" si="36"/>
        <v>57134366</v>
      </c>
      <c r="T62" s="150">
        <f t="shared" si="37"/>
        <v>262806794</v>
      </c>
      <c r="V62" s="149">
        <v>319941160</v>
      </c>
      <c r="X62" s="167"/>
      <c r="Y62" s="168"/>
    </row>
    <row r="63" spans="1:25" s="100" customFormat="1" x14ac:dyDescent="0.25">
      <c r="A63" s="151">
        <v>212</v>
      </c>
      <c r="B63" s="152" t="s">
        <v>21</v>
      </c>
      <c r="C63" s="153">
        <f>+C64+C108</f>
        <v>8555827773</v>
      </c>
      <c r="D63" s="153">
        <f t="shared" ref="D63:N63" si="38">+D64+D108</f>
        <v>2997403991</v>
      </c>
      <c r="E63" s="153">
        <f t="shared" si="38"/>
        <v>589712351</v>
      </c>
      <c r="F63" s="153">
        <f t="shared" si="38"/>
        <v>1926138422</v>
      </c>
      <c r="G63" s="153">
        <f t="shared" si="38"/>
        <v>12889657835</v>
      </c>
      <c r="H63" s="153">
        <f t="shared" si="38"/>
        <v>588263306.01999998</v>
      </c>
      <c r="I63" s="153">
        <f t="shared" si="38"/>
        <v>7697303872.9200001</v>
      </c>
      <c r="J63" s="153">
        <f t="shared" si="2"/>
        <v>5192353962.0799999</v>
      </c>
      <c r="K63" s="153">
        <f t="shared" si="38"/>
        <v>683887655.18999994</v>
      </c>
      <c r="L63" s="153">
        <f t="shared" si="38"/>
        <v>4474349068.4099998</v>
      </c>
      <c r="M63" s="153">
        <f t="shared" si="3"/>
        <v>3222954804.5100002</v>
      </c>
      <c r="N63" s="153">
        <f t="shared" si="38"/>
        <v>9461827116.9099998</v>
      </c>
      <c r="O63" s="153">
        <f t="shared" si="4"/>
        <v>1764523243.9899998</v>
      </c>
      <c r="P63" s="153">
        <f t="shared" si="5"/>
        <v>3427830718.0900002</v>
      </c>
      <c r="Q63" s="153">
        <f t="shared" si="6"/>
        <v>4474349068.4099998</v>
      </c>
      <c r="V63" s="149">
        <v>3427830718.0900002</v>
      </c>
      <c r="X63" s="167"/>
      <c r="Y63" s="168"/>
    </row>
    <row r="64" spans="1:25" s="100" customFormat="1" x14ac:dyDescent="0.25">
      <c r="A64" s="151">
        <v>2121</v>
      </c>
      <c r="B64" s="152" t="s">
        <v>22</v>
      </c>
      <c r="C64" s="153">
        <f>+C65+C106</f>
        <v>351990348</v>
      </c>
      <c r="D64" s="153">
        <f t="shared" ref="D64:N64" si="39">+D65+D106</f>
        <v>764690000</v>
      </c>
      <c r="E64" s="153">
        <f t="shared" si="39"/>
        <v>20000000</v>
      </c>
      <c r="F64" s="153">
        <f t="shared" si="39"/>
        <v>521122658</v>
      </c>
      <c r="G64" s="153">
        <f t="shared" si="39"/>
        <v>1617803006</v>
      </c>
      <c r="H64" s="153">
        <f t="shared" si="39"/>
        <v>46977188</v>
      </c>
      <c r="I64" s="153">
        <f t="shared" si="39"/>
        <v>641855906</v>
      </c>
      <c r="J64" s="153">
        <f t="shared" si="2"/>
        <v>975947100</v>
      </c>
      <c r="K64" s="153">
        <f t="shared" si="39"/>
        <v>7299577</v>
      </c>
      <c r="L64" s="153">
        <f t="shared" si="39"/>
        <v>506321959</v>
      </c>
      <c r="M64" s="153">
        <f t="shared" si="3"/>
        <v>135533947</v>
      </c>
      <c r="N64" s="153">
        <f t="shared" si="39"/>
        <v>803716643</v>
      </c>
      <c r="O64" s="153">
        <f t="shared" si="4"/>
        <v>161860737</v>
      </c>
      <c r="P64" s="153">
        <f t="shared" si="5"/>
        <v>814086363</v>
      </c>
      <c r="Q64" s="153">
        <f t="shared" si="6"/>
        <v>506321959</v>
      </c>
      <c r="V64" s="149">
        <v>814086363</v>
      </c>
      <c r="X64" s="167"/>
      <c r="Y64" s="168"/>
    </row>
    <row r="65" spans="1:25" s="100" customFormat="1" x14ac:dyDescent="0.25">
      <c r="A65" s="157">
        <v>21211</v>
      </c>
      <c r="B65" s="158" t="s">
        <v>23</v>
      </c>
      <c r="C65" s="159">
        <f>+C66+C70+C95</f>
        <v>331990348</v>
      </c>
      <c r="D65" s="159">
        <f t="shared" ref="D65:N65" si="40">+D66+D70+D95</f>
        <v>764690000</v>
      </c>
      <c r="E65" s="159">
        <f t="shared" si="40"/>
        <v>0</v>
      </c>
      <c r="F65" s="159">
        <f t="shared" si="40"/>
        <v>521122658</v>
      </c>
      <c r="G65" s="159">
        <f t="shared" si="40"/>
        <v>1617803006</v>
      </c>
      <c r="H65" s="159">
        <f t="shared" si="40"/>
        <v>46977188</v>
      </c>
      <c r="I65" s="159">
        <f t="shared" si="40"/>
        <v>641855906</v>
      </c>
      <c r="J65" s="159">
        <f t="shared" si="2"/>
        <v>975947100</v>
      </c>
      <c r="K65" s="159">
        <f t="shared" si="40"/>
        <v>7299577</v>
      </c>
      <c r="L65" s="159">
        <f t="shared" si="40"/>
        <v>506321959</v>
      </c>
      <c r="M65" s="159">
        <f t="shared" si="3"/>
        <v>135533947</v>
      </c>
      <c r="N65" s="159">
        <f t="shared" si="40"/>
        <v>803716643</v>
      </c>
      <c r="O65" s="159">
        <f t="shared" si="4"/>
        <v>161860737</v>
      </c>
      <c r="P65" s="159">
        <f t="shared" si="5"/>
        <v>814086363</v>
      </c>
      <c r="Q65" s="159">
        <f t="shared" si="6"/>
        <v>506321959</v>
      </c>
      <c r="V65" s="149">
        <v>814086363</v>
      </c>
      <c r="X65" s="167"/>
      <c r="Y65" s="168"/>
    </row>
    <row r="66" spans="1:25" s="100" customFormat="1" x14ac:dyDescent="0.25">
      <c r="A66" s="157">
        <v>212111</v>
      </c>
      <c r="B66" s="158" t="s">
        <v>24</v>
      </c>
      <c r="C66" s="159">
        <f>+C67</f>
        <v>10000000</v>
      </c>
      <c r="D66" s="159">
        <f t="shared" ref="D66:N66" si="41">+D67</f>
        <v>0</v>
      </c>
      <c r="E66" s="159">
        <f t="shared" si="41"/>
        <v>0</v>
      </c>
      <c r="F66" s="159">
        <f t="shared" si="41"/>
        <v>0</v>
      </c>
      <c r="G66" s="159">
        <f t="shared" si="41"/>
        <v>10000000</v>
      </c>
      <c r="H66" s="159">
        <f t="shared" si="41"/>
        <v>0</v>
      </c>
      <c r="I66" s="159">
        <f t="shared" si="41"/>
        <v>0</v>
      </c>
      <c r="J66" s="159">
        <f t="shared" si="2"/>
        <v>10000000</v>
      </c>
      <c r="K66" s="159">
        <f t="shared" si="41"/>
        <v>0</v>
      </c>
      <c r="L66" s="159">
        <f t="shared" si="41"/>
        <v>0</v>
      </c>
      <c r="M66" s="159">
        <f t="shared" si="3"/>
        <v>0</v>
      </c>
      <c r="N66" s="159">
        <f t="shared" si="41"/>
        <v>0</v>
      </c>
      <c r="O66" s="159">
        <f t="shared" si="4"/>
        <v>0</v>
      </c>
      <c r="P66" s="159">
        <f t="shared" si="5"/>
        <v>10000000</v>
      </c>
      <c r="Q66" s="159">
        <f t="shared" si="6"/>
        <v>0</v>
      </c>
      <c r="V66" s="149">
        <v>10000000</v>
      </c>
      <c r="X66" s="167"/>
      <c r="Y66" s="168"/>
    </row>
    <row r="67" spans="1:25" s="100" customFormat="1" x14ac:dyDescent="0.25">
      <c r="A67" s="160">
        <v>2121113</v>
      </c>
      <c r="B67" s="161" t="s">
        <v>25</v>
      </c>
      <c r="C67" s="162">
        <f>+C68+C69</f>
        <v>10000000</v>
      </c>
      <c r="D67" s="162">
        <f t="shared" ref="D67:N67" si="42">+D68+D69</f>
        <v>0</v>
      </c>
      <c r="E67" s="162">
        <f t="shared" si="42"/>
        <v>0</v>
      </c>
      <c r="F67" s="162">
        <f t="shared" si="42"/>
        <v>0</v>
      </c>
      <c r="G67" s="162">
        <f t="shared" si="42"/>
        <v>10000000</v>
      </c>
      <c r="H67" s="162">
        <f t="shared" si="42"/>
        <v>0</v>
      </c>
      <c r="I67" s="162">
        <f t="shared" si="42"/>
        <v>0</v>
      </c>
      <c r="J67" s="162">
        <f t="shared" si="2"/>
        <v>10000000</v>
      </c>
      <c r="K67" s="162">
        <f t="shared" si="42"/>
        <v>0</v>
      </c>
      <c r="L67" s="162">
        <f t="shared" si="42"/>
        <v>0</v>
      </c>
      <c r="M67" s="162">
        <f t="shared" si="3"/>
        <v>0</v>
      </c>
      <c r="N67" s="162">
        <f t="shared" si="42"/>
        <v>0</v>
      </c>
      <c r="O67" s="162">
        <f t="shared" si="4"/>
        <v>0</v>
      </c>
      <c r="P67" s="162">
        <f t="shared" si="5"/>
        <v>10000000</v>
      </c>
      <c r="Q67" s="162">
        <f t="shared" si="6"/>
        <v>0</v>
      </c>
      <c r="V67" s="149">
        <v>10000000</v>
      </c>
      <c r="X67" s="167"/>
      <c r="Y67" s="168"/>
    </row>
    <row r="68" spans="1:25" ht="30" x14ac:dyDescent="0.25">
      <c r="A68" s="163">
        <v>212111313</v>
      </c>
      <c r="B68" s="164" t="s">
        <v>535</v>
      </c>
      <c r="C68" s="165">
        <v>5000000</v>
      </c>
      <c r="D68" s="165">
        <v>0</v>
      </c>
      <c r="E68" s="165">
        <v>0</v>
      </c>
      <c r="F68" s="165">
        <v>0</v>
      </c>
      <c r="G68" s="165">
        <f t="shared" si="17"/>
        <v>5000000</v>
      </c>
      <c r="H68" s="165">
        <v>0</v>
      </c>
      <c r="I68" s="165">
        <v>0</v>
      </c>
      <c r="J68" s="165">
        <f t="shared" si="2"/>
        <v>5000000</v>
      </c>
      <c r="K68" s="165">
        <v>0</v>
      </c>
      <c r="L68" s="165">
        <v>0</v>
      </c>
      <c r="M68" s="165">
        <f t="shared" si="3"/>
        <v>0</v>
      </c>
      <c r="N68" s="165">
        <v>0</v>
      </c>
      <c r="O68" s="165">
        <f t="shared" si="4"/>
        <v>0</v>
      </c>
      <c r="P68" s="165">
        <f t="shared" si="5"/>
        <v>5000000</v>
      </c>
      <c r="Q68" s="165">
        <f t="shared" si="6"/>
        <v>0</v>
      </c>
      <c r="V68" s="149">
        <v>5000000</v>
      </c>
      <c r="X68" s="167"/>
      <c r="Y68" s="168"/>
    </row>
    <row r="69" spans="1:25" x14ac:dyDescent="0.25">
      <c r="A69" s="163">
        <v>212111314</v>
      </c>
      <c r="B69" s="164" t="s">
        <v>536</v>
      </c>
      <c r="C69" s="165">
        <v>5000000</v>
      </c>
      <c r="D69" s="165">
        <v>0</v>
      </c>
      <c r="E69" s="165">
        <v>0</v>
      </c>
      <c r="F69" s="165">
        <v>0</v>
      </c>
      <c r="G69" s="165">
        <f t="shared" si="17"/>
        <v>5000000</v>
      </c>
      <c r="H69" s="165">
        <v>0</v>
      </c>
      <c r="I69" s="165">
        <v>0</v>
      </c>
      <c r="J69" s="165">
        <f t="shared" si="2"/>
        <v>5000000</v>
      </c>
      <c r="K69" s="165">
        <v>0</v>
      </c>
      <c r="L69" s="165">
        <v>0</v>
      </c>
      <c r="M69" s="165">
        <f t="shared" si="3"/>
        <v>0</v>
      </c>
      <c r="N69" s="165">
        <v>0</v>
      </c>
      <c r="O69" s="165">
        <f t="shared" si="4"/>
        <v>0</v>
      </c>
      <c r="P69" s="165">
        <f t="shared" si="5"/>
        <v>5000000</v>
      </c>
      <c r="Q69" s="165">
        <f t="shared" si="6"/>
        <v>0</v>
      </c>
      <c r="V69" s="149">
        <v>5000000</v>
      </c>
      <c r="X69" s="167"/>
      <c r="Y69" s="168"/>
    </row>
    <row r="70" spans="1:25" s="100" customFormat="1" x14ac:dyDescent="0.25">
      <c r="A70" s="157">
        <v>212113</v>
      </c>
      <c r="B70" s="158" t="s">
        <v>26</v>
      </c>
      <c r="C70" s="159">
        <f>+C71</f>
        <v>243800000</v>
      </c>
      <c r="D70" s="159">
        <f t="shared" ref="D70:N70" si="43">+D71</f>
        <v>329000000</v>
      </c>
      <c r="E70" s="159">
        <f t="shared" si="43"/>
        <v>0</v>
      </c>
      <c r="F70" s="159">
        <f t="shared" si="43"/>
        <v>496122658</v>
      </c>
      <c r="G70" s="159">
        <f t="shared" si="43"/>
        <v>1068922658</v>
      </c>
      <c r="H70" s="159">
        <f t="shared" si="43"/>
        <v>46977188</v>
      </c>
      <c r="I70" s="159">
        <f t="shared" si="43"/>
        <v>321910533</v>
      </c>
      <c r="J70" s="159">
        <f t="shared" si="2"/>
        <v>747012125</v>
      </c>
      <c r="K70" s="159">
        <f t="shared" si="43"/>
        <v>7299577</v>
      </c>
      <c r="L70" s="159">
        <f t="shared" si="43"/>
        <v>186376586</v>
      </c>
      <c r="M70" s="159">
        <f t="shared" si="3"/>
        <v>135533947</v>
      </c>
      <c r="N70" s="159">
        <f t="shared" si="43"/>
        <v>377719443</v>
      </c>
      <c r="O70" s="159">
        <f t="shared" si="4"/>
        <v>55808910</v>
      </c>
      <c r="P70" s="159">
        <f t="shared" si="5"/>
        <v>691203215</v>
      </c>
      <c r="Q70" s="159">
        <f t="shared" si="6"/>
        <v>186376586</v>
      </c>
      <c r="V70" s="149">
        <v>691203215</v>
      </c>
      <c r="X70" s="167"/>
      <c r="Y70" s="168"/>
    </row>
    <row r="71" spans="1:25" s="100" customFormat="1" x14ac:dyDescent="0.25">
      <c r="A71" s="157">
        <v>2121131</v>
      </c>
      <c r="B71" s="158" t="s">
        <v>27</v>
      </c>
      <c r="C71" s="159">
        <f>+C72+C74+C78+C81+C87+C91+C93</f>
        <v>243800000</v>
      </c>
      <c r="D71" s="159">
        <f t="shared" ref="D71:N71" si="44">+D72+D74+D78+D81+D87+D91+D93</f>
        <v>329000000</v>
      </c>
      <c r="E71" s="159">
        <f t="shared" si="44"/>
        <v>0</v>
      </c>
      <c r="F71" s="159">
        <f t="shared" si="44"/>
        <v>496122658</v>
      </c>
      <c r="G71" s="159">
        <f t="shared" si="44"/>
        <v>1068922658</v>
      </c>
      <c r="H71" s="159">
        <f t="shared" si="44"/>
        <v>46977188</v>
      </c>
      <c r="I71" s="159">
        <f t="shared" si="44"/>
        <v>321910533</v>
      </c>
      <c r="J71" s="159">
        <f t="shared" ref="J71:J134" si="45">+G71-I71</f>
        <v>747012125</v>
      </c>
      <c r="K71" s="159">
        <f t="shared" si="44"/>
        <v>7299577</v>
      </c>
      <c r="L71" s="159">
        <f t="shared" si="44"/>
        <v>186376586</v>
      </c>
      <c r="M71" s="159">
        <f t="shared" ref="M71:M134" si="46">+I71-L71</f>
        <v>135533947</v>
      </c>
      <c r="N71" s="159">
        <f t="shared" si="44"/>
        <v>377719443</v>
      </c>
      <c r="O71" s="159">
        <f t="shared" ref="O71:O134" si="47">+N71-I71</f>
        <v>55808910</v>
      </c>
      <c r="P71" s="159">
        <f t="shared" ref="P71:P134" si="48">+G71-N71</f>
        <v>691203215</v>
      </c>
      <c r="Q71" s="159">
        <f t="shared" ref="Q71:Q134" si="49">+L71</f>
        <v>186376586</v>
      </c>
      <c r="V71" s="149">
        <v>691203215</v>
      </c>
      <c r="X71" s="167"/>
      <c r="Y71" s="168"/>
    </row>
    <row r="72" spans="1:25" s="100" customFormat="1" x14ac:dyDescent="0.25">
      <c r="A72" s="160">
        <v>21211311</v>
      </c>
      <c r="B72" s="161" t="s">
        <v>28</v>
      </c>
      <c r="C72" s="162">
        <f>+C73</f>
        <v>20000000</v>
      </c>
      <c r="D72" s="162">
        <f t="shared" ref="D72:N72" si="50">+D73</f>
        <v>10000000</v>
      </c>
      <c r="E72" s="162">
        <f t="shared" si="50"/>
        <v>0</v>
      </c>
      <c r="F72" s="162">
        <f t="shared" si="50"/>
        <v>0</v>
      </c>
      <c r="G72" s="162">
        <f t="shared" si="50"/>
        <v>30000000</v>
      </c>
      <c r="H72" s="162">
        <f t="shared" si="50"/>
        <v>887356</v>
      </c>
      <c r="I72" s="162">
        <f t="shared" si="50"/>
        <v>9898477</v>
      </c>
      <c r="J72" s="162">
        <f t="shared" si="45"/>
        <v>20101523</v>
      </c>
      <c r="K72" s="162">
        <f t="shared" si="50"/>
        <v>332200</v>
      </c>
      <c r="L72" s="162">
        <f t="shared" si="50"/>
        <v>6787000</v>
      </c>
      <c r="M72" s="162">
        <f t="shared" si="46"/>
        <v>3111477</v>
      </c>
      <c r="N72" s="162">
        <f t="shared" si="50"/>
        <v>11695356</v>
      </c>
      <c r="O72" s="162">
        <f t="shared" si="47"/>
        <v>1796879</v>
      </c>
      <c r="P72" s="162">
        <f t="shared" si="48"/>
        <v>18304644</v>
      </c>
      <c r="Q72" s="162">
        <f t="shared" si="49"/>
        <v>6787000</v>
      </c>
      <c r="V72" s="149">
        <v>18304644</v>
      </c>
      <c r="X72" s="167"/>
      <c r="Y72" s="168"/>
    </row>
    <row r="73" spans="1:25" ht="30" x14ac:dyDescent="0.25">
      <c r="A73" s="163">
        <v>212113116</v>
      </c>
      <c r="B73" s="164" t="s">
        <v>537</v>
      </c>
      <c r="C73" s="165">
        <v>20000000</v>
      </c>
      <c r="D73" s="165">
        <v>10000000</v>
      </c>
      <c r="E73" s="165">
        <v>0</v>
      </c>
      <c r="F73" s="165">
        <v>0</v>
      </c>
      <c r="G73" s="165">
        <f t="shared" si="17"/>
        <v>30000000</v>
      </c>
      <c r="H73" s="165">
        <v>887356</v>
      </c>
      <c r="I73" s="165">
        <v>9898477</v>
      </c>
      <c r="J73" s="165">
        <f t="shared" si="45"/>
        <v>20101523</v>
      </c>
      <c r="K73" s="165">
        <v>332200</v>
      </c>
      <c r="L73" s="165">
        <v>6787000</v>
      </c>
      <c r="M73" s="165">
        <f t="shared" si="46"/>
        <v>3111477</v>
      </c>
      <c r="N73" s="165">
        <v>11695356</v>
      </c>
      <c r="O73" s="165">
        <f t="shared" si="47"/>
        <v>1796879</v>
      </c>
      <c r="P73" s="165">
        <f t="shared" si="48"/>
        <v>18304644</v>
      </c>
      <c r="Q73" s="165">
        <f t="shared" si="49"/>
        <v>6787000</v>
      </c>
      <c r="V73" s="149">
        <v>18304644</v>
      </c>
      <c r="X73" s="167"/>
      <c r="Y73" s="168"/>
    </row>
    <row r="74" spans="1:25" s="100" customFormat="1" x14ac:dyDescent="0.25">
      <c r="A74" s="160">
        <v>21211312</v>
      </c>
      <c r="B74" s="161" t="s">
        <v>29</v>
      </c>
      <c r="C74" s="162">
        <f>+C75+C76+C77</f>
        <v>53000000</v>
      </c>
      <c r="D74" s="162">
        <f t="shared" ref="D74:N74" si="51">+D75+D76+D77</f>
        <v>49000000</v>
      </c>
      <c r="E74" s="162">
        <f t="shared" si="51"/>
        <v>0</v>
      </c>
      <c r="F74" s="162">
        <f t="shared" si="51"/>
        <v>132683041</v>
      </c>
      <c r="G74" s="162">
        <f t="shared" si="51"/>
        <v>234683041</v>
      </c>
      <c r="H74" s="162">
        <f t="shared" si="51"/>
        <v>2979000</v>
      </c>
      <c r="I74" s="162">
        <f t="shared" si="51"/>
        <v>18534301</v>
      </c>
      <c r="J74" s="162">
        <f t="shared" si="45"/>
        <v>216148740</v>
      </c>
      <c r="K74" s="162">
        <f t="shared" si="51"/>
        <v>920200</v>
      </c>
      <c r="L74" s="162">
        <f t="shared" si="51"/>
        <v>14410401</v>
      </c>
      <c r="M74" s="162">
        <f t="shared" si="46"/>
        <v>4123900</v>
      </c>
      <c r="N74" s="162">
        <f t="shared" si="51"/>
        <v>48999301</v>
      </c>
      <c r="O74" s="162">
        <f t="shared" si="47"/>
        <v>30465000</v>
      </c>
      <c r="P74" s="162">
        <f t="shared" si="48"/>
        <v>185683740</v>
      </c>
      <c r="Q74" s="162">
        <f t="shared" si="49"/>
        <v>14410401</v>
      </c>
      <c r="V74" s="149">
        <v>185683740</v>
      </c>
      <c r="X74" s="167"/>
      <c r="Y74" s="168"/>
    </row>
    <row r="75" spans="1:25" ht="30" x14ac:dyDescent="0.25">
      <c r="A75" s="163">
        <v>212113121</v>
      </c>
      <c r="B75" s="164" t="s">
        <v>807</v>
      </c>
      <c r="C75" s="165"/>
      <c r="D75" s="165">
        <v>29000000</v>
      </c>
      <c r="E75" s="165">
        <v>0</v>
      </c>
      <c r="F75" s="165">
        <v>0</v>
      </c>
      <c r="G75" s="165">
        <f t="shared" si="17"/>
        <v>29000000</v>
      </c>
      <c r="H75" s="165">
        <v>0</v>
      </c>
      <c r="I75" s="165">
        <v>0</v>
      </c>
      <c r="J75" s="165">
        <f t="shared" si="45"/>
        <v>29000000</v>
      </c>
      <c r="K75" s="165">
        <v>0</v>
      </c>
      <c r="L75" s="165">
        <v>0</v>
      </c>
      <c r="M75" s="165">
        <f t="shared" si="46"/>
        <v>0</v>
      </c>
      <c r="N75" s="165">
        <v>29000000</v>
      </c>
      <c r="O75" s="165">
        <f t="shared" si="47"/>
        <v>29000000</v>
      </c>
      <c r="P75" s="165">
        <f t="shared" si="48"/>
        <v>0</v>
      </c>
      <c r="Q75" s="165">
        <f t="shared" si="49"/>
        <v>0</v>
      </c>
      <c r="V75" s="149">
        <v>0</v>
      </c>
      <c r="X75" s="167"/>
      <c r="Y75" s="168"/>
    </row>
    <row r="76" spans="1:25" ht="30" x14ac:dyDescent="0.25">
      <c r="A76" s="163">
        <v>212113122</v>
      </c>
      <c r="B76" s="164" t="s">
        <v>538</v>
      </c>
      <c r="C76" s="165">
        <v>8000000</v>
      </c>
      <c r="D76" s="165">
        <v>10000000</v>
      </c>
      <c r="E76" s="165">
        <v>0</v>
      </c>
      <c r="F76" s="165">
        <v>0</v>
      </c>
      <c r="G76" s="165">
        <f t="shared" si="17"/>
        <v>18000000</v>
      </c>
      <c r="H76" s="165">
        <v>1180000</v>
      </c>
      <c r="I76" s="165">
        <v>7774601</v>
      </c>
      <c r="J76" s="165">
        <f t="shared" si="45"/>
        <v>10225399</v>
      </c>
      <c r="K76" s="165">
        <v>242000</v>
      </c>
      <c r="L76" s="165">
        <v>6726601</v>
      </c>
      <c r="M76" s="165">
        <f t="shared" si="46"/>
        <v>1048000</v>
      </c>
      <c r="N76" s="165">
        <v>8239601</v>
      </c>
      <c r="O76" s="165">
        <f t="shared" si="47"/>
        <v>465000</v>
      </c>
      <c r="P76" s="165">
        <f t="shared" si="48"/>
        <v>9760399</v>
      </c>
      <c r="Q76" s="165">
        <f t="shared" si="49"/>
        <v>6726601</v>
      </c>
      <c r="V76" s="149">
        <v>9760399</v>
      </c>
      <c r="X76" s="167"/>
      <c r="Y76" s="168"/>
    </row>
    <row r="77" spans="1:25" ht="30" x14ac:dyDescent="0.25">
      <c r="A77" s="163">
        <v>212113128</v>
      </c>
      <c r="B77" s="164" t="s">
        <v>539</v>
      </c>
      <c r="C77" s="165">
        <v>45000000</v>
      </c>
      <c r="D77" s="165">
        <v>10000000</v>
      </c>
      <c r="E77" s="165">
        <v>0</v>
      </c>
      <c r="F77" s="165">
        <v>132683041</v>
      </c>
      <c r="G77" s="165">
        <f t="shared" si="17"/>
        <v>187683041</v>
      </c>
      <c r="H77" s="165">
        <v>1799000</v>
      </c>
      <c r="I77" s="165">
        <v>10759700</v>
      </c>
      <c r="J77" s="165">
        <f t="shared" si="45"/>
        <v>176923341</v>
      </c>
      <c r="K77" s="165">
        <v>678200</v>
      </c>
      <c r="L77" s="165">
        <v>7683800</v>
      </c>
      <c r="M77" s="165">
        <f t="shared" si="46"/>
        <v>3075900</v>
      </c>
      <c r="N77" s="165">
        <v>11759700</v>
      </c>
      <c r="O77" s="165">
        <f t="shared" si="47"/>
        <v>1000000</v>
      </c>
      <c r="P77" s="165">
        <f t="shared" si="48"/>
        <v>175923341</v>
      </c>
      <c r="Q77" s="165">
        <f t="shared" si="49"/>
        <v>7683800</v>
      </c>
      <c r="V77" s="149">
        <v>175923341</v>
      </c>
      <c r="X77" s="167"/>
      <c r="Y77" s="168"/>
    </row>
    <row r="78" spans="1:25" s="100" customFormat="1" ht="30" x14ac:dyDescent="0.25">
      <c r="A78" s="160">
        <v>21211313</v>
      </c>
      <c r="B78" s="161" t="s">
        <v>30</v>
      </c>
      <c r="C78" s="162">
        <f>+C79+C80</f>
        <v>100000000</v>
      </c>
      <c r="D78" s="162">
        <f t="shared" ref="D78:N78" si="52">+D79+D80</f>
        <v>20000000</v>
      </c>
      <c r="E78" s="162">
        <f t="shared" si="52"/>
        <v>0</v>
      </c>
      <c r="F78" s="162">
        <f t="shared" si="52"/>
        <v>163439617</v>
      </c>
      <c r="G78" s="162">
        <f t="shared" si="52"/>
        <v>283439617</v>
      </c>
      <c r="H78" s="162">
        <f t="shared" si="52"/>
        <v>41528188</v>
      </c>
      <c r="I78" s="162">
        <f t="shared" si="52"/>
        <v>59749668</v>
      </c>
      <c r="J78" s="162">
        <f t="shared" si="45"/>
        <v>223689949</v>
      </c>
      <c r="K78" s="162">
        <f t="shared" si="52"/>
        <v>0</v>
      </c>
      <c r="L78" s="162">
        <f t="shared" si="52"/>
        <v>9607043</v>
      </c>
      <c r="M78" s="162">
        <f t="shared" si="46"/>
        <v>50142625</v>
      </c>
      <c r="N78" s="162">
        <f t="shared" si="52"/>
        <v>71699868</v>
      </c>
      <c r="O78" s="162">
        <f t="shared" si="47"/>
        <v>11950200</v>
      </c>
      <c r="P78" s="162">
        <f t="shared" si="48"/>
        <v>211739749</v>
      </c>
      <c r="Q78" s="162">
        <f t="shared" si="49"/>
        <v>9607043</v>
      </c>
      <c r="V78" s="149">
        <v>211739749</v>
      </c>
      <c r="X78" s="167"/>
      <c r="Y78" s="168"/>
    </row>
    <row r="79" spans="1:25" ht="30" x14ac:dyDescent="0.25">
      <c r="A79" s="163">
        <v>212113131</v>
      </c>
      <c r="B79" s="164" t="s">
        <v>540</v>
      </c>
      <c r="C79" s="165">
        <v>45000000</v>
      </c>
      <c r="D79" s="165">
        <v>10000000</v>
      </c>
      <c r="E79" s="165">
        <v>0</v>
      </c>
      <c r="F79" s="165">
        <v>57000000</v>
      </c>
      <c r="G79" s="165">
        <f t="shared" si="17"/>
        <v>112000000</v>
      </c>
      <c r="H79" s="165">
        <v>24330000</v>
      </c>
      <c r="I79" s="165">
        <v>27632149</v>
      </c>
      <c r="J79" s="165">
        <f t="shared" si="45"/>
        <v>84367851</v>
      </c>
      <c r="K79" s="165">
        <v>0</v>
      </c>
      <c r="L79" s="165">
        <v>3302149</v>
      </c>
      <c r="M79" s="165">
        <f t="shared" si="46"/>
        <v>24330000</v>
      </c>
      <c r="N79" s="165">
        <v>27632149</v>
      </c>
      <c r="O79" s="165">
        <f t="shared" si="47"/>
        <v>0</v>
      </c>
      <c r="P79" s="165">
        <f t="shared" si="48"/>
        <v>84367851</v>
      </c>
      <c r="Q79" s="165">
        <f t="shared" si="49"/>
        <v>3302149</v>
      </c>
      <c r="V79" s="149">
        <v>84367851</v>
      </c>
      <c r="X79" s="167"/>
      <c r="Y79" s="168"/>
    </row>
    <row r="80" spans="1:25" ht="30" x14ac:dyDescent="0.25">
      <c r="A80" s="163">
        <v>212113132</v>
      </c>
      <c r="B80" s="164" t="s">
        <v>541</v>
      </c>
      <c r="C80" s="165">
        <v>55000000</v>
      </c>
      <c r="D80" s="165">
        <v>10000000</v>
      </c>
      <c r="E80" s="165">
        <v>0</v>
      </c>
      <c r="F80" s="165">
        <v>106439617</v>
      </c>
      <c r="G80" s="165">
        <f t="shared" ref="G80:G143" si="53">+C80+D80-E80+F80</f>
        <v>171439617</v>
      </c>
      <c r="H80" s="165">
        <v>17198188</v>
      </c>
      <c r="I80" s="165">
        <v>32117519</v>
      </c>
      <c r="J80" s="165">
        <f t="shared" si="45"/>
        <v>139322098</v>
      </c>
      <c r="K80" s="165">
        <v>0</v>
      </c>
      <c r="L80" s="165">
        <v>6304894</v>
      </c>
      <c r="M80" s="165">
        <f t="shared" si="46"/>
        <v>25812625</v>
      </c>
      <c r="N80" s="165">
        <v>44067719</v>
      </c>
      <c r="O80" s="165">
        <f t="shared" si="47"/>
        <v>11950200</v>
      </c>
      <c r="P80" s="165">
        <f t="shared" si="48"/>
        <v>127371898</v>
      </c>
      <c r="Q80" s="165">
        <f t="shared" si="49"/>
        <v>6304894</v>
      </c>
      <c r="V80" s="149">
        <v>127371898</v>
      </c>
      <c r="X80" s="167"/>
      <c r="Y80" s="168"/>
    </row>
    <row r="81" spans="1:25" s="100" customFormat="1" x14ac:dyDescent="0.25">
      <c r="A81" s="160">
        <v>21211314</v>
      </c>
      <c r="B81" s="161" t="s">
        <v>31</v>
      </c>
      <c r="C81" s="162">
        <f>+C82+C83+C84+C85+C86</f>
        <v>18800000</v>
      </c>
      <c r="D81" s="162">
        <f t="shared" ref="D81:N81" si="54">+D82+D83+D84+D85+D86</f>
        <v>50000000</v>
      </c>
      <c r="E81" s="162">
        <f t="shared" si="54"/>
        <v>0</v>
      </c>
      <c r="F81" s="162">
        <f t="shared" si="54"/>
        <v>155000000</v>
      </c>
      <c r="G81" s="162">
        <f t="shared" si="54"/>
        <v>223800000</v>
      </c>
      <c r="H81" s="162">
        <f t="shared" si="54"/>
        <v>1582644</v>
      </c>
      <c r="I81" s="162">
        <f t="shared" si="54"/>
        <v>13410102</v>
      </c>
      <c r="J81" s="162">
        <f t="shared" si="45"/>
        <v>210389898</v>
      </c>
      <c r="K81" s="162">
        <f t="shared" si="54"/>
        <v>985000</v>
      </c>
      <c r="L81" s="162">
        <f t="shared" si="54"/>
        <v>11603780</v>
      </c>
      <c r="M81" s="162">
        <f t="shared" si="46"/>
        <v>1806322</v>
      </c>
      <c r="N81" s="162">
        <f t="shared" si="54"/>
        <v>13928903</v>
      </c>
      <c r="O81" s="162">
        <f t="shared" si="47"/>
        <v>518801</v>
      </c>
      <c r="P81" s="162">
        <f t="shared" si="48"/>
        <v>209871097</v>
      </c>
      <c r="Q81" s="162">
        <f t="shared" si="49"/>
        <v>11603780</v>
      </c>
      <c r="V81" s="149">
        <v>209871097</v>
      </c>
      <c r="X81" s="167"/>
      <c r="Y81" s="168"/>
    </row>
    <row r="82" spans="1:25" ht="30" x14ac:dyDescent="0.25">
      <c r="A82" s="163">
        <v>212113141</v>
      </c>
      <c r="B82" s="164" t="s">
        <v>542</v>
      </c>
      <c r="C82" s="165">
        <v>3000000</v>
      </c>
      <c r="D82" s="165">
        <v>10000000</v>
      </c>
      <c r="E82" s="165">
        <v>0</v>
      </c>
      <c r="F82" s="165">
        <v>45000000</v>
      </c>
      <c r="G82" s="165">
        <f t="shared" si="53"/>
        <v>58000000</v>
      </c>
      <c r="H82" s="165">
        <v>472000</v>
      </c>
      <c r="I82" s="165">
        <v>5074999</v>
      </c>
      <c r="J82" s="165">
        <f t="shared" si="45"/>
        <v>52925001</v>
      </c>
      <c r="K82" s="165">
        <v>378000</v>
      </c>
      <c r="L82" s="165">
        <v>4216999</v>
      </c>
      <c r="M82" s="165">
        <f t="shared" si="46"/>
        <v>858000</v>
      </c>
      <c r="N82" s="165">
        <v>5076800</v>
      </c>
      <c r="O82" s="165">
        <f t="shared" si="47"/>
        <v>1801</v>
      </c>
      <c r="P82" s="165">
        <f t="shared" si="48"/>
        <v>52923200</v>
      </c>
      <c r="Q82" s="165">
        <f t="shared" si="49"/>
        <v>4216999</v>
      </c>
      <c r="V82" s="149">
        <v>52923200</v>
      </c>
      <c r="X82" s="167"/>
      <c r="Y82" s="168"/>
    </row>
    <row r="83" spans="1:25" x14ac:dyDescent="0.25">
      <c r="A83" s="163">
        <v>212113142</v>
      </c>
      <c r="B83" s="164" t="s">
        <v>543</v>
      </c>
      <c r="C83" s="165">
        <v>0</v>
      </c>
      <c r="D83" s="165">
        <v>10000000</v>
      </c>
      <c r="E83" s="165">
        <v>0</v>
      </c>
      <c r="F83" s="165">
        <v>35000000</v>
      </c>
      <c r="G83" s="165">
        <f t="shared" si="53"/>
        <v>45000000</v>
      </c>
      <c r="H83" s="165">
        <v>1110644</v>
      </c>
      <c r="I83" s="165">
        <v>7502103</v>
      </c>
      <c r="J83" s="165">
        <f t="shared" si="45"/>
        <v>37497897</v>
      </c>
      <c r="K83" s="165">
        <v>607000</v>
      </c>
      <c r="L83" s="165">
        <v>6553781</v>
      </c>
      <c r="M83" s="165">
        <f t="shared" si="46"/>
        <v>948322</v>
      </c>
      <c r="N83" s="165">
        <v>8002103</v>
      </c>
      <c r="O83" s="165">
        <f t="shared" si="47"/>
        <v>500000</v>
      </c>
      <c r="P83" s="165">
        <f t="shared" si="48"/>
        <v>36997897</v>
      </c>
      <c r="Q83" s="165">
        <f t="shared" si="49"/>
        <v>6553781</v>
      </c>
      <c r="V83" s="149">
        <v>36997897</v>
      </c>
      <c r="X83" s="167"/>
      <c r="Y83" s="168"/>
    </row>
    <row r="84" spans="1:25" ht="30" x14ac:dyDescent="0.25">
      <c r="A84" s="163">
        <v>212113143</v>
      </c>
      <c r="B84" s="164" t="s">
        <v>544</v>
      </c>
      <c r="C84" s="165">
        <v>0</v>
      </c>
      <c r="D84" s="165">
        <v>10000000</v>
      </c>
      <c r="E84" s="165">
        <v>0</v>
      </c>
      <c r="F84" s="165">
        <v>25000000</v>
      </c>
      <c r="G84" s="165">
        <f t="shared" si="53"/>
        <v>35000000</v>
      </c>
      <c r="H84" s="165">
        <v>0</v>
      </c>
      <c r="I84" s="165">
        <v>0</v>
      </c>
      <c r="J84" s="165">
        <f t="shared" si="45"/>
        <v>35000000</v>
      </c>
      <c r="K84" s="165">
        <v>0</v>
      </c>
      <c r="L84" s="165">
        <v>0</v>
      </c>
      <c r="M84" s="165">
        <f t="shared" si="46"/>
        <v>0</v>
      </c>
      <c r="N84" s="165">
        <v>0</v>
      </c>
      <c r="O84" s="165">
        <f t="shared" si="47"/>
        <v>0</v>
      </c>
      <c r="P84" s="165">
        <f t="shared" si="48"/>
        <v>35000000</v>
      </c>
      <c r="Q84" s="165">
        <f t="shared" si="49"/>
        <v>0</v>
      </c>
      <c r="V84" s="149">
        <v>35000000</v>
      </c>
      <c r="X84" s="167"/>
      <c r="Y84" s="168"/>
    </row>
    <row r="85" spans="1:25" ht="30" x14ac:dyDescent="0.25">
      <c r="A85" s="163">
        <v>212113144</v>
      </c>
      <c r="B85" s="164" t="s">
        <v>635</v>
      </c>
      <c r="C85" s="165">
        <v>1000000</v>
      </c>
      <c r="D85" s="165">
        <v>10000000</v>
      </c>
      <c r="E85" s="165">
        <v>0</v>
      </c>
      <c r="F85" s="165">
        <v>25000000</v>
      </c>
      <c r="G85" s="165">
        <f t="shared" si="53"/>
        <v>36000000</v>
      </c>
      <c r="H85" s="165">
        <v>0</v>
      </c>
      <c r="I85" s="165">
        <v>0</v>
      </c>
      <c r="J85" s="165">
        <f t="shared" si="45"/>
        <v>36000000</v>
      </c>
      <c r="K85" s="165">
        <v>0</v>
      </c>
      <c r="L85" s="165">
        <v>0</v>
      </c>
      <c r="M85" s="165">
        <f t="shared" si="46"/>
        <v>0</v>
      </c>
      <c r="N85" s="165">
        <v>0</v>
      </c>
      <c r="O85" s="165">
        <f t="shared" si="47"/>
        <v>0</v>
      </c>
      <c r="P85" s="165">
        <f t="shared" si="48"/>
        <v>36000000</v>
      </c>
      <c r="Q85" s="165">
        <f t="shared" si="49"/>
        <v>0</v>
      </c>
      <c r="V85" s="149">
        <v>36000000</v>
      </c>
      <c r="X85" s="167"/>
      <c r="Y85" s="168"/>
    </row>
    <row r="86" spans="1:25" x14ac:dyDescent="0.25">
      <c r="A86" s="163">
        <v>212113145</v>
      </c>
      <c r="B86" s="164" t="s">
        <v>543</v>
      </c>
      <c r="C86" s="165">
        <v>14800000</v>
      </c>
      <c r="D86" s="165">
        <v>10000000</v>
      </c>
      <c r="E86" s="165">
        <v>0</v>
      </c>
      <c r="F86" s="165">
        <v>25000000</v>
      </c>
      <c r="G86" s="165">
        <f t="shared" si="53"/>
        <v>49800000</v>
      </c>
      <c r="H86" s="165">
        <v>0</v>
      </c>
      <c r="I86" s="165">
        <v>833000</v>
      </c>
      <c r="J86" s="165">
        <f t="shared" si="45"/>
        <v>48967000</v>
      </c>
      <c r="K86" s="165">
        <v>0</v>
      </c>
      <c r="L86" s="165">
        <v>833000</v>
      </c>
      <c r="M86" s="165">
        <f t="shared" si="46"/>
        <v>0</v>
      </c>
      <c r="N86" s="165">
        <v>850000</v>
      </c>
      <c r="O86" s="165">
        <f t="shared" si="47"/>
        <v>17000</v>
      </c>
      <c r="P86" s="165">
        <f t="shared" si="48"/>
        <v>48950000</v>
      </c>
      <c r="Q86" s="165">
        <f t="shared" si="49"/>
        <v>833000</v>
      </c>
      <c r="V86" s="149">
        <v>48950000</v>
      </c>
      <c r="X86" s="167"/>
      <c r="Y86" s="168"/>
    </row>
    <row r="87" spans="1:25" s="100" customFormat="1" ht="30" x14ac:dyDescent="0.25">
      <c r="A87" s="160">
        <v>21211315</v>
      </c>
      <c r="B87" s="161" t="s">
        <v>32</v>
      </c>
      <c r="C87" s="162">
        <f>+C88+C89+C90</f>
        <v>17000000</v>
      </c>
      <c r="D87" s="162">
        <f t="shared" ref="D87:N87" si="55">+D88+D89+D90</f>
        <v>0</v>
      </c>
      <c r="E87" s="162">
        <f t="shared" si="55"/>
        <v>0</v>
      </c>
      <c r="F87" s="162">
        <f t="shared" si="55"/>
        <v>0</v>
      </c>
      <c r="G87" s="162">
        <f t="shared" si="55"/>
        <v>17000000</v>
      </c>
      <c r="H87" s="162">
        <f t="shared" si="55"/>
        <v>0</v>
      </c>
      <c r="I87" s="162">
        <f t="shared" si="55"/>
        <v>3686515</v>
      </c>
      <c r="J87" s="162">
        <f t="shared" si="45"/>
        <v>13313485</v>
      </c>
      <c r="K87" s="162">
        <f t="shared" si="55"/>
        <v>0</v>
      </c>
      <c r="L87" s="162">
        <f t="shared" si="55"/>
        <v>2686515</v>
      </c>
      <c r="M87" s="162">
        <f t="shared" si="46"/>
        <v>1000000</v>
      </c>
      <c r="N87" s="162">
        <f t="shared" si="55"/>
        <v>3686515</v>
      </c>
      <c r="O87" s="162">
        <f t="shared" si="47"/>
        <v>0</v>
      </c>
      <c r="P87" s="162">
        <f t="shared" si="48"/>
        <v>13313485</v>
      </c>
      <c r="Q87" s="162">
        <f t="shared" si="49"/>
        <v>2686515</v>
      </c>
      <c r="V87" s="149">
        <v>13313485</v>
      </c>
      <c r="X87" s="167"/>
      <c r="Y87" s="168"/>
    </row>
    <row r="88" spans="1:25" ht="30" x14ac:dyDescent="0.25">
      <c r="A88" s="163">
        <v>212113151</v>
      </c>
      <c r="B88" s="164" t="s">
        <v>545</v>
      </c>
      <c r="C88" s="165">
        <v>8000000</v>
      </c>
      <c r="D88" s="165">
        <v>0</v>
      </c>
      <c r="E88" s="165">
        <v>0</v>
      </c>
      <c r="F88" s="165">
        <v>0</v>
      </c>
      <c r="G88" s="165">
        <f t="shared" si="53"/>
        <v>8000000</v>
      </c>
      <c r="H88" s="165">
        <v>0</v>
      </c>
      <c r="I88" s="165">
        <v>3686515</v>
      </c>
      <c r="J88" s="165">
        <f t="shared" si="45"/>
        <v>4313485</v>
      </c>
      <c r="K88" s="165">
        <v>0</v>
      </c>
      <c r="L88" s="165">
        <v>2686515</v>
      </c>
      <c r="M88" s="165">
        <f t="shared" si="46"/>
        <v>1000000</v>
      </c>
      <c r="N88" s="165">
        <v>3686515</v>
      </c>
      <c r="O88" s="165">
        <f t="shared" si="47"/>
        <v>0</v>
      </c>
      <c r="P88" s="165">
        <f t="shared" si="48"/>
        <v>4313485</v>
      </c>
      <c r="Q88" s="165">
        <f t="shared" si="49"/>
        <v>2686515</v>
      </c>
      <c r="V88" s="149">
        <v>4313485</v>
      </c>
      <c r="X88" s="167"/>
      <c r="Y88" s="168"/>
    </row>
    <row r="89" spans="1:25" ht="30" x14ac:dyDescent="0.25">
      <c r="A89" s="163">
        <v>212113152</v>
      </c>
      <c r="B89" s="164" t="s">
        <v>546</v>
      </c>
      <c r="C89" s="165">
        <v>6000000</v>
      </c>
      <c r="D89" s="165">
        <v>0</v>
      </c>
      <c r="E89" s="165">
        <v>0</v>
      </c>
      <c r="F89" s="165">
        <v>0</v>
      </c>
      <c r="G89" s="165">
        <f t="shared" si="53"/>
        <v>6000000</v>
      </c>
      <c r="H89" s="165">
        <v>0</v>
      </c>
      <c r="I89" s="165">
        <v>0</v>
      </c>
      <c r="J89" s="165">
        <f t="shared" si="45"/>
        <v>6000000</v>
      </c>
      <c r="K89" s="165">
        <v>0</v>
      </c>
      <c r="L89" s="165">
        <v>0</v>
      </c>
      <c r="M89" s="165">
        <f t="shared" si="46"/>
        <v>0</v>
      </c>
      <c r="N89" s="165">
        <v>0</v>
      </c>
      <c r="O89" s="165">
        <f t="shared" si="47"/>
        <v>0</v>
      </c>
      <c r="P89" s="165">
        <f t="shared" si="48"/>
        <v>6000000</v>
      </c>
      <c r="Q89" s="165">
        <f t="shared" si="49"/>
        <v>0</v>
      </c>
      <c r="V89" s="149">
        <v>6000000</v>
      </c>
      <c r="X89" s="167"/>
      <c r="Y89" s="168"/>
    </row>
    <row r="90" spans="1:25" ht="30" x14ac:dyDescent="0.25">
      <c r="A90" s="163">
        <v>212113153</v>
      </c>
      <c r="B90" s="164" t="s">
        <v>636</v>
      </c>
      <c r="C90" s="165">
        <v>3000000</v>
      </c>
      <c r="D90" s="165">
        <v>0</v>
      </c>
      <c r="E90" s="165">
        <v>0</v>
      </c>
      <c r="F90" s="165">
        <v>0</v>
      </c>
      <c r="G90" s="165">
        <f t="shared" si="53"/>
        <v>3000000</v>
      </c>
      <c r="H90" s="165">
        <v>0</v>
      </c>
      <c r="I90" s="165">
        <v>0</v>
      </c>
      <c r="J90" s="165">
        <f t="shared" si="45"/>
        <v>3000000</v>
      </c>
      <c r="K90" s="165">
        <v>0</v>
      </c>
      <c r="L90" s="165">
        <v>0</v>
      </c>
      <c r="M90" s="165">
        <f t="shared" si="46"/>
        <v>0</v>
      </c>
      <c r="N90" s="165">
        <v>0</v>
      </c>
      <c r="O90" s="165">
        <f t="shared" si="47"/>
        <v>0</v>
      </c>
      <c r="P90" s="165">
        <f t="shared" si="48"/>
        <v>3000000</v>
      </c>
      <c r="Q90" s="165">
        <f t="shared" si="49"/>
        <v>0</v>
      </c>
      <c r="V90" s="149">
        <v>3000000</v>
      </c>
      <c r="X90" s="167"/>
      <c r="Y90" s="168"/>
    </row>
    <row r="91" spans="1:25" s="100" customFormat="1" ht="30" x14ac:dyDescent="0.25">
      <c r="A91" s="160">
        <v>21211316</v>
      </c>
      <c r="B91" s="161" t="s">
        <v>33</v>
      </c>
      <c r="C91" s="162">
        <f>+C92</f>
        <v>35000000</v>
      </c>
      <c r="D91" s="162">
        <f t="shared" ref="D91:N91" si="56">+D92</f>
        <v>0</v>
      </c>
      <c r="E91" s="162">
        <f t="shared" si="56"/>
        <v>0</v>
      </c>
      <c r="F91" s="162">
        <f t="shared" si="56"/>
        <v>0</v>
      </c>
      <c r="G91" s="162">
        <f t="shared" si="56"/>
        <v>35000000</v>
      </c>
      <c r="H91" s="162">
        <f t="shared" si="56"/>
        <v>0</v>
      </c>
      <c r="I91" s="162">
        <f t="shared" si="56"/>
        <v>2709500</v>
      </c>
      <c r="J91" s="162">
        <f t="shared" si="45"/>
        <v>32290500</v>
      </c>
      <c r="K91" s="162">
        <f t="shared" si="56"/>
        <v>0</v>
      </c>
      <c r="L91" s="162">
        <f t="shared" si="56"/>
        <v>2709500</v>
      </c>
      <c r="M91" s="162">
        <f t="shared" si="46"/>
        <v>0</v>
      </c>
      <c r="N91" s="162">
        <f t="shared" si="56"/>
        <v>2709500</v>
      </c>
      <c r="O91" s="162">
        <f t="shared" si="47"/>
        <v>0</v>
      </c>
      <c r="P91" s="162">
        <f t="shared" si="48"/>
        <v>32290500</v>
      </c>
      <c r="Q91" s="162">
        <f t="shared" si="49"/>
        <v>2709500</v>
      </c>
      <c r="V91" s="149">
        <v>32290500</v>
      </c>
      <c r="X91" s="167"/>
      <c r="Y91" s="168"/>
    </row>
    <row r="92" spans="1:25" ht="30" x14ac:dyDescent="0.25">
      <c r="A92" s="163">
        <v>212113162</v>
      </c>
      <c r="B92" s="164" t="s">
        <v>547</v>
      </c>
      <c r="C92" s="165">
        <v>35000000</v>
      </c>
      <c r="D92" s="165">
        <v>0</v>
      </c>
      <c r="E92" s="165">
        <v>0</v>
      </c>
      <c r="F92" s="165">
        <v>0</v>
      </c>
      <c r="G92" s="165">
        <f t="shared" si="53"/>
        <v>35000000</v>
      </c>
      <c r="H92" s="165">
        <v>0</v>
      </c>
      <c r="I92" s="165">
        <v>2709500</v>
      </c>
      <c r="J92" s="165">
        <f t="shared" si="45"/>
        <v>32290500</v>
      </c>
      <c r="K92" s="165">
        <v>0</v>
      </c>
      <c r="L92" s="165">
        <v>2709500</v>
      </c>
      <c r="M92" s="165">
        <f t="shared" si="46"/>
        <v>0</v>
      </c>
      <c r="N92" s="165">
        <v>2709500</v>
      </c>
      <c r="O92" s="165">
        <f t="shared" si="47"/>
        <v>0</v>
      </c>
      <c r="P92" s="165">
        <f t="shared" si="48"/>
        <v>32290500</v>
      </c>
      <c r="Q92" s="165">
        <f t="shared" si="49"/>
        <v>2709500</v>
      </c>
      <c r="V92" s="149">
        <v>32290500</v>
      </c>
      <c r="X92" s="167"/>
      <c r="Y92" s="168"/>
    </row>
    <row r="93" spans="1:25" s="100" customFormat="1" x14ac:dyDescent="0.25">
      <c r="A93" s="160">
        <v>21211317</v>
      </c>
      <c r="B93" s="161" t="s">
        <v>34</v>
      </c>
      <c r="C93" s="162">
        <f>+C94</f>
        <v>0</v>
      </c>
      <c r="D93" s="162">
        <f t="shared" ref="D93:N93" si="57">+D94</f>
        <v>200000000</v>
      </c>
      <c r="E93" s="162">
        <f t="shared" si="57"/>
        <v>0</v>
      </c>
      <c r="F93" s="162">
        <f t="shared" si="57"/>
        <v>45000000</v>
      </c>
      <c r="G93" s="162">
        <f t="shared" si="57"/>
        <v>245000000</v>
      </c>
      <c r="H93" s="162">
        <f t="shared" si="57"/>
        <v>0</v>
      </c>
      <c r="I93" s="162">
        <f t="shared" si="57"/>
        <v>213921970</v>
      </c>
      <c r="J93" s="162">
        <f t="shared" si="45"/>
        <v>31078030</v>
      </c>
      <c r="K93" s="162">
        <f t="shared" si="57"/>
        <v>5062177</v>
      </c>
      <c r="L93" s="162">
        <f t="shared" si="57"/>
        <v>138572347</v>
      </c>
      <c r="M93" s="162">
        <f t="shared" si="46"/>
        <v>75349623</v>
      </c>
      <c r="N93" s="162">
        <f t="shared" si="57"/>
        <v>225000000</v>
      </c>
      <c r="O93" s="162">
        <f t="shared" si="47"/>
        <v>11078030</v>
      </c>
      <c r="P93" s="162">
        <f t="shared" si="48"/>
        <v>20000000</v>
      </c>
      <c r="Q93" s="162">
        <f t="shared" si="49"/>
        <v>138572347</v>
      </c>
      <c r="V93" s="149">
        <v>20000000</v>
      </c>
      <c r="X93" s="167"/>
      <c r="Y93" s="168"/>
    </row>
    <row r="94" spans="1:25" ht="30" x14ac:dyDescent="0.25">
      <c r="A94" s="163">
        <v>212113171</v>
      </c>
      <c r="B94" s="164" t="s">
        <v>548</v>
      </c>
      <c r="C94" s="165">
        <v>0</v>
      </c>
      <c r="D94" s="165">
        <v>200000000</v>
      </c>
      <c r="E94" s="165">
        <v>0</v>
      </c>
      <c r="F94" s="165">
        <v>45000000</v>
      </c>
      <c r="G94" s="165">
        <f t="shared" si="53"/>
        <v>245000000</v>
      </c>
      <c r="H94" s="165">
        <v>0</v>
      </c>
      <c r="I94" s="165">
        <v>213921970</v>
      </c>
      <c r="J94" s="165">
        <f t="shared" si="45"/>
        <v>31078030</v>
      </c>
      <c r="K94" s="165">
        <v>5062177</v>
      </c>
      <c r="L94" s="165">
        <v>138572347</v>
      </c>
      <c r="M94" s="165">
        <f t="shared" si="46"/>
        <v>75349623</v>
      </c>
      <c r="N94" s="165">
        <v>225000000</v>
      </c>
      <c r="O94" s="165">
        <f t="shared" si="47"/>
        <v>11078030</v>
      </c>
      <c r="P94" s="165">
        <f t="shared" si="48"/>
        <v>20000000</v>
      </c>
      <c r="Q94" s="165">
        <f t="shared" si="49"/>
        <v>138572347</v>
      </c>
      <c r="V94" s="149">
        <v>20000000</v>
      </c>
      <c r="X94" s="167"/>
      <c r="Y94" s="168"/>
    </row>
    <row r="95" spans="1:25" s="100" customFormat="1" x14ac:dyDescent="0.25">
      <c r="A95" s="157">
        <v>212114</v>
      </c>
      <c r="B95" s="158" t="s">
        <v>35</v>
      </c>
      <c r="C95" s="159">
        <f>+C96+C100</f>
        <v>78190348</v>
      </c>
      <c r="D95" s="159">
        <f t="shared" ref="D95:N95" si="58">+D96+D100</f>
        <v>435690000</v>
      </c>
      <c r="E95" s="159">
        <f t="shared" si="58"/>
        <v>0</v>
      </c>
      <c r="F95" s="159">
        <f t="shared" si="58"/>
        <v>25000000</v>
      </c>
      <c r="G95" s="159">
        <f t="shared" si="58"/>
        <v>538880348</v>
      </c>
      <c r="H95" s="159">
        <f t="shared" si="58"/>
        <v>0</v>
      </c>
      <c r="I95" s="159">
        <f t="shared" si="58"/>
        <v>319945373</v>
      </c>
      <c r="J95" s="159">
        <f t="shared" si="45"/>
        <v>218934975</v>
      </c>
      <c r="K95" s="159">
        <f t="shared" si="58"/>
        <v>0</v>
      </c>
      <c r="L95" s="159">
        <f t="shared" si="58"/>
        <v>319945373</v>
      </c>
      <c r="M95" s="159">
        <f t="shared" si="46"/>
        <v>0</v>
      </c>
      <c r="N95" s="159">
        <f t="shared" si="58"/>
        <v>425997200</v>
      </c>
      <c r="O95" s="159">
        <f t="shared" si="47"/>
        <v>106051827</v>
      </c>
      <c r="P95" s="159">
        <f t="shared" si="48"/>
        <v>112883148</v>
      </c>
      <c r="Q95" s="159">
        <f t="shared" si="49"/>
        <v>319945373</v>
      </c>
      <c r="V95" s="149">
        <v>112883148</v>
      </c>
      <c r="X95" s="167"/>
      <c r="Y95" s="168"/>
    </row>
    <row r="96" spans="1:25" s="100" customFormat="1" x14ac:dyDescent="0.25">
      <c r="A96" s="157">
        <v>2121142</v>
      </c>
      <c r="B96" s="158" t="s">
        <v>36</v>
      </c>
      <c r="C96" s="159">
        <f>+C97</f>
        <v>0</v>
      </c>
      <c r="D96" s="159">
        <f t="shared" ref="D96:N98" si="59">+D97</f>
        <v>410690000</v>
      </c>
      <c r="E96" s="159">
        <f t="shared" si="59"/>
        <v>0</v>
      </c>
      <c r="F96" s="159">
        <f t="shared" si="59"/>
        <v>25000000</v>
      </c>
      <c r="G96" s="159">
        <f t="shared" si="59"/>
        <v>435690000</v>
      </c>
      <c r="H96" s="159">
        <f t="shared" si="59"/>
        <v>0</v>
      </c>
      <c r="I96" s="159">
        <f t="shared" si="59"/>
        <v>319945373</v>
      </c>
      <c r="J96" s="159">
        <f t="shared" si="45"/>
        <v>115744627</v>
      </c>
      <c r="K96" s="159">
        <f t="shared" si="59"/>
        <v>0</v>
      </c>
      <c r="L96" s="159">
        <f t="shared" si="59"/>
        <v>319945373</v>
      </c>
      <c r="M96" s="159">
        <f t="shared" si="46"/>
        <v>0</v>
      </c>
      <c r="N96" s="159">
        <f t="shared" si="59"/>
        <v>425997200</v>
      </c>
      <c r="O96" s="159">
        <f t="shared" si="47"/>
        <v>106051827</v>
      </c>
      <c r="P96" s="159">
        <f t="shared" si="48"/>
        <v>9692800</v>
      </c>
      <c r="Q96" s="159">
        <f t="shared" si="49"/>
        <v>319945373</v>
      </c>
      <c r="V96" s="149">
        <v>9692800</v>
      </c>
      <c r="X96" s="167"/>
      <c r="Y96" s="168"/>
    </row>
    <row r="97" spans="1:25" x14ac:dyDescent="0.25">
      <c r="A97" s="169">
        <v>21211423</v>
      </c>
      <c r="B97" s="171" t="s">
        <v>37</v>
      </c>
      <c r="C97" s="170">
        <f>+C98</f>
        <v>0</v>
      </c>
      <c r="D97" s="170">
        <f t="shared" si="59"/>
        <v>410690000</v>
      </c>
      <c r="E97" s="170">
        <f t="shared" si="59"/>
        <v>0</v>
      </c>
      <c r="F97" s="170">
        <f t="shared" si="59"/>
        <v>25000000</v>
      </c>
      <c r="G97" s="170">
        <f t="shared" si="59"/>
        <v>435690000</v>
      </c>
      <c r="H97" s="170">
        <f t="shared" si="59"/>
        <v>0</v>
      </c>
      <c r="I97" s="170">
        <f t="shared" si="59"/>
        <v>319945373</v>
      </c>
      <c r="J97" s="170">
        <f t="shared" si="45"/>
        <v>115744627</v>
      </c>
      <c r="K97" s="170">
        <f t="shared" si="59"/>
        <v>0</v>
      </c>
      <c r="L97" s="170">
        <f t="shared" si="59"/>
        <v>319945373</v>
      </c>
      <c r="M97" s="170">
        <f t="shared" si="46"/>
        <v>0</v>
      </c>
      <c r="N97" s="170">
        <f t="shared" si="59"/>
        <v>425997200</v>
      </c>
      <c r="O97" s="170">
        <f t="shared" si="47"/>
        <v>106051827</v>
      </c>
      <c r="P97" s="170">
        <f t="shared" si="48"/>
        <v>9692800</v>
      </c>
      <c r="Q97" s="170">
        <f t="shared" si="49"/>
        <v>319945373</v>
      </c>
      <c r="V97" s="149">
        <v>9692800</v>
      </c>
      <c r="X97" s="167"/>
      <c r="Y97" s="168"/>
    </row>
    <row r="98" spans="1:25" s="100" customFormat="1" x14ac:dyDescent="0.25">
      <c r="A98" s="160">
        <v>212114231</v>
      </c>
      <c r="B98" s="161" t="s">
        <v>38</v>
      </c>
      <c r="C98" s="162">
        <f>+C99</f>
        <v>0</v>
      </c>
      <c r="D98" s="162">
        <f t="shared" si="59"/>
        <v>410690000</v>
      </c>
      <c r="E98" s="162">
        <f t="shared" si="59"/>
        <v>0</v>
      </c>
      <c r="F98" s="162">
        <f t="shared" si="59"/>
        <v>25000000</v>
      </c>
      <c r="G98" s="162">
        <f t="shared" si="59"/>
        <v>435690000</v>
      </c>
      <c r="H98" s="162">
        <f t="shared" si="59"/>
        <v>0</v>
      </c>
      <c r="I98" s="162">
        <f t="shared" si="59"/>
        <v>319945373</v>
      </c>
      <c r="J98" s="162">
        <f t="shared" si="45"/>
        <v>115744627</v>
      </c>
      <c r="K98" s="162">
        <f t="shared" si="59"/>
        <v>0</v>
      </c>
      <c r="L98" s="162">
        <f t="shared" si="59"/>
        <v>319945373</v>
      </c>
      <c r="M98" s="162">
        <f t="shared" si="46"/>
        <v>0</v>
      </c>
      <c r="N98" s="162">
        <f t="shared" si="59"/>
        <v>425997200</v>
      </c>
      <c r="O98" s="162">
        <f t="shared" si="47"/>
        <v>106051827</v>
      </c>
      <c r="P98" s="162">
        <f t="shared" si="48"/>
        <v>9692800</v>
      </c>
      <c r="Q98" s="162">
        <f t="shared" si="49"/>
        <v>319945373</v>
      </c>
      <c r="V98" s="149">
        <v>9692800</v>
      </c>
      <c r="X98" s="167"/>
      <c r="Y98" s="168"/>
    </row>
    <row r="99" spans="1:25" x14ac:dyDescent="0.25">
      <c r="A99" s="163">
        <v>2121142311</v>
      </c>
      <c r="B99" s="164" t="s">
        <v>549</v>
      </c>
      <c r="C99" s="165">
        <v>0</v>
      </c>
      <c r="D99" s="165">
        <v>410690000</v>
      </c>
      <c r="E99" s="165">
        <v>0</v>
      </c>
      <c r="F99" s="165">
        <v>25000000</v>
      </c>
      <c r="G99" s="165">
        <f t="shared" si="53"/>
        <v>435690000</v>
      </c>
      <c r="H99" s="165">
        <v>0</v>
      </c>
      <c r="I99" s="165">
        <v>319945373</v>
      </c>
      <c r="J99" s="165">
        <f t="shared" si="45"/>
        <v>115744627</v>
      </c>
      <c r="K99" s="165">
        <v>0</v>
      </c>
      <c r="L99" s="165">
        <v>319945373</v>
      </c>
      <c r="M99" s="165">
        <f t="shared" si="46"/>
        <v>0</v>
      </c>
      <c r="N99" s="165">
        <v>425997200</v>
      </c>
      <c r="O99" s="165">
        <f t="shared" si="47"/>
        <v>106051827</v>
      </c>
      <c r="P99" s="165">
        <f t="shared" si="48"/>
        <v>9692800</v>
      </c>
      <c r="Q99" s="165">
        <f t="shared" si="49"/>
        <v>319945373</v>
      </c>
      <c r="V99" s="149">
        <v>9692800</v>
      </c>
      <c r="X99" s="167"/>
      <c r="Y99" s="168"/>
    </row>
    <row r="100" spans="1:25" s="100" customFormat="1" ht="30" x14ac:dyDescent="0.25">
      <c r="A100" s="157">
        <v>2121143</v>
      </c>
      <c r="B100" s="158" t="s">
        <v>39</v>
      </c>
      <c r="C100" s="159">
        <f>+C101</f>
        <v>78190348</v>
      </c>
      <c r="D100" s="159">
        <f t="shared" ref="D100:N101" si="60">+D101</f>
        <v>25000000</v>
      </c>
      <c r="E100" s="159">
        <f t="shared" si="60"/>
        <v>0</v>
      </c>
      <c r="F100" s="159">
        <f t="shared" si="60"/>
        <v>0</v>
      </c>
      <c r="G100" s="159">
        <f t="shared" si="60"/>
        <v>103190348</v>
      </c>
      <c r="H100" s="159">
        <f t="shared" si="60"/>
        <v>0</v>
      </c>
      <c r="I100" s="159">
        <f t="shared" si="60"/>
        <v>0</v>
      </c>
      <c r="J100" s="159">
        <f t="shared" si="45"/>
        <v>103190348</v>
      </c>
      <c r="K100" s="159">
        <f t="shared" si="60"/>
        <v>0</v>
      </c>
      <c r="L100" s="159">
        <f t="shared" si="60"/>
        <v>0</v>
      </c>
      <c r="M100" s="159">
        <f t="shared" si="46"/>
        <v>0</v>
      </c>
      <c r="N100" s="159">
        <f t="shared" si="60"/>
        <v>0</v>
      </c>
      <c r="O100" s="159">
        <f t="shared" si="47"/>
        <v>0</v>
      </c>
      <c r="P100" s="159">
        <f t="shared" si="48"/>
        <v>103190348</v>
      </c>
      <c r="Q100" s="159">
        <f t="shared" si="49"/>
        <v>0</v>
      </c>
      <c r="V100" s="149">
        <v>103190348</v>
      </c>
      <c r="X100" s="167"/>
      <c r="Y100" s="168"/>
    </row>
    <row r="101" spans="1:25" s="100" customFormat="1" ht="30" x14ac:dyDescent="0.25">
      <c r="A101" s="157">
        <v>21211436</v>
      </c>
      <c r="B101" s="158" t="s">
        <v>40</v>
      </c>
      <c r="C101" s="159">
        <f>+C102</f>
        <v>78190348</v>
      </c>
      <c r="D101" s="159">
        <f t="shared" si="60"/>
        <v>25000000</v>
      </c>
      <c r="E101" s="159">
        <f t="shared" si="60"/>
        <v>0</v>
      </c>
      <c r="F101" s="159">
        <f t="shared" si="60"/>
        <v>0</v>
      </c>
      <c r="G101" s="159">
        <f t="shared" si="60"/>
        <v>103190348</v>
      </c>
      <c r="H101" s="159">
        <f t="shared" si="60"/>
        <v>0</v>
      </c>
      <c r="I101" s="159">
        <f t="shared" si="60"/>
        <v>0</v>
      </c>
      <c r="J101" s="159">
        <f t="shared" si="45"/>
        <v>103190348</v>
      </c>
      <c r="K101" s="159">
        <f t="shared" si="60"/>
        <v>0</v>
      </c>
      <c r="L101" s="159">
        <f t="shared" si="60"/>
        <v>0</v>
      </c>
      <c r="M101" s="159">
        <f t="shared" si="46"/>
        <v>0</v>
      </c>
      <c r="N101" s="159">
        <f t="shared" si="60"/>
        <v>0</v>
      </c>
      <c r="O101" s="159">
        <f t="shared" si="47"/>
        <v>0</v>
      </c>
      <c r="P101" s="159">
        <f t="shared" si="48"/>
        <v>103190348</v>
      </c>
      <c r="Q101" s="159">
        <f t="shared" si="49"/>
        <v>0</v>
      </c>
      <c r="V101" s="149">
        <v>103190348</v>
      </c>
      <c r="X101" s="167"/>
      <c r="Y101" s="168"/>
    </row>
    <row r="102" spans="1:25" s="100" customFormat="1" x14ac:dyDescent="0.25">
      <c r="A102" s="160">
        <v>212114361</v>
      </c>
      <c r="B102" s="161" t="s">
        <v>41</v>
      </c>
      <c r="C102" s="162">
        <f>+C103+C104+C105</f>
        <v>78190348</v>
      </c>
      <c r="D102" s="162">
        <f t="shared" ref="D102:N102" si="61">+D103+D104+D105</f>
        <v>25000000</v>
      </c>
      <c r="E102" s="162">
        <f t="shared" si="61"/>
        <v>0</v>
      </c>
      <c r="F102" s="162">
        <f t="shared" si="61"/>
        <v>0</v>
      </c>
      <c r="G102" s="162">
        <f t="shared" si="61"/>
        <v>103190348</v>
      </c>
      <c r="H102" s="162">
        <f t="shared" si="61"/>
        <v>0</v>
      </c>
      <c r="I102" s="162">
        <f t="shared" si="61"/>
        <v>0</v>
      </c>
      <c r="J102" s="162">
        <f t="shared" si="45"/>
        <v>103190348</v>
      </c>
      <c r="K102" s="162">
        <f t="shared" si="61"/>
        <v>0</v>
      </c>
      <c r="L102" s="162">
        <f t="shared" si="61"/>
        <v>0</v>
      </c>
      <c r="M102" s="162">
        <f t="shared" si="46"/>
        <v>0</v>
      </c>
      <c r="N102" s="162">
        <f t="shared" si="61"/>
        <v>0</v>
      </c>
      <c r="O102" s="162">
        <f t="shared" si="47"/>
        <v>0</v>
      </c>
      <c r="P102" s="162">
        <f t="shared" si="48"/>
        <v>103190348</v>
      </c>
      <c r="Q102" s="162">
        <f t="shared" si="49"/>
        <v>0</v>
      </c>
      <c r="V102" s="149">
        <v>103190348</v>
      </c>
      <c r="X102" s="167"/>
      <c r="Y102" s="168"/>
    </row>
    <row r="103" spans="1:25" x14ac:dyDescent="0.25">
      <c r="A103" s="163">
        <v>2121143611</v>
      </c>
      <c r="B103" s="164" t="s">
        <v>550</v>
      </c>
      <c r="C103" s="165">
        <v>15000000</v>
      </c>
      <c r="D103" s="165">
        <v>10000000</v>
      </c>
      <c r="E103" s="165">
        <v>0</v>
      </c>
      <c r="F103" s="165">
        <v>0</v>
      </c>
      <c r="G103" s="165">
        <f t="shared" si="53"/>
        <v>25000000</v>
      </c>
      <c r="H103" s="165">
        <v>0</v>
      </c>
      <c r="I103" s="165">
        <v>0</v>
      </c>
      <c r="J103" s="165">
        <f t="shared" si="45"/>
        <v>25000000</v>
      </c>
      <c r="K103" s="165">
        <v>0</v>
      </c>
      <c r="L103" s="165">
        <v>0</v>
      </c>
      <c r="M103" s="165">
        <f t="shared" si="46"/>
        <v>0</v>
      </c>
      <c r="N103" s="165">
        <v>0</v>
      </c>
      <c r="O103" s="165">
        <f t="shared" si="47"/>
        <v>0</v>
      </c>
      <c r="P103" s="165">
        <f t="shared" si="48"/>
        <v>25000000</v>
      </c>
      <c r="Q103" s="165">
        <f t="shared" si="49"/>
        <v>0</v>
      </c>
      <c r="V103" s="149">
        <v>25000000</v>
      </c>
      <c r="X103" s="167"/>
      <c r="Y103" s="168"/>
    </row>
    <row r="104" spans="1:25" x14ac:dyDescent="0.25">
      <c r="A104" s="163">
        <v>2121143612</v>
      </c>
      <c r="B104" s="164" t="s">
        <v>551</v>
      </c>
      <c r="C104" s="165">
        <v>43190348</v>
      </c>
      <c r="D104" s="165">
        <v>15000000</v>
      </c>
      <c r="E104" s="165">
        <v>0</v>
      </c>
      <c r="F104" s="165">
        <v>0</v>
      </c>
      <c r="G104" s="165">
        <f t="shared" si="53"/>
        <v>58190348</v>
      </c>
      <c r="H104" s="165">
        <v>0</v>
      </c>
      <c r="I104" s="165">
        <v>0</v>
      </c>
      <c r="J104" s="165">
        <f t="shared" si="45"/>
        <v>58190348</v>
      </c>
      <c r="K104" s="165">
        <v>0</v>
      </c>
      <c r="L104" s="165">
        <v>0</v>
      </c>
      <c r="M104" s="165">
        <f t="shared" si="46"/>
        <v>0</v>
      </c>
      <c r="N104" s="165">
        <v>0</v>
      </c>
      <c r="O104" s="165">
        <f t="shared" si="47"/>
        <v>0</v>
      </c>
      <c r="P104" s="165">
        <f t="shared" si="48"/>
        <v>58190348</v>
      </c>
      <c r="Q104" s="165">
        <f t="shared" si="49"/>
        <v>0</v>
      </c>
      <c r="V104" s="149">
        <v>58190348</v>
      </c>
      <c r="X104" s="167"/>
      <c r="Y104" s="168"/>
    </row>
    <row r="105" spans="1:25" x14ac:dyDescent="0.25">
      <c r="A105" s="163">
        <v>2121143614</v>
      </c>
      <c r="B105" s="164" t="s">
        <v>552</v>
      </c>
      <c r="C105" s="165">
        <v>20000000</v>
      </c>
      <c r="D105" s="165">
        <v>0</v>
      </c>
      <c r="E105" s="165">
        <v>0</v>
      </c>
      <c r="F105" s="165">
        <v>0</v>
      </c>
      <c r="G105" s="165">
        <f t="shared" si="53"/>
        <v>20000000</v>
      </c>
      <c r="H105" s="165">
        <v>0</v>
      </c>
      <c r="I105" s="165">
        <v>0</v>
      </c>
      <c r="J105" s="165">
        <f t="shared" si="45"/>
        <v>20000000</v>
      </c>
      <c r="K105" s="165">
        <v>0</v>
      </c>
      <c r="L105" s="165">
        <v>0</v>
      </c>
      <c r="M105" s="165">
        <f t="shared" si="46"/>
        <v>0</v>
      </c>
      <c r="N105" s="165">
        <v>0</v>
      </c>
      <c r="O105" s="165">
        <f t="shared" si="47"/>
        <v>0</v>
      </c>
      <c r="P105" s="165">
        <f t="shared" si="48"/>
        <v>20000000</v>
      </c>
      <c r="Q105" s="165">
        <f t="shared" si="49"/>
        <v>0</v>
      </c>
      <c r="V105" s="149">
        <v>20000000</v>
      </c>
      <c r="X105" s="167"/>
      <c r="Y105" s="168"/>
    </row>
    <row r="106" spans="1:25" s="100" customFormat="1" x14ac:dyDescent="0.25">
      <c r="A106" s="160">
        <v>21213</v>
      </c>
      <c r="B106" s="161" t="s">
        <v>42</v>
      </c>
      <c r="C106" s="162">
        <f>+C107</f>
        <v>20000000</v>
      </c>
      <c r="D106" s="162">
        <f t="shared" ref="D106:N106" si="62">+D107</f>
        <v>0</v>
      </c>
      <c r="E106" s="162">
        <f t="shared" si="62"/>
        <v>20000000</v>
      </c>
      <c r="F106" s="162">
        <f t="shared" si="62"/>
        <v>0</v>
      </c>
      <c r="G106" s="162">
        <f t="shared" si="62"/>
        <v>0</v>
      </c>
      <c r="H106" s="162">
        <f t="shared" si="62"/>
        <v>0</v>
      </c>
      <c r="I106" s="162">
        <f t="shared" si="62"/>
        <v>0</v>
      </c>
      <c r="J106" s="162">
        <f t="shared" si="45"/>
        <v>0</v>
      </c>
      <c r="K106" s="162">
        <f t="shared" si="62"/>
        <v>0</v>
      </c>
      <c r="L106" s="162">
        <f t="shared" si="62"/>
        <v>0</v>
      </c>
      <c r="M106" s="162">
        <f t="shared" si="46"/>
        <v>0</v>
      </c>
      <c r="N106" s="162">
        <f t="shared" si="62"/>
        <v>0</v>
      </c>
      <c r="O106" s="162">
        <f t="shared" si="47"/>
        <v>0</v>
      </c>
      <c r="P106" s="162">
        <f t="shared" si="48"/>
        <v>0</v>
      </c>
      <c r="Q106" s="162">
        <f t="shared" si="49"/>
        <v>0</v>
      </c>
      <c r="V106" s="149">
        <v>0</v>
      </c>
      <c r="X106" s="167"/>
      <c r="Y106" s="168"/>
    </row>
    <row r="107" spans="1:25" x14ac:dyDescent="0.25">
      <c r="A107" s="163">
        <v>212131</v>
      </c>
      <c r="B107" s="164" t="s">
        <v>553</v>
      </c>
      <c r="C107" s="165">
        <v>20000000</v>
      </c>
      <c r="D107" s="165">
        <v>0</v>
      </c>
      <c r="E107" s="165">
        <v>20000000</v>
      </c>
      <c r="F107" s="165">
        <v>0</v>
      </c>
      <c r="G107" s="165">
        <f t="shared" si="53"/>
        <v>0</v>
      </c>
      <c r="H107" s="165">
        <v>0</v>
      </c>
      <c r="I107" s="165">
        <v>0</v>
      </c>
      <c r="J107" s="165">
        <f t="shared" si="45"/>
        <v>0</v>
      </c>
      <c r="K107" s="165">
        <v>0</v>
      </c>
      <c r="L107" s="165">
        <v>0</v>
      </c>
      <c r="M107" s="165">
        <f t="shared" si="46"/>
        <v>0</v>
      </c>
      <c r="N107" s="165">
        <v>0</v>
      </c>
      <c r="O107" s="165">
        <f t="shared" si="47"/>
        <v>0</v>
      </c>
      <c r="P107" s="165">
        <f t="shared" si="48"/>
        <v>0</v>
      </c>
      <c r="Q107" s="165">
        <f t="shared" si="49"/>
        <v>0</v>
      </c>
      <c r="V107" s="149">
        <v>0</v>
      </c>
      <c r="X107" s="167"/>
      <c r="Y107" s="168"/>
    </row>
    <row r="108" spans="1:25" s="100" customFormat="1" x14ac:dyDescent="0.25">
      <c r="A108" s="157">
        <v>2122</v>
      </c>
      <c r="B108" s="158" t="s">
        <v>43</v>
      </c>
      <c r="C108" s="159">
        <f>+C109+C162</f>
        <v>8203837425</v>
      </c>
      <c r="D108" s="159">
        <f t="shared" ref="D108:N108" si="63">+D109+D162</f>
        <v>2232713991</v>
      </c>
      <c r="E108" s="159">
        <f t="shared" si="63"/>
        <v>569712351</v>
      </c>
      <c r="F108" s="159">
        <f t="shared" si="63"/>
        <v>1405015764</v>
      </c>
      <c r="G108" s="159">
        <f t="shared" si="63"/>
        <v>11271854829</v>
      </c>
      <c r="H108" s="159">
        <f t="shared" si="63"/>
        <v>541286118.01999998</v>
      </c>
      <c r="I108" s="159">
        <f t="shared" si="63"/>
        <v>7055447966.9200001</v>
      </c>
      <c r="J108" s="159">
        <f t="shared" si="45"/>
        <v>4216406862.0799999</v>
      </c>
      <c r="K108" s="159">
        <f t="shared" si="63"/>
        <v>676588078.18999994</v>
      </c>
      <c r="L108" s="159">
        <f t="shared" si="63"/>
        <v>3968027109.4099998</v>
      </c>
      <c r="M108" s="159">
        <f t="shared" si="46"/>
        <v>3087420857.5100002</v>
      </c>
      <c r="N108" s="159">
        <f t="shared" si="63"/>
        <v>8658110473.9099998</v>
      </c>
      <c r="O108" s="159">
        <f t="shared" si="47"/>
        <v>1602662506.9899998</v>
      </c>
      <c r="P108" s="159">
        <f t="shared" si="48"/>
        <v>2613744355.0900002</v>
      </c>
      <c r="Q108" s="159">
        <f t="shared" si="49"/>
        <v>3968027109.4099998</v>
      </c>
      <c r="V108" s="149">
        <v>2613744355.0900002</v>
      </c>
      <c r="X108" s="167"/>
      <c r="Y108" s="168"/>
    </row>
    <row r="109" spans="1:25" s="100" customFormat="1" x14ac:dyDescent="0.25">
      <c r="A109" s="157">
        <v>21221</v>
      </c>
      <c r="B109" s="158" t="s">
        <v>44</v>
      </c>
      <c r="C109" s="159">
        <f>+C110+C126+C130+C137</f>
        <v>2086537425</v>
      </c>
      <c r="D109" s="159">
        <f t="shared" ref="D109:N109" si="64">+D110+D126+D130+D137</f>
        <v>171200000</v>
      </c>
      <c r="E109" s="159">
        <f t="shared" si="64"/>
        <v>200400000</v>
      </c>
      <c r="F109" s="159">
        <f t="shared" si="64"/>
        <v>150000000</v>
      </c>
      <c r="G109" s="159">
        <f t="shared" si="64"/>
        <v>2207337425</v>
      </c>
      <c r="H109" s="159">
        <f t="shared" si="64"/>
        <v>69164402.010000005</v>
      </c>
      <c r="I109" s="159">
        <f t="shared" si="64"/>
        <v>761755798.00999999</v>
      </c>
      <c r="J109" s="159">
        <f t="shared" si="45"/>
        <v>1445581626.99</v>
      </c>
      <c r="K109" s="159">
        <f t="shared" si="64"/>
        <v>94219042</v>
      </c>
      <c r="L109" s="159">
        <f t="shared" si="64"/>
        <v>703986493</v>
      </c>
      <c r="M109" s="159">
        <f t="shared" si="46"/>
        <v>57769305.00999999</v>
      </c>
      <c r="N109" s="159">
        <f t="shared" si="64"/>
        <v>1184507499.01</v>
      </c>
      <c r="O109" s="159">
        <f t="shared" si="47"/>
        <v>422751701</v>
      </c>
      <c r="P109" s="159">
        <f t="shared" si="48"/>
        <v>1022829925.99</v>
      </c>
      <c r="Q109" s="159">
        <f t="shared" si="49"/>
        <v>703986493</v>
      </c>
      <c r="V109" s="149">
        <v>1022829925.99</v>
      </c>
      <c r="X109" s="167"/>
      <c r="Y109" s="168"/>
    </row>
    <row r="110" spans="1:25" s="100" customFormat="1" ht="30" x14ac:dyDescent="0.25">
      <c r="A110" s="157">
        <v>212210</v>
      </c>
      <c r="B110" s="158" t="s">
        <v>45</v>
      </c>
      <c r="C110" s="159">
        <f>+C111</f>
        <v>285400000</v>
      </c>
      <c r="D110" s="159">
        <f t="shared" ref="D110:N110" si="65">+D111</f>
        <v>0</v>
      </c>
      <c r="E110" s="159">
        <f t="shared" si="65"/>
        <v>200400000</v>
      </c>
      <c r="F110" s="159">
        <f t="shared" si="65"/>
        <v>10000000</v>
      </c>
      <c r="G110" s="159">
        <f t="shared" si="65"/>
        <v>95000000</v>
      </c>
      <c r="H110" s="159">
        <f t="shared" si="65"/>
        <v>0</v>
      </c>
      <c r="I110" s="159">
        <f t="shared" si="65"/>
        <v>39997885</v>
      </c>
      <c r="J110" s="159">
        <f t="shared" si="45"/>
        <v>55002115</v>
      </c>
      <c r="K110" s="159">
        <f t="shared" si="65"/>
        <v>0</v>
      </c>
      <c r="L110" s="159">
        <f t="shared" si="65"/>
        <v>39997885</v>
      </c>
      <c r="M110" s="159">
        <f t="shared" si="46"/>
        <v>0</v>
      </c>
      <c r="N110" s="159">
        <f t="shared" si="65"/>
        <v>95000000</v>
      </c>
      <c r="O110" s="159">
        <f t="shared" si="47"/>
        <v>55002115</v>
      </c>
      <c r="P110" s="159">
        <f t="shared" si="48"/>
        <v>0</v>
      </c>
      <c r="Q110" s="159">
        <f t="shared" si="49"/>
        <v>39997885</v>
      </c>
      <c r="V110" s="149">
        <v>0</v>
      </c>
      <c r="X110" s="167"/>
      <c r="Y110" s="168"/>
    </row>
    <row r="111" spans="1:25" s="100" customFormat="1" ht="30" x14ac:dyDescent="0.25">
      <c r="A111" s="160">
        <v>2122101</v>
      </c>
      <c r="B111" s="161" t="s">
        <v>46</v>
      </c>
      <c r="C111" s="162">
        <f>SUM(C112:C117)</f>
        <v>285400000</v>
      </c>
      <c r="D111" s="162">
        <f t="shared" ref="D111:N111" si="66">SUM(D112:D117)</f>
        <v>0</v>
      </c>
      <c r="E111" s="162">
        <f t="shared" si="66"/>
        <v>200400000</v>
      </c>
      <c r="F111" s="162">
        <f t="shared" si="66"/>
        <v>10000000</v>
      </c>
      <c r="G111" s="162">
        <f t="shared" si="66"/>
        <v>95000000</v>
      </c>
      <c r="H111" s="162">
        <f t="shared" si="66"/>
        <v>0</v>
      </c>
      <c r="I111" s="162">
        <f t="shared" si="66"/>
        <v>39997885</v>
      </c>
      <c r="J111" s="162">
        <f t="shared" si="45"/>
        <v>55002115</v>
      </c>
      <c r="K111" s="162">
        <f t="shared" si="66"/>
        <v>0</v>
      </c>
      <c r="L111" s="162">
        <f t="shared" si="66"/>
        <v>39997885</v>
      </c>
      <c r="M111" s="162">
        <f t="shared" si="46"/>
        <v>0</v>
      </c>
      <c r="N111" s="162">
        <f t="shared" si="66"/>
        <v>95000000</v>
      </c>
      <c r="O111" s="162">
        <f t="shared" si="47"/>
        <v>55002115</v>
      </c>
      <c r="P111" s="162">
        <f t="shared" si="48"/>
        <v>0</v>
      </c>
      <c r="Q111" s="162">
        <f t="shared" si="49"/>
        <v>39997885</v>
      </c>
      <c r="V111" s="149">
        <v>0</v>
      </c>
      <c r="X111" s="167"/>
      <c r="Y111" s="168"/>
    </row>
    <row r="112" spans="1:25" x14ac:dyDescent="0.25">
      <c r="A112" s="163">
        <v>21221011</v>
      </c>
      <c r="B112" s="164" t="s">
        <v>554</v>
      </c>
      <c r="C112" s="165">
        <v>130000000</v>
      </c>
      <c r="D112" s="165">
        <v>0</v>
      </c>
      <c r="E112" s="165">
        <v>60000000</v>
      </c>
      <c r="F112" s="165">
        <v>0</v>
      </c>
      <c r="G112" s="165">
        <f t="shared" si="53"/>
        <v>70000000</v>
      </c>
      <c r="H112" s="165">
        <v>0</v>
      </c>
      <c r="I112" s="165">
        <v>39997885</v>
      </c>
      <c r="J112" s="165">
        <f t="shared" si="45"/>
        <v>30002115</v>
      </c>
      <c r="K112" s="165">
        <v>0</v>
      </c>
      <c r="L112" s="165">
        <v>39997885</v>
      </c>
      <c r="M112" s="165">
        <f t="shared" si="46"/>
        <v>0</v>
      </c>
      <c r="N112" s="165">
        <v>70000000</v>
      </c>
      <c r="O112" s="165">
        <f t="shared" si="47"/>
        <v>30002115</v>
      </c>
      <c r="P112" s="165">
        <f t="shared" si="48"/>
        <v>0</v>
      </c>
      <c r="Q112" s="165">
        <f t="shared" si="49"/>
        <v>39997885</v>
      </c>
      <c r="V112" s="149">
        <v>0</v>
      </c>
      <c r="X112" s="167"/>
      <c r="Y112" s="168"/>
    </row>
    <row r="113" spans="1:25" x14ac:dyDescent="0.25">
      <c r="A113" s="163">
        <v>21221012</v>
      </c>
      <c r="B113" s="164" t="s">
        <v>555</v>
      </c>
      <c r="C113" s="165">
        <v>200000</v>
      </c>
      <c r="D113" s="165">
        <v>0</v>
      </c>
      <c r="E113" s="165">
        <v>200000</v>
      </c>
      <c r="F113" s="165">
        <v>0</v>
      </c>
      <c r="G113" s="165">
        <f t="shared" si="53"/>
        <v>0</v>
      </c>
      <c r="H113" s="165">
        <v>0</v>
      </c>
      <c r="I113" s="165">
        <v>0</v>
      </c>
      <c r="J113" s="165">
        <f t="shared" si="45"/>
        <v>0</v>
      </c>
      <c r="K113" s="165">
        <v>0</v>
      </c>
      <c r="L113" s="165">
        <v>0</v>
      </c>
      <c r="M113" s="165">
        <f t="shared" si="46"/>
        <v>0</v>
      </c>
      <c r="N113" s="165">
        <v>0</v>
      </c>
      <c r="O113" s="165">
        <f t="shared" si="47"/>
        <v>0</v>
      </c>
      <c r="P113" s="165">
        <f t="shared" si="48"/>
        <v>0</v>
      </c>
      <c r="Q113" s="165">
        <f t="shared" si="49"/>
        <v>0</v>
      </c>
      <c r="V113" s="149">
        <v>0</v>
      </c>
      <c r="X113" s="167"/>
      <c r="Y113" s="168"/>
    </row>
    <row r="114" spans="1:25" x14ac:dyDescent="0.25">
      <c r="A114" s="163">
        <v>21221013</v>
      </c>
      <c r="B114" s="164" t="s">
        <v>556</v>
      </c>
      <c r="C114" s="165">
        <v>200000</v>
      </c>
      <c r="D114" s="165">
        <v>0</v>
      </c>
      <c r="E114" s="165">
        <v>200000</v>
      </c>
      <c r="F114" s="165">
        <v>0</v>
      </c>
      <c r="G114" s="165">
        <f t="shared" si="53"/>
        <v>0</v>
      </c>
      <c r="H114" s="165">
        <v>0</v>
      </c>
      <c r="I114" s="165">
        <v>0</v>
      </c>
      <c r="J114" s="165">
        <f t="shared" si="45"/>
        <v>0</v>
      </c>
      <c r="K114" s="165">
        <v>0</v>
      </c>
      <c r="L114" s="165">
        <v>0</v>
      </c>
      <c r="M114" s="165">
        <f t="shared" si="46"/>
        <v>0</v>
      </c>
      <c r="N114" s="165">
        <v>0</v>
      </c>
      <c r="O114" s="165">
        <f t="shared" si="47"/>
        <v>0</v>
      </c>
      <c r="P114" s="165">
        <f t="shared" si="48"/>
        <v>0</v>
      </c>
      <c r="Q114" s="165">
        <f t="shared" si="49"/>
        <v>0</v>
      </c>
      <c r="V114" s="149">
        <v>0</v>
      </c>
      <c r="X114" s="167"/>
      <c r="Y114" s="168"/>
    </row>
    <row r="115" spans="1:25" x14ac:dyDescent="0.25">
      <c r="A115" s="163">
        <v>21221014</v>
      </c>
      <c r="B115" s="164" t="s">
        <v>50</v>
      </c>
      <c r="C115" s="165">
        <v>7000000</v>
      </c>
      <c r="D115" s="165">
        <v>0</v>
      </c>
      <c r="E115" s="165">
        <v>0</v>
      </c>
      <c r="F115" s="165">
        <v>0</v>
      </c>
      <c r="G115" s="165">
        <f t="shared" si="53"/>
        <v>7000000</v>
      </c>
      <c r="H115" s="165">
        <v>0</v>
      </c>
      <c r="I115" s="165">
        <v>0</v>
      </c>
      <c r="J115" s="165">
        <f t="shared" si="45"/>
        <v>7000000</v>
      </c>
      <c r="K115" s="165">
        <v>0</v>
      </c>
      <c r="L115" s="165">
        <v>0</v>
      </c>
      <c r="M115" s="165">
        <f t="shared" si="46"/>
        <v>0</v>
      </c>
      <c r="N115" s="165">
        <v>7000000</v>
      </c>
      <c r="O115" s="165">
        <f t="shared" si="47"/>
        <v>7000000</v>
      </c>
      <c r="P115" s="165">
        <f t="shared" si="48"/>
        <v>0</v>
      </c>
      <c r="Q115" s="165">
        <f t="shared" si="49"/>
        <v>0</v>
      </c>
      <c r="V115" s="149">
        <v>0</v>
      </c>
      <c r="X115" s="167"/>
      <c r="Y115" s="168"/>
    </row>
    <row r="116" spans="1:25" ht="30" x14ac:dyDescent="0.25">
      <c r="A116" s="163">
        <v>21221015</v>
      </c>
      <c r="B116" s="164" t="s">
        <v>637</v>
      </c>
      <c r="C116" s="165">
        <v>1200000</v>
      </c>
      <c r="D116" s="165">
        <v>0</v>
      </c>
      <c r="E116" s="165">
        <v>1200000</v>
      </c>
      <c r="F116" s="165">
        <v>10000000</v>
      </c>
      <c r="G116" s="165">
        <f t="shared" si="53"/>
        <v>10000000</v>
      </c>
      <c r="H116" s="165">
        <v>0</v>
      </c>
      <c r="I116" s="165">
        <v>0</v>
      </c>
      <c r="J116" s="165">
        <f t="shared" si="45"/>
        <v>10000000</v>
      </c>
      <c r="K116" s="165">
        <v>0</v>
      </c>
      <c r="L116" s="165">
        <v>0</v>
      </c>
      <c r="M116" s="165">
        <f t="shared" si="46"/>
        <v>0</v>
      </c>
      <c r="N116" s="165">
        <v>10000000</v>
      </c>
      <c r="O116" s="165">
        <f t="shared" si="47"/>
        <v>10000000</v>
      </c>
      <c r="P116" s="165">
        <f t="shared" si="48"/>
        <v>0</v>
      </c>
      <c r="Q116" s="165">
        <f t="shared" si="49"/>
        <v>0</v>
      </c>
      <c r="V116" s="149">
        <v>0</v>
      </c>
      <c r="X116" s="167"/>
      <c r="Y116" s="168"/>
    </row>
    <row r="117" spans="1:25" s="100" customFormat="1" ht="30" x14ac:dyDescent="0.25">
      <c r="A117" s="160">
        <v>21221016</v>
      </c>
      <c r="B117" s="161" t="s">
        <v>52</v>
      </c>
      <c r="C117" s="162">
        <f>SUM(C118:C125)</f>
        <v>146800000</v>
      </c>
      <c r="D117" s="162">
        <f t="shared" ref="D117:N117" si="67">SUM(D118:D125)</f>
        <v>0</v>
      </c>
      <c r="E117" s="162">
        <f t="shared" si="67"/>
        <v>138800000</v>
      </c>
      <c r="F117" s="162">
        <f t="shared" si="67"/>
        <v>0</v>
      </c>
      <c r="G117" s="162">
        <f t="shared" si="67"/>
        <v>8000000</v>
      </c>
      <c r="H117" s="162">
        <f t="shared" si="67"/>
        <v>0</v>
      </c>
      <c r="I117" s="162">
        <f t="shared" si="67"/>
        <v>0</v>
      </c>
      <c r="J117" s="162">
        <f t="shared" si="45"/>
        <v>8000000</v>
      </c>
      <c r="K117" s="162">
        <f t="shared" si="67"/>
        <v>0</v>
      </c>
      <c r="L117" s="162">
        <f t="shared" si="67"/>
        <v>0</v>
      </c>
      <c r="M117" s="162">
        <f t="shared" si="46"/>
        <v>0</v>
      </c>
      <c r="N117" s="162">
        <f t="shared" si="67"/>
        <v>8000000</v>
      </c>
      <c r="O117" s="162">
        <f t="shared" si="47"/>
        <v>8000000</v>
      </c>
      <c r="P117" s="162">
        <f t="shared" si="48"/>
        <v>0</v>
      </c>
      <c r="Q117" s="162">
        <f t="shared" si="49"/>
        <v>0</v>
      </c>
      <c r="V117" s="149">
        <v>0</v>
      </c>
      <c r="X117" s="167"/>
      <c r="Y117" s="168"/>
    </row>
    <row r="118" spans="1:25" x14ac:dyDescent="0.25">
      <c r="A118" s="163">
        <v>212210161</v>
      </c>
      <c r="B118" s="164" t="s">
        <v>557</v>
      </c>
      <c r="C118" s="165">
        <v>50000000</v>
      </c>
      <c r="D118" s="165">
        <v>0</v>
      </c>
      <c r="E118" s="165">
        <v>42000000</v>
      </c>
      <c r="F118" s="165">
        <v>0</v>
      </c>
      <c r="G118" s="165">
        <f t="shared" si="53"/>
        <v>8000000</v>
      </c>
      <c r="H118" s="165">
        <v>0</v>
      </c>
      <c r="I118" s="165">
        <v>0</v>
      </c>
      <c r="J118" s="165">
        <f t="shared" si="45"/>
        <v>8000000</v>
      </c>
      <c r="K118" s="165">
        <v>0</v>
      </c>
      <c r="L118" s="165">
        <v>0</v>
      </c>
      <c r="M118" s="165">
        <f t="shared" si="46"/>
        <v>0</v>
      </c>
      <c r="N118" s="165">
        <v>8000000</v>
      </c>
      <c r="O118" s="165">
        <f t="shared" si="47"/>
        <v>8000000</v>
      </c>
      <c r="P118" s="165">
        <f t="shared" si="48"/>
        <v>0</v>
      </c>
      <c r="Q118" s="165">
        <f t="shared" si="49"/>
        <v>0</v>
      </c>
      <c r="V118" s="149">
        <v>0</v>
      </c>
      <c r="X118" s="167"/>
      <c r="Y118" s="168"/>
    </row>
    <row r="119" spans="1:25" x14ac:dyDescent="0.25">
      <c r="A119" s="163">
        <v>212210162</v>
      </c>
      <c r="B119" s="164" t="s">
        <v>558</v>
      </c>
      <c r="C119" s="165">
        <v>17000000</v>
      </c>
      <c r="D119" s="165">
        <v>0</v>
      </c>
      <c r="E119" s="165">
        <v>17000000</v>
      </c>
      <c r="F119" s="165">
        <v>0</v>
      </c>
      <c r="G119" s="165">
        <f t="shared" si="53"/>
        <v>0</v>
      </c>
      <c r="H119" s="165">
        <v>0</v>
      </c>
      <c r="I119" s="165">
        <v>0</v>
      </c>
      <c r="J119" s="165">
        <f t="shared" si="45"/>
        <v>0</v>
      </c>
      <c r="K119" s="165">
        <v>0</v>
      </c>
      <c r="L119" s="165">
        <v>0</v>
      </c>
      <c r="M119" s="165">
        <f t="shared" si="46"/>
        <v>0</v>
      </c>
      <c r="N119" s="165">
        <v>0</v>
      </c>
      <c r="O119" s="165">
        <f t="shared" si="47"/>
        <v>0</v>
      </c>
      <c r="P119" s="165">
        <f t="shared" si="48"/>
        <v>0</v>
      </c>
      <c r="Q119" s="165">
        <f t="shared" si="49"/>
        <v>0</v>
      </c>
      <c r="V119" s="149">
        <v>0</v>
      </c>
      <c r="X119" s="167"/>
      <c r="Y119" s="168"/>
    </row>
    <row r="120" spans="1:25" x14ac:dyDescent="0.25">
      <c r="A120" s="163">
        <v>212210163</v>
      </c>
      <c r="B120" s="164" t="s">
        <v>559</v>
      </c>
      <c r="C120" s="165">
        <v>1200000</v>
      </c>
      <c r="D120" s="165">
        <v>0</v>
      </c>
      <c r="E120" s="165">
        <v>1200000</v>
      </c>
      <c r="F120" s="165">
        <v>0</v>
      </c>
      <c r="G120" s="165">
        <f t="shared" si="53"/>
        <v>0</v>
      </c>
      <c r="H120" s="165">
        <v>0</v>
      </c>
      <c r="I120" s="165">
        <v>0</v>
      </c>
      <c r="J120" s="165">
        <f t="shared" si="45"/>
        <v>0</v>
      </c>
      <c r="K120" s="165">
        <v>0</v>
      </c>
      <c r="L120" s="165">
        <v>0</v>
      </c>
      <c r="M120" s="165">
        <f t="shared" si="46"/>
        <v>0</v>
      </c>
      <c r="N120" s="165">
        <v>0</v>
      </c>
      <c r="O120" s="165">
        <f t="shared" si="47"/>
        <v>0</v>
      </c>
      <c r="P120" s="165">
        <f t="shared" si="48"/>
        <v>0</v>
      </c>
      <c r="Q120" s="165">
        <f t="shared" si="49"/>
        <v>0</v>
      </c>
      <c r="V120" s="149">
        <v>0</v>
      </c>
      <c r="X120" s="167"/>
      <c r="Y120" s="168"/>
    </row>
    <row r="121" spans="1:25" x14ac:dyDescent="0.25">
      <c r="A121" s="163">
        <v>212210164</v>
      </c>
      <c r="B121" s="164" t="s">
        <v>560</v>
      </c>
      <c r="C121" s="165">
        <v>600000</v>
      </c>
      <c r="D121" s="165">
        <v>0</v>
      </c>
      <c r="E121" s="165">
        <v>600000</v>
      </c>
      <c r="F121" s="165">
        <v>0</v>
      </c>
      <c r="G121" s="165">
        <f t="shared" si="53"/>
        <v>0</v>
      </c>
      <c r="H121" s="165">
        <v>0</v>
      </c>
      <c r="I121" s="165">
        <v>0</v>
      </c>
      <c r="J121" s="165">
        <f t="shared" si="45"/>
        <v>0</v>
      </c>
      <c r="K121" s="165">
        <v>0</v>
      </c>
      <c r="L121" s="165">
        <v>0</v>
      </c>
      <c r="M121" s="165">
        <f t="shared" si="46"/>
        <v>0</v>
      </c>
      <c r="N121" s="165">
        <v>0</v>
      </c>
      <c r="O121" s="165">
        <f t="shared" si="47"/>
        <v>0</v>
      </c>
      <c r="P121" s="165">
        <f t="shared" si="48"/>
        <v>0</v>
      </c>
      <c r="Q121" s="165">
        <f t="shared" si="49"/>
        <v>0</v>
      </c>
      <c r="V121" s="149">
        <v>0</v>
      </c>
      <c r="X121" s="167"/>
      <c r="Y121" s="168"/>
    </row>
    <row r="122" spans="1:25" x14ac:dyDescent="0.25">
      <c r="A122" s="163">
        <v>212210165</v>
      </c>
      <c r="B122" s="164" t="s">
        <v>561</v>
      </c>
      <c r="C122" s="165">
        <v>12000000</v>
      </c>
      <c r="D122" s="165">
        <v>0</v>
      </c>
      <c r="E122" s="165">
        <v>12000000</v>
      </c>
      <c r="F122" s="165">
        <v>0</v>
      </c>
      <c r="G122" s="165">
        <f t="shared" si="53"/>
        <v>0</v>
      </c>
      <c r="H122" s="165">
        <v>0</v>
      </c>
      <c r="I122" s="165">
        <v>0</v>
      </c>
      <c r="J122" s="165">
        <f t="shared" si="45"/>
        <v>0</v>
      </c>
      <c r="K122" s="165">
        <v>0</v>
      </c>
      <c r="L122" s="165">
        <v>0</v>
      </c>
      <c r="M122" s="165">
        <f t="shared" si="46"/>
        <v>0</v>
      </c>
      <c r="N122" s="165">
        <v>0</v>
      </c>
      <c r="O122" s="165">
        <f t="shared" si="47"/>
        <v>0</v>
      </c>
      <c r="P122" s="165">
        <f t="shared" si="48"/>
        <v>0</v>
      </c>
      <c r="Q122" s="165">
        <f t="shared" si="49"/>
        <v>0</v>
      </c>
      <c r="V122" s="149">
        <v>0</v>
      </c>
      <c r="X122" s="167"/>
      <c r="Y122" s="168"/>
    </row>
    <row r="123" spans="1:25" x14ac:dyDescent="0.25">
      <c r="A123" s="163">
        <v>212210166</v>
      </c>
      <c r="B123" s="164" t="s">
        <v>562</v>
      </c>
      <c r="C123" s="165">
        <v>30000000</v>
      </c>
      <c r="D123" s="165">
        <v>0</v>
      </c>
      <c r="E123" s="165">
        <v>30000000</v>
      </c>
      <c r="F123" s="165">
        <v>0</v>
      </c>
      <c r="G123" s="165">
        <f t="shared" si="53"/>
        <v>0</v>
      </c>
      <c r="H123" s="165">
        <v>0</v>
      </c>
      <c r="I123" s="165">
        <v>0</v>
      </c>
      <c r="J123" s="165">
        <f t="shared" si="45"/>
        <v>0</v>
      </c>
      <c r="K123" s="165">
        <v>0</v>
      </c>
      <c r="L123" s="165">
        <v>0</v>
      </c>
      <c r="M123" s="165">
        <f t="shared" si="46"/>
        <v>0</v>
      </c>
      <c r="N123" s="165">
        <v>0</v>
      </c>
      <c r="O123" s="165">
        <f t="shared" si="47"/>
        <v>0</v>
      </c>
      <c r="P123" s="165">
        <f t="shared" si="48"/>
        <v>0</v>
      </c>
      <c r="Q123" s="165">
        <f t="shared" si="49"/>
        <v>0</v>
      </c>
      <c r="V123" s="149">
        <v>0</v>
      </c>
      <c r="X123" s="167"/>
      <c r="Y123" s="168"/>
    </row>
    <row r="124" spans="1:25" x14ac:dyDescent="0.25">
      <c r="A124" s="163">
        <v>212210168</v>
      </c>
      <c r="B124" s="164" t="s">
        <v>563</v>
      </c>
      <c r="C124" s="165">
        <v>8000000</v>
      </c>
      <c r="D124" s="165">
        <v>0</v>
      </c>
      <c r="E124" s="165">
        <v>8000000</v>
      </c>
      <c r="F124" s="165">
        <v>0</v>
      </c>
      <c r="G124" s="165">
        <f t="shared" si="53"/>
        <v>0</v>
      </c>
      <c r="H124" s="165">
        <v>0</v>
      </c>
      <c r="I124" s="165">
        <v>0</v>
      </c>
      <c r="J124" s="165">
        <f t="shared" si="45"/>
        <v>0</v>
      </c>
      <c r="K124" s="165">
        <v>0</v>
      </c>
      <c r="L124" s="165">
        <v>0</v>
      </c>
      <c r="M124" s="165">
        <f t="shared" si="46"/>
        <v>0</v>
      </c>
      <c r="N124" s="165">
        <v>0</v>
      </c>
      <c r="O124" s="165">
        <f t="shared" si="47"/>
        <v>0</v>
      </c>
      <c r="P124" s="165">
        <f t="shared" si="48"/>
        <v>0</v>
      </c>
      <c r="Q124" s="165">
        <f t="shared" si="49"/>
        <v>0</v>
      </c>
      <c r="V124" s="149">
        <v>0</v>
      </c>
      <c r="X124" s="167"/>
      <c r="Y124" s="168"/>
    </row>
    <row r="125" spans="1:25" ht="30" x14ac:dyDescent="0.25">
      <c r="A125" s="163">
        <v>212210169</v>
      </c>
      <c r="B125" s="164" t="s">
        <v>564</v>
      </c>
      <c r="C125" s="165">
        <v>28000000</v>
      </c>
      <c r="D125" s="165">
        <v>0</v>
      </c>
      <c r="E125" s="165">
        <v>28000000</v>
      </c>
      <c r="F125" s="165">
        <v>0</v>
      </c>
      <c r="G125" s="165">
        <f t="shared" si="53"/>
        <v>0</v>
      </c>
      <c r="H125" s="165">
        <v>0</v>
      </c>
      <c r="I125" s="165">
        <v>0</v>
      </c>
      <c r="J125" s="165">
        <f t="shared" si="45"/>
        <v>0</v>
      </c>
      <c r="K125" s="165">
        <v>0</v>
      </c>
      <c r="L125" s="165">
        <v>0</v>
      </c>
      <c r="M125" s="165">
        <f t="shared" si="46"/>
        <v>0</v>
      </c>
      <c r="N125" s="165">
        <v>0</v>
      </c>
      <c r="O125" s="165">
        <f t="shared" si="47"/>
        <v>0</v>
      </c>
      <c r="P125" s="165">
        <f t="shared" si="48"/>
        <v>0</v>
      </c>
      <c r="Q125" s="165">
        <f t="shared" si="49"/>
        <v>0</v>
      </c>
      <c r="V125" s="149">
        <v>0</v>
      </c>
      <c r="X125" s="167"/>
      <c r="Y125" s="168"/>
    </row>
    <row r="126" spans="1:25" s="100" customFormat="1" x14ac:dyDescent="0.25">
      <c r="A126" s="157">
        <v>212211</v>
      </c>
      <c r="B126" s="158" t="s">
        <v>61</v>
      </c>
      <c r="C126" s="159">
        <f>+C127</f>
        <v>975426925</v>
      </c>
      <c r="D126" s="159">
        <f t="shared" ref="D126:N126" si="68">+D127</f>
        <v>0</v>
      </c>
      <c r="E126" s="159">
        <f t="shared" si="68"/>
        <v>0</v>
      </c>
      <c r="F126" s="159">
        <f t="shared" si="68"/>
        <v>0</v>
      </c>
      <c r="G126" s="159">
        <f t="shared" si="68"/>
        <v>975426925</v>
      </c>
      <c r="H126" s="159">
        <f t="shared" si="68"/>
        <v>60498996</v>
      </c>
      <c r="I126" s="159">
        <f t="shared" si="68"/>
        <v>552142418</v>
      </c>
      <c r="J126" s="159">
        <f t="shared" si="45"/>
        <v>423284507</v>
      </c>
      <c r="K126" s="159">
        <f t="shared" si="68"/>
        <v>83683366</v>
      </c>
      <c r="L126" s="159">
        <f t="shared" si="68"/>
        <v>543039416</v>
      </c>
      <c r="M126" s="159">
        <f t="shared" si="46"/>
        <v>9103002</v>
      </c>
      <c r="N126" s="159">
        <f t="shared" si="68"/>
        <v>573246475</v>
      </c>
      <c r="O126" s="159">
        <f t="shared" si="47"/>
        <v>21104057</v>
      </c>
      <c r="P126" s="159">
        <f t="shared" si="48"/>
        <v>402180450</v>
      </c>
      <c r="Q126" s="159">
        <f t="shared" si="49"/>
        <v>543039416</v>
      </c>
      <c r="V126" s="149">
        <v>402180450</v>
      </c>
      <c r="X126" s="167"/>
      <c r="Y126" s="168"/>
    </row>
    <row r="127" spans="1:25" s="100" customFormat="1" ht="30" x14ac:dyDescent="0.25">
      <c r="A127" s="160">
        <v>2122112</v>
      </c>
      <c r="B127" s="161" t="s">
        <v>62</v>
      </c>
      <c r="C127" s="162">
        <f>+C128+C129</f>
        <v>975426925</v>
      </c>
      <c r="D127" s="162">
        <f t="shared" ref="D127:N127" si="69">+D128+D129</f>
        <v>0</v>
      </c>
      <c r="E127" s="162">
        <f t="shared" si="69"/>
        <v>0</v>
      </c>
      <c r="F127" s="162">
        <f t="shared" si="69"/>
        <v>0</v>
      </c>
      <c r="G127" s="162">
        <f t="shared" si="69"/>
        <v>975426925</v>
      </c>
      <c r="H127" s="162">
        <f t="shared" si="69"/>
        <v>60498996</v>
      </c>
      <c r="I127" s="162">
        <f t="shared" si="69"/>
        <v>552142418</v>
      </c>
      <c r="J127" s="162">
        <f t="shared" si="45"/>
        <v>423284507</v>
      </c>
      <c r="K127" s="162">
        <f t="shared" si="69"/>
        <v>83683366</v>
      </c>
      <c r="L127" s="162">
        <f t="shared" si="69"/>
        <v>543039416</v>
      </c>
      <c r="M127" s="162">
        <f t="shared" si="46"/>
        <v>9103002</v>
      </c>
      <c r="N127" s="162">
        <f t="shared" si="69"/>
        <v>573246475</v>
      </c>
      <c r="O127" s="162">
        <f t="shared" si="47"/>
        <v>21104057</v>
      </c>
      <c r="P127" s="162">
        <f t="shared" si="48"/>
        <v>402180450</v>
      </c>
      <c r="Q127" s="162">
        <f t="shared" si="49"/>
        <v>543039416</v>
      </c>
      <c r="V127" s="149">
        <v>402180450</v>
      </c>
      <c r="X127" s="167"/>
      <c r="Y127" s="168"/>
    </row>
    <row r="128" spans="1:25" x14ac:dyDescent="0.25">
      <c r="A128" s="163">
        <v>21221121</v>
      </c>
      <c r="B128" s="164" t="s">
        <v>565</v>
      </c>
      <c r="C128" s="165">
        <v>772497771</v>
      </c>
      <c r="D128" s="165">
        <v>0</v>
      </c>
      <c r="E128" s="165">
        <v>0</v>
      </c>
      <c r="F128" s="165">
        <v>0</v>
      </c>
      <c r="G128" s="165">
        <f t="shared" si="53"/>
        <v>772497771</v>
      </c>
      <c r="H128" s="165">
        <v>37755846</v>
      </c>
      <c r="I128" s="165">
        <v>431297848</v>
      </c>
      <c r="J128" s="165">
        <f t="shared" si="45"/>
        <v>341199923</v>
      </c>
      <c r="K128" s="165">
        <v>37755846</v>
      </c>
      <c r="L128" s="165">
        <v>435781036</v>
      </c>
      <c r="M128" s="165">
        <f t="shared" si="46"/>
        <v>-4483188</v>
      </c>
      <c r="N128" s="165">
        <v>452401905</v>
      </c>
      <c r="O128" s="165">
        <f t="shared" si="47"/>
        <v>21104057</v>
      </c>
      <c r="P128" s="165">
        <f t="shared" si="48"/>
        <v>320095866</v>
      </c>
      <c r="Q128" s="165">
        <f t="shared" si="49"/>
        <v>435781036</v>
      </c>
      <c r="V128" s="149">
        <v>320095866</v>
      </c>
      <c r="X128" s="167"/>
      <c r="Y128" s="168"/>
    </row>
    <row r="129" spans="1:25" x14ac:dyDescent="0.25">
      <c r="A129" s="163">
        <v>21221122</v>
      </c>
      <c r="B129" s="164" t="s">
        <v>566</v>
      </c>
      <c r="C129" s="165">
        <v>202929154</v>
      </c>
      <c r="D129" s="165">
        <v>0</v>
      </c>
      <c r="E129" s="165">
        <v>0</v>
      </c>
      <c r="F129" s="165">
        <v>0</v>
      </c>
      <c r="G129" s="165">
        <f t="shared" si="53"/>
        <v>202929154</v>
      </c>
      <c r="H129" s="165">
        <v>22743150</v>
      </c>
      <c r="I129" s="165">
        <v>120844570</v>
      </c>
      <c r="J129" s="165">
        <f t="shared" si="45"/>
        <v>82084584</v>
      </c>
      <c r="K129" s="165">
        <v>45927520</v>
      </c>
      <c r="L129" s="165">
        <v>107258380</v>
      </c>
      <c r="M129" s="165">
        <f t="shared" si="46"/>
        <v>13586190</v>
      </c>
      <c r="N129" s="165">
        <v>120844570</v>
      </c>
      <c r="O129" s="165">
        <f t="shared" si="47"/>
        <v>0</v>
      </c>
      <c r="P129" s="165">
        <f t="shared" si="48"/>
        <v>82084584</v>
      </c>
      <c r="Q129" s="165">
        <f t="shared" si="49"/>
        <v>107258380</v>
      </c>
      <c r="V129" s="149">
        <v>82084584</v>
      </c>
      <c r="X129" s="167"/>
      <c r="Y129" s="168"/>
    </row>
    <row r="130" spans="1:25" s="100" customFormat="1" ht="45" x14ac:dyDescent="0.25">
      <c r="A130" s="157">
        <v>212212</v>
      </c>
      <c r="B130" s="158" t="s">
        <v>63</v>
      </c>
      <c r="C130" s="159">
        <f>+C131+C135</f>
        <v>270310500</v>
      </c>
      <c r="D130" s="159">
        <f t="shared" ref="D130:N130" si="70">+D131+D135</f>
        <v>3000000</v>
      </c>
      <c r="E130" s="159">
        <f t="shared" si="70"/>
        <v>0</v>
      </c>
      <c r="F130" s="159">
        <f t="shared" si="70"/>
        <v>0</v>
      </c>
      <c r="G130" s="159">
        <f t="shared" si="70"/>
        <v>273310500</v>
      </c>
      <c r="H130" s="159">
        <f t="shared" si="70"/>
        <v>0</v>
      </c>
      <c r="I130" s="159">
        <f t="shared" si="70"/>
        <v>2978100</v>
      </c>
      <c r="J130" s="159">
        <f t="shared" si="45"/>
        <v>270332400</v>
      </c>
      <c r="K130" s="159">
        <f t="shared" si="70"/>
        <v>0</v>
      </c>
      <c r="L130" s="159">
        <f t="shared" si="70"/>
        <v>2978100</v>
      </c>
      <c r="M130" s="159">
        <f t="shared" si="46"/>
        <v>0</v>
      </c>
      <c r="N130" s="159">
        <f t="shared" si="70"/>
        <v>262388600</v>
      </c>
      <c r="O130" s="159">
        <f t="shared" si="47"/>
        <v>259410500</v>
      </c>
      <c r="P130" s="159">
        <f t="shared" si="48"/>
        <v>10921900</v>
      </c>
      <c r="Q130" s="159">
        <f t="shared" si="49"/>
        <v>2978100</v>
      </c>
      <c r="V130" s="149">
        <v>10921900</v>
      </c>
      <c r="X130" s="167"/>
      <c r="Y130" s="168"/>
    </row>
    <row r="131" spans="1:25" s="100" customFormat="1" ht="45" x14ac:dyDescent="0.25">
      <c r="A131" s="160">
        <v>2122122</v>
      </c>
      <c r="B131" s="161" t="s">
        <v>64</v>
      </c>
      <c r="C131" s="162">
        <f>+C132+C133+C134</f>
        <v>10900000</v>
      </c>
      <c r="D131" s="162">
        <f t="shared" ref="D131:N131" si="71">+D132+D133+D134</f>
        <v>3000000</v>
      </c>
      <c r="E131" s="162">
        <f t="shared" si="71"/>
        <v>0</v>
      </c>
      <c r="F131" s="162">
        <f t="shared" si="71"/>
        <v>0</v>
      </c>
      <c r="G131" s="162">
        <f t="shared" si="71"/>
        <v>13900000</v>
      </c>
      <c r="H131" s="162">
        <f t="shared" si="71"/>
        <v>0</v>
      </c>
      <c r="I131" s="162">
        <f t="shared" si="71"/>
        <v>2978100</v>
      </c>
      <c r="J131" s="162">
        <f t="shared" si="45"/>
        <v>10921900</v>
      </c>
      <c r="K131" s="162">
        <f t="shared" si="71"/>
        <v>0</v>
      </c>
      <c r="L131" s="162">
        <f t="shared" si="71"/>
        <v>2978100</v>
      </c>
      <c r="M131" s="162">
        <f t="shared" si="46"/>
        <v>0</v>
      </c>
      <c r="N131" s="162">
        <f t="shared" si="71"/>
        <v>2978100</v>
      </c>
      <c r="O131" s="162">
        <f t="shared" si="47"/>
        <v>0</v>
      </c>
      <c r="P131" s="162">
        <f t="shared" si="48"/>
        <v>10921900</v>
      </c>
      <c r="Q131" s="162">
        <f t="shared" si="49"/>
        <v>2978100</v>
      </c>
      <c r="V131" s="149">
        <v>10921900</v>
      </c>
      <c r="X131" s="167"/>
      <c r="Y131" s="168"/>
    </row>
    <row r="132" spans="1:25" x14ac:dyDescent="0.25">
      <c r="A132" s="163">
        <v>21221225</v>
      </c>
      <c r="B132" s="164" t="s">
        <v>567</v>
      </c>
      <c r="C132" s="165">
        <v>5000000</v>
      </c>
      <c r="D132" s="165">
        <v>3000000</v>
      </c>
      <c r="E132" s="165">
        <v>0</v>
      </c>
      <c r="F132" s="165">
        <v>0</v>
      </c>
      <c r="G132" s="165">
        <f t="shared" si="53"/>
        <v>8000000</v>
      </c>
      <c r="H132" s="165">
        <v>0</v>
      </c>
      <c r="I132" s="165">
        <v>592250</v>
      </c>
      <c r="J132" s="165">
        <f t="shared" si="45"/>
        <v>7407750</v>
      </c>
      <c r="K132" s="165">
        <v>0</v>
      </c>
      <c r="L132" s="165">
        <v>592250</v>
      </c>
      <c r="M132" s="165">
        <f t="shared" si="46"/>
        <v>0</v>
      </c>
      <c r="N132" s="165">
        <v>592250</v>
      </c>
      <c r="O132" s="165">
        <f t="shared" si="47"/>
        <v>0</v>
      </c>
      <c r="P132" s="165">
        <f t="shared" si="48"/>
        <v>7407750</v>
      </c>
      <c r="Q132" s="165">
        <f t="shared" si="49"/>
        <v>592250</v>
      </c>
      <c r="V132" s="149">
        <v>7407750</v>
      </c>
      <c r="X132" s="167"/>
      <c r="Y132" s="168"/>
    </row>
    <row r="133" spans="1:25" x14ac:dyDescent="0.25">
      <c r="A133" s="163">
        <v>21221228</v>
      </c>
      <c r="B133" s="164" t="s">
        <v>568</v>
      </c>
      <c r="C133" s="165">
        <v>5000000</v>
      </c>
      <c r="D133" s="165">
        <v>0</v>
      </c>
      <c r="E133" s="165">
        <v>0</v>
      </c>
      <c r="F133" s="165">
        <v>0</v>
      </c>
      <c r="G133" s="165">
        <f t="shared" si="53"/>
        <v>5000000</v>
      </c>
      <c r="H133" s="165">
        <v>0</v>
      </c>
      <c r="I133" s="165">
        <v>1520700</v>
      </c>
      <c r="J133" s="165">
        <f t="shared" si="45"/>
        <v>3479300</v>
      </c>
      <c r="K133" s="165">
        <v>0</v>
      </c>
      <c r="L133" s="165">
        <v>1520700</v>
      </c>
      <c r="M133" s="165">
        <f t="shared" si="46"/>
        <v>0</v>
      </c>
      <c r="N133" s="165">
        <v>1520700</v>
      </c>
      <c r="O133" s="165">
        <f t="shared" si="47"/>
        <v>0</v>
      </c>
      <c r="P133" s="165">
        <f t="shared" si="48"/>
        <v>3479300</v>
      </c>
      <c r="Q133" s="165">
        <f t="shared" si="49"/>
        <v>1520700</v>
      </c>
      <c r="V133" s="149">
        <v>3479300</v>
      </c>
      <c r="X133" s="167"/>
      <c r="Y133" s="168"/>
    </row>
    <row r="134" spans="1:25" x14ac:dyDescent="0.25">
      <c r="A134" s="163">
        <v>21221229</v>
      </c>
      <c r="B134" s="164" t="s">
        <v>569</v>
      </c>
      <c r="C134" s="165">
        <v>900000</v>
      </c>
      <c r="D134" s="165">
        <v>0</v>
      </c>
      <c r="E134" s="165">
        <v>0</v>
      </c>
      <c r="F134" s="165">
        <v>0</v>
      </c>
      <c r="G134" s="165">
        <f t="shared" si="53"/>
        <v>900000</v>
      </c>
      <c r="H134" s="165">
        <v>0</v>
      </c>
      <c r="I134" s="165">
        <v>865150</v>
      </c>
      <c r="J134" s="165">
        <f t="shared" si="45"/>
        <v>34850</v>
      </c>
      <c r="K134" s="165">
        <v>0</v>
      </c>
      <c r="L134" s="165">
        <v>865150</v>
      </c>
      <c r="M134" s="165">
        <f t="shared" si="46"/>
        <v>0</v>
      </c>
      <c r="N134" s="165">
        <v>865150</v>
      </c>
      <c r="O134" s="165">
        <f t="shared" si="47"/>
        <v>0</v>
      </c>
      <c r="P134" s="165">
        <f t="shared" si="48"/>
        <v>34850</v>
      </c>
      <c r="Q134" s="165">
        <f t="shared" si="49"/>
        <v>865150</v>
      </c>
      <c r="V134" s="149">
        <v>34850</v>
      </c>
      <c r="X134" s="167"/>
      <c r="Y134" s="168"/>
    </row>
    <row r="135" spans="1:25" s="100" customFormat="1" x14ac:dyDescent="0.25">
      <c r="A135" s="160">
        <v>2122123</v>
      </c>
      <c r="B135" s="161" t="s">
        <v>65</v>
      </c>
      <c r="C135" s="162">
        <f>+C136</f>
        <v>259410500</v>
      </c>
      <c r="D135" s="162">
        <f t="shared" ref="D135:N135" si="72">+D136</f>
        <v>0</v>
      </c>
      <c r="E135" s="162">
        <f t="shared" si="72"/>
        <v>0</v>
      </c>
      <c r="F135" s="162">
        <f t="shared" si="72"/>
        <v>0</v>
      </c>
      <c r="G135" s="162">
        <f t="shared" si="72"/>
        <v>259410500</v>
      </c>
      <c r="H135" s="162">
        <f t="shared" si="72"/>
        <v>0</v>
      </c>
      <c r="I135" s="162">
        <f t="shared" si="72"/>
        <v>0</v>
      </c>
      <c r="J135" s="162">
        <f t="shared" ref="J135:J198" si="73">+G135-I135</f>
        <v>259410500</v>
      </c>
      <c r="K135" s="162">
        <f t="shared" si="72"/>
        <v>0</v>
      </c>
      <c r="L135" s="162">
        <f t="shared" si="72"/>
        <v>0</v>
      </c>
      <c r="M135" s="162">
        <f t="shared" ref="M135:M198" si="74">+I135-L135</f>
        <v>0</v>
      </c>
      <c r="N135" s="162">
        <f t="shared" si="72"/>
        <v>259410500</v>
      </c>
      <c r="O135" s="162">
        <f t="shared" ref="O135:O198" si="75">+N135-I135</f>
        <v>259410500</v>
      </c>
      <c r="P135" s="162">
        <f t="shared" ref="P135:P198" si="76">+G135-N135</f>
        <v>0</v>
      </c>
      <c r="Q135" s="162">
        <f t="shared" ref="Q135:Q198" si="77">+L135</f>
        <v>0</v>
      </c>
      <c r="V135" s="149">
        <v>0</v>
      </c>
      <c r="X135" s="167"/>
      <c r="Y135" s="168"/>
    </row>
    <row r="136" spans="1:25" x14ac:dyDescent="0.25">
      <c r="A136" s="163">
        <v>21221238</v>
      </c>
      <c r="B136" s="164" t="s">
        <v>570</v>
      </c>
      <c r="C136" s="165">
        <v>259410500</v>
      </c>
      <c r="D136" s="165">
        <v>0</v>
      </c>
      <c r="E136" s="165">
        <v>0</v>
      </c>
      <c r="F136" s="165">
        <v>0</v>
      </c>
      <c r="G136" s="165">
        <f t="shared" si="53"/>
        <v>259410500</v>
      </c>
      <c r="H136" s="165">
        <v>0</v>
      </c>
      <c r="I136" s="165">
        <v>0</v>
      </c>
      <c r="J136" s="165">
        <f t="shared" si="73"/>
        <v>259410500</v>
      </c>
      <c r="K136" s="165">
        <v>0</v>
      </c>
      <c r="L136" s="165">
        <v>0</v>
      </c>
      <c r="M136" s="165">
        <f t="shared" si="74"/>
        <v>0</v>
      </c>
      <c r="N136" s="165">
        <v>259410500</v>
      </c>
      <c r="O136" s="165">
        <f t="shared" si="75"/>
        <v>259410500</v>
      </c>
      <c r="P136" s="165">
        <f t="shared" si="76"/>
        <v>0</v>
      </c>
      <c r="Q136" s="165">
        <f t="shared" si="77"/>
        <v>0</v>
      </c>
      <c r="V136" s="149">
        <v>0</v>
      </c>
      <c r="X136" s="167"/>
      <c r="Y136" s="168"/>
    </row>
    <row r="137" spans="1:25" s="100" customFormat="1" ht="30" x14ac:dyDescent="0.25">
      <c r="A137" s="157">
        <v>212213</v>
      </c>
      <c r="B137" s="158" t="s">
        <v>66</v>
      </c>
      <c r="C137" s="159">
        <f>+C138+C146+C148</f>
        <v>555400000</v>
      </c>
      <c r="D137" s="159">
        <f t="shared" ref="D137:N137" si="78">+D138+D146+D148</f>
        <v>168200000</v>
      </c>
      <c r="E137" s="159">
        <f t="shared" si="78"/>
        <v>0</v>
      </c>
      <c r="F137" s="159">
        <f t="shared" si="78"/>
        <v>140000000</v>
      </c>
      <c r="G137" s="159">
        <f t="shared" si="78"/>
        <v>863600000</v>
      </c>
      <c r="H137" s="159">
        <f t="shared" si="78"/>
        <v>8665406.0099999998</v>
      </c>
      <c r="I137" s="159">
        <f t="shared" si="78"/>
        <v>166637395.00999999</v>
      </c>
      <c r="J137" s="159">
        <f t="shared" si="73"/>
        <v>696962604.99000001</v>
      </c>
      <c r="K137" s="159">
        <f t="shared" si="78"/>
        <v>10535676</v>
      </c>
      <c r="L137" s="159">
        <f t="shared" si="78"/>
        <v>117971092</v>
      </c>
      <c r="M137" s="159">
        <f t="shared" si="74"/>
        <v>48666303.00999999</v>
      </c>
      <c r="N137" s="159">
        <f t="shared" si="78"/>
        <v>253872424.00999999</v>
      </c>
      <c r="O137" s="159">
        <f t="shared" si="75"/>
        <v>87235029</v>
      </c>
      <c r="P137" s="159">
        <f t="shared" si="76"/>
        <v>609727575.99000001</v>
      </c>
      <c r="Q137" s="159">
        <f t="shared" si="77"/>
        <v>117971092</v>
      </c>
      <c r="V137" s="149">
        <v>609727575.99000001</v>
      </c>
      <c r="X137" s="167"/>
      <c r="Y137" s="168"/>
    </row>
    <row r="138" spans="1:25" s="100" customFormat="1" ht="30" x14ac:dyDescent="0.25">
      <c r="A138" s="160">
        <v>2122132</v>
      </c>
      <c r="B138" s="161" t="s">
        <v>67</v>
      </c>
      <c r="C138" s="162">
        <f>SUM(C139:C145)</f>
        <v>172500000</v>
      </c>
      <c r="D138" s="162">
        <f t="shared" ref="D138:N138" si="79">SUM(D139:D145)</f>
        <v>0</v>
      </c>
      <c r="E138" s="162">
        <f t="shared" si="79"/>
        <v>0</v>
      </c>
      <c r="F138" s="162">
        <f t="shared" si="79"/>
        <v>0</v>
      </c>
      <c r="G138" s="162">
        <f t="shared" si="79"/>
        <v>172500000</v>
      </c>
      <c r="H138" s="162">
        <f t="shared" si="79"/>
        <v>299930</v>
      </c>
      <c r="I138" s="162">
        <f t="shared" si="79"/>
        <v>43706611</v>
      </c>
      <c r="J138" s="162">
        <f t="shared" si="73"/>
        <v>128793389</v>
      </c>
      <c r="K138" s="162">
        <f t="shared" si="79"/>
        <v>96000</v>
      </c>
      <c r="L138" s="162">
        <f t="shared" si="79"/>
        <v>43267681</v>
      </c>
      <c r="M138" s="162">
        <f t="shared" si="74"/>
        <v>438930</v>
      </c>
      <c r="N138" s="162">
        <f t="shared" si="79"/>
        <v>53720711</v>
      </c>
      <c r="O138" s="162">
        <f t="shared" si="75"/>
        <v>10014100</v>
      </c>
      <c r="P138" s="162">
        <f t="shared" si="76"/>
        <v>118779289</v>
      </c>
      <c r="Q138" s="162">
        <f t="shared" si="77"/>
        <v>43267681</v>
      </c>
      <c r="V138" s="149">
        <v>118779289</v>
      </c>
      <c r="X138" s="167"/>
      <c r="Y138" s="168"/>
    </row>
    <row r="139" spans="1:25" x14ac:dyDescent="0.25">
      <c r="A139" s="163">
        <v>21221321</v>
      </c>
      <c r="B139" s="164" t="s">
        <v>571</v>
      </c>
      <c r="C139" s="165">
        <v>80000000</v>
      </c>
      <c r="D139" s="165">
        <v>0</v>
      </c>
      <c r="E139" s="165">
        <v>0</v>
      </c>
      <c r="F139" s="165">
        <v>0</v>
      </c>
      <c r="G139" s="165">
        <f t="shared" si="53"/>
        <v>80000000</v>
      </c>
      <c r="H139" s="165">
        <v>172000</v>
      </c>
      <c r="I139" s="165">
        <v>36900030</v>
      </c>
      <c r="J139" s="165">
        <f t="shared" si="73"/>
        <v>43099970</v>
      </c>
      <c r="K139" s="165">
        <v>0</v>
      </c>
      <c r="L139" s="165">
        <v>36693030</v>
      </c>
      <c r="M139" s="165">
        <f t="shared" si="74"/>
        <v>207000</v>
      </c>
      <c r="N139" s="165">
        <v>46914130</v>
      </c>
      <c r="O139" s="165">
        <f t="shared" si="75"/>
        <v>10014100</v>
      </c>
      <c r="P139" s="165">
        <f t="shared" si="76"/>
        <v>33085870</v>
      </c>
      <c r="Q139" s="165">
        <f t="shared" si="77"/>
        <v>36693030</v>
      </c>
      <c r="V139" s="149">
        <v>33085870</v>
      </c>
      <c r="X139" s="167"/>
      <c r="Y139" s="168"/>
    </row>
    <row r="140" spans="1:25" x14ac:dyDescent="0.25">
      <c r="A140" s="163">
        <v>21221322</v>
      </c>
      <c r="B140" s="164" t="s">
        <v>572</v>
      </c>
      <c r="C140" s="165">
        <v>25000000</v>
      </c>
      <c r="D140" s="165">
        <v>0</v>
      </c>
      <c r="E140" s="165">
        <v>0</v>
      </c>
      <c r="F140" s="165">
        <v>0</v>
      </c>
      <c r="G140" s="165">
        <f t="shared" si="53"/>
        <v>25000000</v>
      </c>
      <c r="H140" s="165">
        <v>0</v>
      </c>
      <c r="I140" s="165">
        <v>0</v>
      </c>
      <c r="J140" s="165">
        <f t="shared" si="73"/>
        <v>25000000</v>
      </c>
      <c r="K140" s="165">
        <v>0</v>
      </c>
      <c r="L140" s="165">
        <v>0</v>
      </c>
      <c r="M140" s="165">
        <f t="shared" si="74"/>
        <v>0</v>
      </c>
      <c r="N140" s="165">
        <v>0</v>
      </c>
      <c r="O140" s="165">
        <f t="shared" si="75"/>
        <v>0</v>
      </c>
      <c r="P140" s="165">
        <f t="shared" si="76"/>
        <v>25000000</v>
      </c>
      <c r="Q140" s="165">
        <f t="shared" si="77"/>
        <v>0</v>
      </c>
      <c r="V140" s="149">
        <v>25000000</v>
      </c>
      <c r="X140" s="167"/>
      <c r="Y140" s="168"/>
    </row>
    <row r="141" spans="1:25" ht="45" x14ac:dyDescent="0.25">
      <c r="A141" s="163">
        <v>21221323</v>
      </c>
      <c r="B141" s="164" t="s">
        <v>573</v>
      </c>
      <c r="C141" s="165">
        <v>8000000</v>
      </c>
      <c r="D141" s="165">
        <v>0</v>
      </c>
      <c r="E141" s="165">
        <v>0</v>
      </c>
      <c r="F141" s="165">
        <v>0</v>
      </c>
      <c r="G141" s="165">
        <f t="shared" si="53"/>
        <v>8000000</v>
      </c>
      <c r="H141" s="165">
        <v>0</v>
      </c>
      <c r="I141" s="165">
        <v>0</v>
      </c>
      <c r="J141" s="165">
        <f t="shared" si="73"/>
        <v>8000000</v>
      </c>
      <c r="K141" s="165">
        <v>0</v>
      </c>
      <c r="L141" s="165">
        <v>0</v>
      </c>
      <c r="M141" s="165">
        <f t="shared" si="74"/>
        <v>0</v>
      </c>
      <c r="N141" s="165">
        <v>0</v>
      </c>
      <c r="O141" s="165">
        <f t="shared" si="75"/>
        <v>0</v>
      </c>
      <c r="P141" s="165">
        <f t="shared" si="76"/>
        <v>8000000</v>
      </c>
      <c r="Q141" s="165">
        <f t="shared" si="77"/>
        <v>0</v>
      </c>
      <c r="V141" s="149">
        <v>8000000</v>
      </c>
      <c r="X141" s="167"/>
      <c r="Y141" s="168"/>
    </row>
    <row r="142" spans="1:25" ht="30" x14ac:dyDescent="0.25">
      <c r="A142" s="163">
        <v>21221324</v>
      </c>
      <c r="B142" s="164" t="s">
        <v>574</v>
      </c>
      <c r="C142" s="165">
        <v>15000000</v>
      </c>
      <c r="D142" s="165">
        <v>0</v>
      </c>
      <c r="E142" s="165">
        <v>0</v>
      </c>
      <c r="F142" s="165">
        <v>0</v>
      </c>
      <c r="G142" s="165">
        <f t="shared" si="53"/>
        <v>15000000</v>
      </c>
      <c r="H142" s="165">
        <v>0</v>
      </c>
      <c r="I142" s="165">
        <v>500000</v>
      </c>
      <c r="J142" s="165">
        <f t="shared" si="73"/>
        <v>14500000</v>
      </c>
      <c r="K142" s="165">
        <v>0</v>
      </c>
      <c r="L142" s="165">
        <v>500000</v>
      </c>
      <c r="M142" s="165">
        <f t="shared" si="74"/>
        <v>0</v>
      </c>
      <c r="N142" s="165">
        <v>500000</v>
      </c>
      <c r="O142" s="165">
        <f t="shared" si="75"/>
        <v>0</v>
      </c>
      <c r="P142" s="165">
        <f t="shared" si="76"/>
        <v>14500000</v>
      </c>
      <c r="Q142" s="165">
        <f t="shared" si="77"/>
        <v>500000</v>
      </c>
      <c r="V142" s="149">
        <v>14500000</v>
      </c>
      <c r="X142" s="167"/>
      <c r="Y142" s="168"/>
    </row>
    <row r="143" spans="1:25" ht="30" x14ac:dyDescent="0.25">
      <c r="A143" s="163">
        <v>21221326</v>
      </c>
      <c r="B143" s="164" t="s">
        <v>575</v>
      </c>
      <c r="C143" s="165">
        <v>40000000</v>
      </c>
      <c r="D143" s="165">
        <v>0</v>
      </c>
      <c r="E143" s="165">
        <v>0</v>
      </c>
      <c r="F143" s="165">
        <v>0</v>
      </c>
      <c r="G143" s="165">
        <f t="shared" si="53"/>
        <v>40000000</v>
      </c>
      <c r="H143" s="165">
        <v>0</v>
      </c>
      <c r="I143" s="165">
        <v>4058000</v>
      </c>
      <c r="J143" s="165">
        <f t="shared" si="73"/>
        <v>35942000</v>
      </c>
      <c r="K143" s="165">
        <v>0</v>
      </c>
      <c r="L143" s="165">
        <v>3958000</v>
      </c>
      <c r="M143" s="165">
        <f t="shared" si="74"/>
        <v>100000</v>
      </c>
      <c r="N143" s="165">
        <v>4058000</v>
      </c>
      <c r="O143" s="165">
        <f t="shared" si="75"/>
        <v>0</v>
      </c>
      <c r="P143" s="165">
        <f t="shared" si="76"/>
        <v>35942000</v>
      </c>
      <c r="Q143" s="165">
        <f t="shared" si="77"/>
        <v>3958000</v>
      </c>
      <c r="V143" s="149">
        <v>35942000</v>
      </c>
      <c r="X143" s="167"/>
      <c r="Y143" s="168"/>
    </row>
    <row r="144" spans="1:25" ht="30" x14ac:dyDescent="0.25">
      <c r="A144" s="163">
        <v>21221327</v>
      </c>
      <c r="B144" s="164" t="s">
        <v>638</v>
      </c>
      <c r="C144" s="165">
        <v>3000000</v>
      </c>
      <c r="D144" s="165">
        <v>0</v>
      </c>
      <c r="E144" s="165">
        <v>0</v>
      </c>
      <c r="F144" s="165">
        <v>0</v>
      </c>
      <c r="G144" s="165">
        <f t="shared" ref="G144:G208" si="80">+C144+D144-E144+F144</f>
        <v>3000000</v>
      </c>
      <c r="H144" s="165">
        <v>127930</v>
      </c>
      <c r="I144" s="165">
        <v>1848581</v>
      </c>
      <c r="J144" s="165">
        <f t="shared" si="73"/>
        <v>1151419</v>
      </c>
      <c r="K144" s="165">
        <v>96000</v>
      </c>
      <c r="L144" s="165">
        <v>1716651</v>
      </c>
      <c r="M144" s="165">
        <f t="shared" si="74"/>
        <v>131930</v>
      </c>
      <c r="N144" s="165">
        <v>1848581</v>
      </c>
      <c r="O144" s="165">
        <f t="shared" si="75"/>
        <v>0</v>
      </c>
      <c r="P144" s="165">
        <f t="shared" si="76"/>
        <v>1151419</v>
      </c>
      <c r="Q144" s="165">
        <f t="shared" si="77"/>
        <v>1716651</v>
      </c>
      <c r="V144" s="149">
        <v>1151419</v>
      </c>
      <c r="X144" s="167"/>
      <c r="Y144" s="168"/>
    </row>
    <row r="145" spans="1:25" ht="45" x14ac:dyDescent="0.25">
      <c r="A145" s="163">
        <v>21221328</v>
      </c>
      <c r="B145" s="164" t="s">
        <v>639</v>
      </c>
      <c r="C145" s="165">
        <v>1500000</v>
      </c>
      <c r="D145" s="165">
        <v>0</v>
      </c>
      <c r="E145" s="165">
        <v>0</v>
      </c>
      <c r="F145" s="165">
        <v>0</v>
      </c>
      <c r="G145" s="165">
        <f t="shared" si="80"/>
        <v>1500000</v>
      </c>
      <c r="H145" s="165">
        <v>0</v>
      </c>
      <c r="I145" s="165">
        <v>400000</v>
      </c>
      <c r="J145" s="165">
        <f t="shared" si="73"/>
        <v>1100000</v>
      </c>
      <c r="K145" s="165">
        <v>0</v>
      </c>
      <c r="L145" s="165">
        <v>400000</v>
      </c>
      <c r="M145" s="165">
        <f t="shared" si="74"/>
        <v>0</v>
      </c>
      <c r="N145" s="165">
        <v>400000</v>
      </c>
      <c r="O145" s="165">
        <f t="shared" si="75"/>
        <v>0</v>
      </c>
      <c r="P145" s="165">
        <f t="shared" si="76"/>
        <v>1100000</v>
      </c>
      <c r="Q145" s="165">
        <f t="shared" si="77"/>
        <v>400000</v>
      </c>
      <c r="V145" s="149">
        <v>1100000</v>
      </c>
      <c r="X145" s="167"/>
      <c r="Y145" s="168"/>
    </row>
    <row r="146" spans="1:25" s="100" customFormat="1" ht="45" x14ac:dyDescent="0.25">
      <c r="A146" s="160">
        <v>2122133</v>
      </c>
      <c r="B146" s="161" t="s">
        <v>68</v>
      </c>
      <c r="C146" s="162">
        <f>+C147</f>
        <v>16000000</v>
      </c>
      <c r="D146" s="162">
        <f t="shared" ref="D146:N146" si="81">+D147</f>
        <v>35000000</v>
      </c>
      <c r="E146" s="162">
        <f t="shared" si="81"/>
        <v>0</v>
      </c>
      <c r="F146" s="162">
        <f t="shared" si="81"/>
        <v>0</v>
      </c>
      <c r="G146" s="162">
        <f t="shared" si="81"/>
        <v>51000000</v>
      </c>
      <c r="H146" s="162">
        <f t="shared" si="81"/>
        <v>6500000</v>
      </c>
      <c r="I146" s="162">
        <f t="shared" si="81"/>
        <v>19500000</v>
      </c>
      <c r="J146" s="162">
        <f t="shared" si="73"/>
        <v>31500000</v>
      </c>
      <c r="K146" s="162">
        <f t="shared" si="81"/>
        <v>3117176</v>
      </c>
      <c r="L146" s="162">
        <f t="shared" si="81"/>
        <v>9060146</v>
      </c>
      <c r="M146" s="162">
        <f t="shared" si="74"/>
        <v>10439854</v>
      </c>
      <c r="N146" s="162">
        <f t="shared" si="81"/>
        <v>29500000</v>
      </c>
      <c r="O146" s="162">
        <f t="shared" si="75"/>
        <v>10000000</v>
      </c>
      <c r="P146" s="162">
        <f t="shared" si="76"/>
        <v>21500000</v>
      </c>
      <c r="Q146" s="162">
        <f t="shared" si="77"/>
        <v>9060146</v>
      </c>
      <c r="V146" s="149">
        <v>21500000</v>
      </c>
      <c r="X146" s="167"/>
      <c r="Y146" s="168"/>
    </row>
    <row r="147" spans="1:25" ht="30" x14ac:dyDescent="0.25">
      <c r="A147" s="163">
        <v>21221334</v>
      </c>
      <c r="B147" s="164" t="s">
        <v>576</v>
      </c>
      <c r="C147" s="165">
        <v>16000000</v>
      </c>
      <c r="D147" s="165">
        <v>35000000</v>
      </c>
      <c r="E147" s="165">
        <v>0</v>
      </c>
      <c r="F147" s="165">
        <v>0</v>
      </c>
      <c r="G147" s="165">
        <f t="shared" si="80"/>
        <v>51000000</v>
      </c>
      <c r="H147" s="165">
        <v>6500000</v>
      </c>
      <c r="I147" s="165">
        <v>19500000</v>
      </c>
      <c r="J147" s="165">
        <f t="shared" si="73"/>
        <v>31500000</v>
      </c>
      <c r="K147" s="165">
        <v>3117176</v>
      </c>
      <c r="L147" s="165">
        <v>9060146</v>
      </c>
      <c r="M147" s="165">
        <f t="shared" si="74"/>
        <v>10439854</v>
      </c>
      <c r="N147" s="165">
        <v>29500000</v>
      </c>
      <c r="O147" s="165">
        <f t="shared" si="75"/>
        <v>10000000</v>
      </c>
      <c r="P147" s="165">
        <f t="shared" si="76"/>
        <v>21500000</v>
      </c>
      <c r="Q147" s="165">
        <f t="shared" si="77"/>
        <v>9060146</v>
      </c>
      <c r="V147" s="149">
        <v>21500000</v>
      </c>
      <c r="X147" s="167"/>
      <c r="Y147" s="168"/>
    </row>
    <row r="148" spans="1:25" s="100" customFormat="1" x14ac:dyDescent="0.25">
      <c r="A148" s="160">
        <v>2122134</v>
      </c>
      <c r="B148" s="161" t="s">
        <v>69</v>
      </c>
      <c r="C148" s="162">
        <f>SUM(C149:C153)</f>
        <v>366900000</v>
      </c>
      <c r="D148" s="162">
        <f t="shared" ref="D148:N148" si="82">SUM(D149:D153)</f>
        <v>133200000</v>
      </c>
      <c r="E148" s="162">
        <f t="shared" si="82"/>
        <v>0</v>
      </c>
      <c r="F148" s="162">
        <f t="shared" si="82"/>
        <v>140000000</v>
      </c>
      <c r="G148" s="162">
        <f t="shared" si="82"/>
        <v>640100000</v>
      </c>
      <c r="H148" s="162">
        <f t="shared" si="82"/>
        <v>1865476.01</v>
      </c>
      <c r="I148" s="162">
        <f t="shared" si="82"/>
        <v>103430784.00999999</v>
      </c>
      <c r="J148" s="162">
        <f t="shared" si="73"/>
        <v>536669215.99000001</v>
      </c>
      <c r="K148" s="162">
        <f t="shared" si="82"/>
        <v>7322500</v>
      </c>
      <c r="L148" s="162">
        <f t="shared" si="82"/>
        <v>65643265</v>
      </c>
      <c r="M148" s="162">
        <f t="shared" si="74"/>
        <v>37787519.00999999</v>
      </c>
      <c r="N148" s="162">
        <f t="shared" si="82"/>
        <v>170651713.00999999</v>
      </c>
      <c r="O148" s="162">
        <f t="shared" si="75"/>
        <v>67220929</v>
      </c>
      <c r="P148" s="162">
        <f t="shared" si="76"/>
        <v>469448286.99000001</v>
      </c>
      <c r="Q148" s="162">
        <f t="shared" si="77"/>
        <v>65643265</v>
      </c>
      <c r="V148" s="149">
        <v>469448286.99000001</v>
      </c>
      <c r="X148" s="167"/>
      <c r="Y148" s="168"/>
    </row>
    <row r="149" spans="1:25" x14ac:dyDescent="0.25">
      <c r="A149" s="163">
        <v>21221341</v>
      </c>
      <c r="B149" s="164" t="s">
        <v>577</v>
      </c>
      <c r="C149" s="165">
        <v>85000000</v>
      </c>
      <c r="D149" s="165">
        <v>0</v>
      </c>
      <c r="E149" s="165">
        <v>0</v>
      </c>
      <c r="F149" s="165">
        <v>70000000</v>
      </c>
      <c r="G149" s="165">
        <f t="shared" si="80"/>
        <v>155000000</v>
      </c>
      <c r="H149" s="165">
        <v>793376</v>
      </c>
      <c r="I149" s="165">
        <v>3297502</v>
      </c>
      <c r="J149" s="165">
        <f t="shared" si="73"/>
        <v>151702498</v>
      </c>
      <c r="K149" s="165">
        <v>182500</v>
      </c>
      <c r="L149" s="165">
        <v>2350489</v>
      </c>
      <c r="M149" s="165">
        <f t="shared" si="74"/>
        <v>947013</v>
      </c>
      <c r="N149" s="165">
        <v>3297502</v>
      </c>
      <c r="O149" s="165">
        <f t="shared" si="75"/>
        <v>0</v>
      </c>
      <c r="P149" s="165">
        <f t="shared" si="76"/>
        <v>151702498</v>
      </c>
      <c r="Q149" s="165">
        <f t="shared" si="77"/>
        <v>2350489</v>
      </c>
      <c r="V149" s="149">
        <v>151702498</v>
      </c>
      <c r="X149" s="167"/>
      <c r="Y149" s="168"/>
    </row>
    <row r="150" spans="1:25" x14ac:dyDescent="0.25">
      <c r="A150" s="163">
        <v>21221342</v>
      </c>
      <c r="B150" s="164" t="s">
        <v>578</v>
      </c>
      <c r="C150" s="165">
        <v>18000000</v>
      </c>
      <c r="D150" s="165">
        <v>4000000</v>
      </c>
      <c r="E150" s="165">
        <v>0</v>
      </c>
      <c r="F150" s="165">
        <v>0</v>
      </c>
      <c r="G150" s="165">
        <f t="shared" si="80"/>
        <v>22000000</v>
      </c>
      <c r="H150" s="165">
        <v>0</v>
      </c>
      <c r="I150" s="165">
        <v>969884</v>
      </c>
      <c r="J150" s="165">
        <f t="shared" si="73"/>
        <v>21030116</v>
      </c>
      <c r="K150" s="165">
        <v>0</v>
      </c>
      <c r="L150" s="165">
        <v>969884</v>
      </c>
      <c r="M150" s="165">
        <f t="shared" si="74"/>
        <v>0</v>
      </c>
      <c r="N150" s="165">
        <v>5055100</v>
      </c>
      <c r="O150" s="165">
        <f t="shared" si="75"/>
        <v>4085216</v>
      </c>
      <c r="P150" s="165">
        <f t="shared" si="76"/>
        <v>16944900</v>
      </c>
      <c r="Q150" s="165">
        <f t="shared" si="77"/>
        <v>969884</v>
      </c>
      <c r="V150" s="149">
        <v>16944900</v>
      </c>
      <c r="X150" s="167"/>
      <c r="Y150" s="168"/>
    </row>
    <row r="151" spans="1:25" x14ac:dyDescent="0.25">
      <c r="A151" s="163">
        <v>21221345</v>
      </c>
      <c r="B151" s="164" t="s">
        <v>579</v>
      </c>
      <c r="C151" s="165">
        <v>7000000</v>
      </c>
      <c r="D151" s="165">
        <v>0</v>
      </c>
      <c r="E151" s="165">
        <v>0</v>
      </c>
      <c r="F151" s="165">
        <v>70000000</v>
      </c>
      <c r="G151" s="165">
        <f t="shared" si="80"/>
        <v>77000000</v>
      </c>
      <c r="H151" s="165">
        <v>0</v>
      </c>
      <c r="I151" s="165">
        <v>200000</v>
      </c>
      <c r="J151" s="165">
        <f t="shared" si="73"/>
        <v>76800000</v>
      </c>
      <c r="K151" s="165">
        <v>0</v>
      </c>
      <c r="L151" s="165">
        <v>200000</v>
      </c>
      <c r="M151" s="165">
        <f t="shared" si="74"/>
        <v>0</v>
      </c>
      <c r="N151" s="165">
        <v>200000</v>
      </c>
      <c r="O151" s="165">
        <f t="shared" si="75"/>
        <v>0</v>
      </c>
      <c r="P151" s="165">
        <f t="shared" si="76"/>
        <v>76800000</v>
      </c>
      <c r="Q151" s="165">
        <f t="shared" si="77"/>
        <v>200000</v>
      </c>
      <c r="V151" s="149">
        <v>76800000</v>
      </c>
    </row>
    <row r="152" spans="1:25" x14ac:dyDescent="0.25">
      <c r="A152" s="163">
        <v>21221346</v>
      </c>
      <c r="B152" s="164" t="s">
        <v>810</v>
      </c>
      <c r="C152" s="165"/>
      <c r="D152" s="165">
        <v>61600000</v>
      </c>
      <c r="E152" s="165">
        <v>0</v>
      </c>
      <c r="F152" s="165">
        <v>0</v>
      </c>
      <c r="G152" s="165">
        <f t="shared" si="80"/>
        <v>61600000</v>
      </c>
      <c r="H152" s="165">
        <v>0</v>
      </c>
      <c r="I152" s="165">
        <v>60000000</v>
      </c>
      <c r="J152" s="165">
        <f t="shared" si="73"/>
        <v>1600000</v>
      </c>
      <c r="K152" s="165">
        <v>7140000</v>
      </c>
      <c r="L152" s="165">
        <v>44417200</v>
      </c>
      <c r="M152" s="165">
        <f t="shared" si="74"/>
        <v>15582800</v>
      </c>
      <c r="N152" s="165">
        <v>61600000</v>
      </c>
      <c r="O152" s="165">
        <f t="shared" si="75"/>
        <v>1600000</v>
      </c>
      <c r="P152" s="165">
        <f t="shared" si="76"/>
        <v>0</v>
      </c>
      <c r="Q152" s="165">
        <f t="shared" si="77"/>
        <v>44417200</v>
      </c>
      <c r="V152" s="149">
        <v>0</v>
      </c>
      <c r="X152" s="167"/>
      <c r="Y152" s="168"/>
    </row>
    <row r="153" spans="1:25" s="100" customFormat="1" ht="45" x14ac:dyDescent="0.25">
      <c r="A153" s="160">
        <v>21221349</v>
      </c>
      <c r="B153" s="161" t="s">
        <v>70</v>
      </c>
      <c r="C153" s="162">
        <f>+C154+C155+C156+C159</f>
        <v>256900000</v>
      </c>
      <c r="D153" s="162">
        <f t="shared" ref="D153:N153" si="83">+D154+D155+D156+D159</f>
        <v>67600000</v>
      </c>
      <c r="E153" s="162">
        <f t="shared" si="83"/>
        <v>0</v>
      </c>
      <c r="F153" s="162">
        <f t="shared" si="83"/>
        <v>0</v>
      </c>
      <c r="G153" s="162">
        <f t="shared" si="83"/>
        <v>324500000</v>
      </c>
      <c r="H153" s="162">
        <f t="shared" si="83"/>
        <v>1072100.01</v>
      </c>
      <c r="I153" s="162">
        <f t="shared" si="83"/>
        <v>38963398.009999998</v>
      </c>
      <c r="J153" s="162">
        <f t="shared" si="73"/>
        <v>285536601.99000001</v>
      </c>
      <c r="K153" s="162">
        <f t="shared" si="83"/>
        <v>0</v>
      </c>
      <c r="L153" s="162">
        <f t="shared" si="83"/>
        <v>17705692</v>
      </c>
      <c r="M153" s="162">
        <f t="shared" si="74"/>
        <v>21257706.009999998</v>
      </c>
      <c r="N153" s="162">
        <f t="shared" si="83"/>
        <v>100499111.00999999</v>
      </c>
      <c r="O153" s="162">
        <f t="shared" si="75"/>
        <v>61535712.999999993</v>
      </c>
      <c r="P153" s="162">
        <f t="shared" si="76"/>
        <v>224000888.99000001</v>
      </c>
      <c r="Q153" s="162">
        <f t="shared" si="77"/>
        <v>17705692</v>
      </c>
      <c r="V153" s="149">
        <v>224000888.99000001</v>
      </c>
      <c r="X153" s="167"/>
      <c r="Y153" s="168"/>
    </row>
    <row r="154" spans="1:25" ht="30" x14ac:dyDescent="0.25">
      <c r="A154" s="163">
        <v>212213491</v>
      </c>
      <c r="B154" s="164" t="s">
        <v>580</v>
      </c>
      <c r="C154" s="165">
        <v>6900000</v>
      </c>
      <c r="D154" s="165">
        <v>0</v>
      </c>
      <c r="E154" s="165">
        <v>0</v>
      </c>
      <c r="F154" s="165">
        <v>0</v>
      </c>
      <c r="G154" s="165">
        <f t="shared" si="80"/>
        <v>6900000</v>
      </c>
      <c r="H154" s="165">
        <v>0</v>
      </c>
      <c r="I154" s="165">
        <v>0</v>
      </c>
      <c r="J154" s="165">
        <f t="shared" si="73"/>
        <v>6900000</v>
      </c>
      <c r="K154" s="165">
        <v>0</v>
      </c>
      <c r="L154" s="165">
        <v>0</v>
      </c>
      <c r="M154" s="165">
        <f t="shared" si="74"/>
        <v>0</v>
      </c>
      <c r="N154" s="165">
        <v>0</v>
      </c>
      <c r="O154" s="165">
        <f t="shared" si="75"/>
        <v>0</v>
      </c>
      <c r="P154" s="165">
        <f t="shared" si="76"/>
        <v>6900000</v>
      </c>
      <c r="Q154" s="165">
        <f t="shared" si="77"/>
        <v>0</v>
      </c>
      <c r="V154" s="149">
        <v>6900000</v>
      </c>
      <c r="X154" s="167"/>
      <c r="Y154" s="168"/>
    </row>
    <row r="155" spans="1:25" x14ac:dyDescent="0.25">
      <c r="A155" s="163">
        <v>212213492</v>
      </c>
      <c r="B155" s="164" t="s">
        <v>581</v>
      </c>
      <c r="C155" s="165">
        <v>250000000</v>
      </c>
      <c r="D155" s="165">
        <v>2600000</v>
      </c>
      <c r="E155" s="165">
        <v>0</v>
      </c>
      <c r="F155" s="165">
        <v>0</v>
      </c>
      <c r="G155" s="165">
        <f t="shared" si="80"/>
        <v>252600000</v>
      </c>
      <c r="H155" s="165">
        <v>0</v>
      </c>
      <c r="I155" s="165">
        <v>8730124</v>
      </c>
      <c r="J155" s="165">
        <f t="shared" si="73"/>
        <v>243869876</v>
      </c>
      <c r="K155" s="165">
        <v>0</v>
      </c>
      <c r="L155" s="165">
        <v>8730124</v>
      </c>
      <c r="M155" s="165">
        <f t="shared" si="74"/>
        <v>0</v>
      </c>
      <c r="N155" s="165">
        <v>59465305</v>
      </c>
      <c r="O155" s="165">
        <f t="shared" si="75"/>
        <v>50735181</v>
      </c>
      <c r="P155" s="165">
        <f t="shared" si="76"/>
        <v>193134695</v>
      </c>
      <c r="Q155" s="165">
        <f t="shared" si="77"/>
        <v>8730124</v>
      </c>
      <c r="V155" s="149">
        <v>193134695</v>
      </c>
      <c r="X155" s="167"/>
      <c r="Y155" s="168"/>
    </row>
    <row r="156" spans="1:25" s="100" customFormat="1" x14ac:dyDescent="0.25">
      <c r="A156" s="160">
        <v>212213496</v>
      </c>
      <c r="B156" s="161" t="s">
        <v>71</v>
      </c>
      <c r="C156" s="162">
        <f>+C157+C158</f>
        <v>0</v>
      </c>
      <c r="D156" s="162">
        <f t="shared" ref="D156:N156" si="84">+D157+D158</f>
        <v>25000000</v>
      </c>
      <c r="E156" s="162">
        <f t="shared" si="84"/>
        <v>0</v>
      </c>
      <c r="F156" s="162">
        <f t="shared" si="84"/>
        <v>0</v>
      </c>
      <c r="G156" s="162">
        <f t="shared" si="84"/>
        <v>25000000</v>
      </c>
      <c r="H156" s="162">
        <f t="shared" si="84"/>
        <v>430100.01</v>
      </c>
      <c r="I156" s="162">
        <f t="shared" si="84"/>
        <v>13096306.01</v>
      </c>
      <c r="J156" s="162">
        <f t="shared" si="73"/>
        <v>11903693.99</v>
      </c>
      <c r="K156" s="162">
        <f t="shared" si="84"/>
        <v>0</v>
      </c>
      <c r="L156" s="162">
        <f t="shared" si="84"/>
        <v>3638750</v>
      </c>
      <c r="M156" s="162">
        <f t="shared" si="74"/>
        <v>9457556.0099999998</v>
      </c>
      <c r="N156" s="162">
        <f t="shared" si="84"/>
        <v>20654988.009999998</v>
      </c>
      <c r="O156" s="162">
        <f t="shared" si="75"/>
        <v>7558681.9999999981</v>
      </c>
      <c r="P156" s="162">
        <f t="shared" si="76"/>
        <v>4345011.9900000021</v>
      </c>
      <c r="Q156" s="162">
        <f t="shared" si="77"/>
        <v>3638750</v>
      </c>
      <c r="V156" s="149">
        <v>4345011.9900000021</v>
      </c>
      <c r="X156" s="167"/>
      <c r="Y156" s="168"/>
    </row>
    <row r="157" spans="1:25" x14ac:dyDescent="0.25">
      <c r="A157" s="163">
        <v>2122134962</v>
      </c>
      <c r="B157" s="164" t="s">
        <v>582</v>
      </c>
      <c r="C157" s="165">
        <v>0</v>
      </c>
      <c r="D157" s="165">
        <v>10000000</v>
      </c>
      <c r="E157" s="165">
        <v>0</v>
      </c>
      <c r="F157" s="165">
        <v>0</v>
      </c>
      <c r="G157" s="165">
        <f t="shared" si="80"/>
        <v>10000000</v>
      </c>
      <c r="H157" s="165">
        <v>170100</v>
      </c>
      <c r="I157" s="165">
        <v>1920250</v>
      </c>
      <c r="J157" s="165">
        <f t="shared" si="73"/>
        <v>8079750</v>
      </c>
      <c r="K157" s="165">
        <v>0</v>
      </c>
      <c r="L157" s="165">
        <v>1750150</v>
      </c>
      <c r="M157" s="165">
        <f t="shared" si="74"/>
        <v>170100</v>
      </c>
      <c r="N157" s="165">
        <v>7587150</v>
      </c>
      <c r="O157" s="165">
        <f t="shared" si="75"/>
        <v>5666900</v>
      </c>
      <c r="P157" s="165">
        <f t="shared" si="76"/>
        <v>2412850</v>
      </c>
      <c r="Q157" s="165">
        <f t="shared" si="77"/>
        <v>1750150</v>
      </c>
      <c r="V157" s="149">
        <v>2412850</v>
      </c>
      <c r="X157" s="167"/>
      <c r="Y157" s="168"/>
    </row>
    <row r="158" spans="1:25" x14ac:dyDescent="0.25">
      <c r="A158" s="163">
        <v>2122134963</v>
      </c>
      <c r="B158" s="164" t="s">
        <v>583</v>
      </c>
      <c r="C158" s="165">
        <v>0</v>
      </c>
      <c r="D158" s="165">
        <v>15000000</v>
      </c>
      <c r="E158" s="165">
        <v>0</v>
      </c>
      <c r="F158" s="165">
        <v>0</v>
      </c>
      <c r="G158" s="165">
        <f t="shared" si="80"/>
        <v>15000000</v>
      </c>
      <c r="H158" s="165">
        <v>260000.01</v>
      </c>
      <c r="I158" s="165">
        <v>11176056.01</v>
      </c>
      <c r="J158" s="165">
        <f t="shared" si="73"/>
        <v>3823943.99</v>
      </c>
      <c r="K158" s="165">
        <v>0</v>
      </c>
      <c r="L158" s="165">
        <v>1888600</v>
      </c>
      <c r="M158" s="165">
        <f t="shared" si="74"/>
        <v>9287456.0099999998</v>
      </c>
      <c r="N158" s="165">
        <v>13067838.01</v>
      </c>
      <c r="O158" s="165">
        <f t="shared" si="75"/>
        <v>1891782</v>
      </c>
      <c r="P158" s="165">
        <f t="shared" si="76"/>
        <v>1932161.9900000002</v>
      </c>
      <c r="Q158" s="165">
        <f t="shared" si="77"/>
        <v>1888600</v>
      </c>
      <c r="V158" s="149">
        <v>1932161.9900000002</v>
      </c>
      <c r="X158" s="167"/>
      <c r="Y158" s="168"/>
    </row>
    <row r="159" spans="1:25" s="100" customFormat="1" ht="30" x14ac:dyDescent="0.25">
      <c r="A159" s="160">
        <v>212213497</v>
      </c>
      <c r="B159" s="161" t="s">
        <v>813</v>
      </c>
      <c r="C159" s="162">
        <f>+C160+C161</f>
        <v>0</v>
      </c>
      <c r="D159" s="162">
        <f t="shared" ref="D159:N159" si="85">+D160+D161</f>
        <v>40000000</v>
      </c>
      <c r="E159" s="162">
        <f t="shared" si="85"/>
        <v>0</v>
      </c>
      <c r="F159" s="162">
        <f t="shared" si="85"/>
        <v>0</v>
      </c>
      <c r="G159" s="162">
        <f t="shared" si="85"/>
        <v>40000000</v>
      </c>
      <c r="H159" s="162">
        <f t="shared" si="85"/>
        <v>642000</v>
      </c>
      <c r="I159" s="162">
        <f t="shared" si="85"/>
        <v>17136968</v>
      </c>
      <c r="J159" s="162">
        <f t="shared" si="73"/>
        <v>22863032</v>
      </c>
      <c r="K159" s="162">
        <f t="shared" si="85"/>
        <v>0</v>
      </c>
      <c r="L159" s="162">
        <f t="shared" si="85"/>
        <v>5336818</v>
      </c>
      <c r="M159" s="162">
        <f t="shared" si="74"/>
        <v>11800150</v>
      </c>
      <c r="N159" s="162">
        <f t="shared" si="85"/>
        <v>20378818</v>
      </c>
      <c r="O159" s="162">
        <f t="shared" si="75"/>
        <v>3241850</v>
      </c>
      <c r="P159" s="162">
        <f t="shared" si="76"/>
        <v>19621182</v>
      </c>
      <c r="Q159" s="162">
        <f t="shared" si="77"/>
        <v>5336818</v>
      </c>
      <c r="V159" s="149">
        <v>19621182</v>
      </c>
      <c r="X159" s="167"/>
      <c r="Y159" s="168"/>
    </row>
    <row r="160" spans="1:25" x14ac:dyDescent="0.25">
      <c r="A160" s="163">
        <v>2122134971</v>
      </c>
      <c r="B160" s="164" t="s">
        <v>814</v>
      </c>
      <c r="C160" s="165"/>
      <c r="D160" s="165">
        <v>15000000</v>
      </c>
      <c r="E160" s="165">
        <v>0</v>
      </c>
      <c r="F160" s="165">
        <v>0</v>
      </c>
      <c r="G160" s="165">
        <f t="shared" si="80"/>
        <v>15000000</v>
      </c>
      <c r="H160" s="165">
        <v>0</v>
      </c>
      <c r="I160" s="165">
        <v>11758150</v>
      </c>
      <c r="J160" s="165">
        <f t="shared" si="73"/>
        <v>3241850</v>
      </c>
      <c r="K160" s="165">
        <v>0</v>
      </c>
      <c r="L160" s="165">
        <v>600000</v>
      </c>
      <c r="M160" s="165">
        <f t="shared" si="74"/>
        <v>11158150</v>
      </c>
      <c r="N160" s="165">
        <v>15000000</v>
      </c>
      <c r="O160" s="165">
        <f t="shared" si="75"/>
        <v>3241850</v>
      </c>
      <c r="P160" s="165">
        <f t="shared" si="76"/>
        <v>0</v>
      </c>
      <c r="Q160" s="165">
        <f t="shared" si="77"/>
        <v>600000</v>
      </c>
      <c r="V160" s="149">
        <v>0</v>
      </c>
      <c r="X160" s="167"/>
      <c r="Y160" s="168"/>
    </row>
    <row r="161" spans="1:25" x14ac:dyDescent="0.25">
      <c r="A161" s="163">
        <v>2122134974</v>
      </c>
      <c r="B161" s="164" t="s">
        <v>815</v>
      </c>
      <c r="C161" s="165"/>
      <c r="D161" s="165">
        <v>25000000</v>
      </c>
      <c r="E161" s="165">
        <v>0</v>
      </c>
      <c r="F161" s="165">
        <v>0</v>
      </c>
      <c r="G161" s="165">
        <f t="shared" si="80"/>
        <v>25000000</v>
      </c>
      <c r="H161" s="165">
        <v>642000</v>
      </c>
      <c r="I161" s="165">
        <v>5378818</v>
      </c>
      <c r="J161" s="165">
        <f t="shared" si="73"/>
        <v>19621182</v>
      </c>
      <c r="K161" s="165">
        <v>0</v>
      </c>
      <c r="L161" s="165">
        <v>4736818</v>
      </c>
      <c r="M161" s="165">
        <f t="shared" si="74"/>
        <v>642000</v>
      </c>
      <c r="N161" s="165">
        <v>5378818</v>
      </c>
      <c r="O161" s="165">
        <f t="shared" si="75"/>
        <v>0</v>
      </c>
      <c r="P161" s="165">
        <f t="shared" si="76"/>
        <v>19621182</v>
      </c>
      <c r="Q161" s="165">
        <f t="shared" si="77"/>
        <v>4736818</v>
      </c>
      <c r="V161" s="149">
        <v>19621182</v>
      </c>
      <c r="X161" s="167"/>
      <c r="Y161" s="168"/>
    </row>
    <row r="162" spans="1:25" s="100" customFormat="1" x14ac:dyDescent="0.25">
      <c r="A162" s="157">
        <v>21222</v>
      </c>
      <c r="B162" s="158" t="s">
        <v>72</v>
      </c>
      <c r="C162" s="159">
        <f>+C163+C165+C168+C175+C191+C220</f>
        <v>6117300000</v>
      </c>
      <c r="D162" s="159">
        <f t="shared" ref="D162:N162" si="86">+D163+D165+D168+D175+D191+D220</f>
        <v>2061513991</v>
      </c>
      <c r="E162" s="159">
        <f t="shared" si="86"/>
        <v>369312351</v>
      </c>
      <c r="F162" s="159">
        <f t="shared" si="86"/>
        <v>1255015764</v>
      </c>
      <c r="G162" s="159">
        <f t="shared" si="86"/>
        <v>9064517404</v>
      </c>
      <c r="H162" s="159">
        <f t="shared" si="86"/>
        <v>472121716.00999999</v>
      </c>
      <c r="I162" s="159">
        <f t="shared" si="86"/>
        <v>6293692168.9099998</v>
      </c>
      <c r="J162" s="159">
        <f t="shared" si="73"/>
        <v>2770825235.0900002</v>
      </c>
      <c r="K162" s="159">
        <f t="shared" si="86"/>
        <v>582369036.18999994</v>
      </c>
      <c r="L162" s="159">
        <f t="shared" si="86"/>
        <v>3264040616.4099998</v>
      </c>
      <c r="M162" s="159">
        <f t="shared" si="74"/>
        <v>3029651552.5</v>
      </c>
      <c r="N162" s="159">
        <f t="shared" si="86"/>
        <v>7473602974.8999996</v>
      </c>
      <c r="O162" s="159">
        <f t="shared" si="75"/>
        <v>1179910805.9899998</v>
      </c>
      <c r="P162" s="159">
        <f t="shared" si="76"/>
        <v>1590914429.1000004</v>
      </c>
      <c r="Q162" s="159">
        <f t="shared" si="77"/>
        <v>3264040616.4099998</v>
      </c>
      <c r="V162" s="149">
        <v>1419357194.1000004</v>
      </c>
    </row>
    <row r="163" spans="1:25" s="100" customFormat="1" x14ac:dyDescent="0.25">
      <c r="A163" s="160">
        <v>212221</v>
      </c>
      <c r="B163" s="161" t="s">
        <v>20</v>
      </c>
      <c r="C163" s="162">
        <f>+C164</f>
        <v>350000000</v>
      </c>
      <c r="D163" s="162">
        <f t="shared" ref="D163:N163" si="87">+D164</f>
        <v>0</v>
      </c>
      <c r="E163" s="162">
        <f t="shared" si="87"/>
        <v>0</v>
      </c>
      <c r="F163" s="162">
        <f t="shared" si="87"/>
        <v>0</v>
      </c>
      <c r="G163" s="162">
        <f t="shared" si="87"/>
        <v>350000000</v>
      </c>
      <c r="H163" s="162">
        <f t="shared" si="87"/>
        <v>4765016</v>
      </c>
      <c r="I163" s="162">
        <f t="shared" si="87"/>
        <v>110082631</v>
      </c>
      <c r="J163" s="162">
        <f t="shared" si="73"/>
        <v>239917369</v>
      </c>
      <c r="K163" s="162">
        <f t="shared" si="87"/>
        <v>3818853</v>
      </c>
      <c r="L163" s="162">
        <f t="shared" si="87"/>
        <v>112000562</v>
      </c>
      <c r="M163" s="162">
        <f t="shared" si="74"/>
        <v>-1917931</v>
      </c>
      <c r="N163" s="162">
        <f t="shared" si="87"/>
        <v>178442765</v>
      </c>
      <c r="O163" s="162">
        <f t="shared" si="75"/>
        <v>68360134</v>
      </c>
      <c r="P163" s="162">
        <f t="shared" si="76"/>
        <v>171557235</v>
      </c>
      <c r="Q163" s="162">
        <f t="shared" si="77"/>
        <v>112000562</v>
      </c>
      <c r="V163" s="149">
        <v>171557235</v>
      </c>
      <c r="X163" s="84"/>
      <c r="Y163" s="84"/>
    </row>
    <row r="164" spans="1:25" x14ac:dyDescent="0.25">
      <c r="A164" s="163">
        <v>2122211</v>
      </c>
      <c r="B164" s="164" t="s">
        <v>73</v>
      </c>
      <c r="C164" s="165">
        <v>350000000</v>
      </c>
      <c r="D164" s="165">
        <v>0</v>
      </c>
      <c r="E164" s="165">
        <v>0</v>
      </c>
      <c r="F164" s="165">
        <v>0</v>
      </c>
      <c r="G164" s="165">
        <f t="shared" si="80"/>
        <v>350000000</v>
      </c>
      <c r="H164" s="165">
        <v>4765016</v>
      </c>
      <c r="I164" s="165">
        <v>110082631</v>
      </c>
      <c r="J164" s="165">
        <f t="shared" si="73"/>
        <v>239917369</v>
      </c>
      <c r="K164" s="165">
        <v>3818853</v>
      </c>
      <c r="L164" s="165">
        <v>112000562</v>
      </c>
      <c r="M164" s="165">
        <f t="shared" si="74"/>
        <v>-1917931</v>
      </c>
      <c r="N164" s="165">
        <v>178442765</v>
      </c>
      <c r="O164" s="165">
        <f t="shared" si="75"/>
        <v>68360134</v>
      </c>
      <c r="P164" s="165">
        <f t="shared" si="76"/>
        <v>171557235</v>
      </c>
      <c r="Q164" s="165">
        <f t="shared" si="77"/>
        <v>112000562</v>
      </c>
      <c r="V164" s="149">
        <v>171557235</v>
      </c>
    </row>
    <row r="165" spans="1:25" s="100" customFormat="1" x14ac:dyDescent="0.25">
      <c r="A165" s="160">
        <v>212225</v>
      </c>
      <c r="B165" s="161" t="s">
        <v>816</v>
      </c>
      <c r="C165" s="162">
        <f>+C166</f>
        <v>0</v>
      </c>
      <c r="D165" s="162">
        <f t="shared" ref="D165:N165" si="88">+D166</f>
        <v>34000000</v>
      </c>
      <c r="E165" s="162">
        <f t="shared" si="88"/>
        <v>0</v>
      </c>
      <c r="F165" s="162">
        <f t="shared" si="88"/>
        <v>429515764</v>
      </c>
      <c r="G165" s="162">
        <f t="shared" si="88"/>
        <v>463515764</v>
      </c>
      <c r="H165" s="162">
        <f t="shared" si="88"/>
        <v>274547823</v>
      </c>
      <c r="I165" s="162">
        <f t="shared" si="88"/>
        <v>308547823</v>
      </c>
      <c r="J165" s="162">
        <f t="shared" si="73"/>
        <v>154967941</v>
      </c>
      <c r="K165" s="162">
        <f t="shared" si="88"/>
        <v>0</v>
      </c>
      <c r="L165" s="162">
        <f t="shared" si="88"/>
        <v>34000000</v>
      </c>
      <c r="M165" s="162">
        <f t="shared" si="74"/>
        <v>274547823</v>
      </c>
      <c r="N165" s="162">
        <f t="shared" si="88"/>
        <v>308547823</v>
      </c>
      <c r="O165" s="162">
        <f t="shared" si="75"/>
        <v>0</v>
      </c>
      <c r="P165" s="162">
        <f t="shared" si="76"/>
        <v>154967941</v>
      </c>
      <c r="Q165" s="162">
        <f t="shared" si="77"/>
        <v>34000000</v>
      </c>
      <c r="V165" s="149">
        <v>154967941</v>
      </c>
      <c r="X165" s="84"/>
      <c r="Y165" s="84"/>
    </row>
    <row r="166" spans="1:25" ht="30" x14ac:dyDescent="0.25">
      <c r="A166" s="163">
        <v>2122252</v>
      </c>
      <c r="B166" s="164" t="s">
        <v>817</v>
      </c>
      <c r="C166" s="165">
        <f>+C167</f>
        <v>0</v>
      </c>
      <c r="D166" s="165">
        <v>34000000</v>
      </c>
      <c r="E166" s="165">
        <v>0</v>
      </c>
      <c r="F166" s="165">
        <v>429515764</v>
      </c>
      <c r="G166" s="165">
        <f t="shared" si="80"/>
        <v>463515764</v>
      </c>
      <c r="H166" s="165">
        <v>274547823</v>
      </c>
      <c r="I166" s="165">
        <v>308547823</v>
      </c>
      <c r="J166" s="165">
        <f t="shared" si="73"/>
        <v>154967941</v>
      </c>
      <c r="K166" s="165">
        <v>0</v>
      </c>
      <c r="L166" s="165">
        <v>34000000</v>
      </c>
      <c r="M166" s="165">
        <f t="shared" si="74"/>
        <v>274547823</v>
      </c>
      <c r="N166" s="165">
        <v>308547823</v>
      </c>
      <c r="O166" s="165">
        <f t="shared" si="75"/>
        <v>0</v>
      </c>
      <c r="P166" s="165">
        <f t="shared" si="76"/>
        <v>154967941</v>
      </c>
      <c r="Q166" s="165">
        <f t="shared" si="77"/>
        <v>34000000</v>
      </c>
      <c r="V166" s="149">
        <v>154967941</v>
      </c>
    </row>
    <row r="167" spans="1:25" ht="30" x14ac:dyDescent="0.25">
      <c r="A167" s="163">
        <v>21222524</v>
      </c>
      <c r="B167" s="164" t="s">
        <v>818</v>
      </c>
      <c r="C167" s="165"/>
      <c r="D167" s="165">
        <v>34000000</v>
      </c>
      <c r="E167" s="165">
        <v>0</v>
      </c>
      <c r="F167" s="165">
        <v>429515764</v>
      </c>
      <c r="G167" s="165">
        <f t="shared" si="80"/>
        <v>463515764</v>
      </c>
      <c r="H167" s="165">
        <v>274547823</v>
      </c>
      <c r="I167" s="165">
        <v>308547823</v>
      </c>
      <c r="J167" s="165">
        <f t="shared" si="73"/>
        <v>154967941</v>
      </c>
      <c r="K167" s="165">
        <v>0</v>
      </c>
      <c r="L167" s="165">
        <v>34000000</v>
      </c>
      <c r="M167" s="165">
        <f t="shared" si="74"/>
        <v>274547823</v>
      </c>
      <c r="N167" s="165">
        <v>308547823</v>
      </c>
      <c r="O167" s="165">
        <f t="shared" si="75"/>
        <v>0</v>
      </c>
      <c r="P167" s="165">
        <f t="shared" si="76"/>
        <v>154967941</v>
      </c>
      <c r="Q167" s="165">
        <f t="shared" si="77"/>
        <v>34000000</v>
      </c>
      <c r="V167" s="149">
        <v>154967941</v>
      </c>
      <c r="X167" s="167"/>
      <c r="Y167" s="168"/>
    </row>
    <row r="168" spans="1:25" s="100" customFormat="1" ht="45" x14ac:dyDescent="0.25">
      <c r="A168" s="157">
        <v>212226</v>
      </c>
      <c r="B168" s="158" t="s">
        <v>74</v>
      </c>
      <c r="C168" s="159">
        <f>+C169+C173+C174</f>
        <v>470000000</v>
      </c>
      <c r="D168" s="159">
        <f t="shared" ref="D168:N168" si="89">+D169+D173+D174</f>
        <v>0</v>
      </c>
      <c r="E168" s="159">
        <f t="shared" si="89"/>
        <v>0</v>
      </c>
      <c r="F168" s="159">
        <f t="shared" si="89"/>
        <v>0</v>
      </c>
      <c r="G168" s="159">
        <f t="shared" si="89"/>
        <v>470000000</v>
      </c>
      <c r="H168" s="159">
        <f t="shared" si="89"/>
        <v>0</v>
      </c>
      <c r="I168" s="159">
        <f t="shared" si="89"/>
        <v>291265502</v>
      </c>
      <c r="J168" s="159">
        <f t="shared" si="73"/>
        <v>178734498</v>
      </c>
      <c r="K168" s="159">
        <f t="shared" si="89"/>
        <v>8197422.6699999999</v>
      </c>
      <c r="L168" s="159">
        <f t="shared" si="89"/>
        <v>15519464.67</v>
      </c>
      <c r="M168" s="159">
        <f t="shared" si="74"/>
        <v>275746037.32999998</v>
      </c>
      <c r="N168" s="159">
        <f t="shared" si="89"/>
        <v>331365502</v>
      </c>
      <c r="O168" s="159">
        <f t="shared" si="75"/>
        <v>40100000</v>
      </c>
      <c r="P168" s="159">
        <f t="shared" si="76"/>
        <v>138634498</v>
      </c>
      <c r="Q168" s="159">
        <f t="shared" si="77"/>
        <v>15519464.67</v>
      </c>
      <c r="V168" s="149">
        <v>138634498</v>
      </c>
      <c r="X168" s="167"/>
      <c r="Y168" s="168"/>
    </row>
    <row r="169" spans="1:25" s="100" customFormat="1" ht="30" x14ac:dyDescent="0.25">
      <c r="A169" s="160">
        <v>2122261</v>
      </c>
      <c r="B169" s="161" t="s">
        <v>75</v>
      </c>
      <c r="C169" s="162">
        <f>+C170+C171+C172</f>
        <v>97000000</v>
      </c>
      <c r="D169" s="162">
        <f t="shared" ref="D169:N169" si="90">+D170+D171+D172</f>
        <v>0</v>
      </c>
      <c r="E169" s="162">
        <f t="shared" si="90"/>
        <v>0</v>
      </c>
      <c r="F169" s="162">
        <f t="shared" si="90"/>
        <v>0</v>
      </c>
      <c r="G169" s="162">
        <f t="shared" si="90"/>
        <v>97000000</v>
      </c>
      <c r="H169" s="162">
        <f t="shared" si="90"/>
        <v>0</v>
      </c>
      <c r="I169" s="162">
        <f t="shared" si="90"/>
        <v>97000000</v>
      </c>
      <c r="J169" s="162">
        <f t="shared" si="73"/>
        <v>0</v>
      </c>
      <c r="K169" s="162">
        <f t="shared" si="90"/>
        <v>8197422.6699999999</v>
      </c>
      <c r="L169" s="162">
        <f t="shared" si="90"/>
        <v>14553962.67</v>
      </c>
      <c r="M169" s="162">
        <f t="shared" si="74"/>
        <v>82446037.329999998</v>
      </c>
      <c r="N169" s="162">
        <f t="shared" si="90"/>
        <v>97000000</v>
      </c>
      <c r="O169" s="162">
        <f t="shared" si="75"/>
        <v>0</v>
      </c>
      <c r="P169" s="162">
        <f t="shared" si="76"/>
        <v>0</v>
      </c>
      <c r="Q169" s="162">
        <f t="shared" si="77"/>
        <v>14553962.67</v>
      </c>
      <c r="V169" s="149">
        <v>0</v>
      </c>
      <c r="X169" s="167"/>
      <c r="Y169" s="168"/>
    </row>
    <row r="170" spans="1:25" x14ac:dyDescent="0.25">
      <c r="A170" s="163">
        <v>21222611</v>
      </c>
      <c r="B170" s="164" t="s">
        <v>584</v>
      </c>
      <c r="C170" s="165">
        <v>37000000</v>
      </c>
      <c r="D170" s="165">
        <v>0</v>
      </c>
      <c r="E170" s="165">
        <v>0</v>
      </c>
      <c r="F170" s="165">
        <v>0</v>
      </c>
      <c r="G170" s="165">
        <f t="shared" si="80"/>
        <v>37000000</v>
      </c>
      <c r="H170" s="165">
        <v>0</v>
      </c>
      <c r="I170" s="165">
        <v>37000000</v>
      </c>
      <c r="J170" s="165">
        <f t="shared" si="73"/>
        <v>0</v>
      </c>
      <c r="K170" s="165">
        <v>0</v>
      </c>
      <c r="L170" s="165">
        <v>0</v>
      </c>
      <c r="M170" s="165">
        <f t="shared" si="74"/>
        <v>37000000</v>
      </c>
      <c r="N170" s="165">
        <v>37000000</v>
      </c>
      <c r="O170" s="165">
        <f t="shared" si="75"/>
        <v>0</v>
      </c>
      <c r="P170" s="165">
        <f t="shared" si="76"/>
        <v>0</v>
      </c>
      <c r="Q170" s="165">
        <f t="shared" si="77"/>
        <v>0</v>
      </c>
      <c r="V170" s="149">
        <v>0</v>
      </c>
      <c r="X170" s="167"/>
      <c r="Y170" s="168"/>
    </row>
    <row r="171" spans="1:25" x14ac:dyDescent="0.25">
      <c r="A171" s="163">
        <v>21222612</v>
      </c>
      <c r="B171" s="164" t="s">
        <v>585</v>
      </c>
      <c r="C171" s="165">
        <v>25000000</v>
      </c>
      <c r="D171" s="165">
        <v>0</v>
      </c>
      <c r="E171" s="165">
        <v>0</v>
      </c>
      <c r="F171" s="165">
        <v>0</v>
      </c>
      <c r="G171" s="165">
        <f t="shared" si="80"/>
        <v>25000000</v>
      </c>
      <c r="H171" s="165">
        <v>0</v>
      </c>
      <c r="I171" s="165">
        <v>25000000</v>
      </c>
      <c r="J171" s="165">
        <f t="shared" si="73"/>
        <v>0</v>
      </c>
      <c r="K171" s="165">
        <v>0</v>
      </c>
      <c r="L171" s="165">
        <v>0</v>
      </c>
      <c r="M171" s="165">
        <f t="shared" si="74"/>
        <v>25000000</v>
      </c>
      <c r="N171" s="165">
        <v>25000000</v>
      </c>
      <c r="O171" s="165">
        <f t="shared" si="75"/>
        <v>0</v>
      </c>
      <c r="P171" s="165">
        <f t="shared" si="76"/>
        <v>0</v>
      </c>
      <c r="Q171" s="165">
        <f t="shared" si="77"/>
        <v>0</v>
      </c>
      <c r="V171" s="149">
        <v>0</v>
      </c>
      <c r="X171" s="167"/>
      <c r="Y171" s="168"/>
    </row>
    <row r="172" spans="1:25" x14ac:dyDescent="0.25">
      <c r="A172" s="163">
        <v>21222613</v>
      </c>
      <c r="B172" s="164" t="s">
        <v>586</v>
      </c>
      <c r="C172" s="165">
        <v>35000000</v>
      </c>
      <c r="D172" s="165">
        <v>0</v>
      </c>
      <c r="E172" s="165">
        <v>0</v>
      </c>
      <c r="F172" s="165">
        <v>0</v>
      </c>
      <c r="G172" s="165">
        <f t="shared" si="80"/>
        <v>35000000</v>
      </c>
      <c r="H172" s="165">
        <v>0</v>
      </c>
      <c r="I172" s="165">
        <v>35000000</v>
      </c>
      <c r="J172" s="165">
        <f t="shared" si="73"/>
        <v>0</v>
      </c>
      <c r="K172" s="165">
        <v>8197422.6699999999</v>
      </c>
      <c r="L172" s="165">
        <v>14553962.67</v>
      </c>
      <c r="M172" s="165">
        <f t="shared" si="74"/>
        <v>20446037.329999998</v>
      </c>
      <c r="N172" s="165">
        <v>35000000</v>
      </c>
      <c r="O172" s="165">
        <f t="shared" si="75"/>
        <v>0</v>
      </c>
      <c r="P172" s="165">
        <f t="shared" si="76"/>
        <v>0</v>
      </c>
      <c r="Q172" s="165">
        <f t="shared" si="77"/>
        <v>14553962.67</v>
      </c>
      <c r="V172" s="149">
        <v>0</v>
      </c>
      <c r="X172" s="167"/>
      <c r="Y172" s="168"/>
    </row>
    <row r="173" spans="1:25" x14ac:dyDescent="0.25">
      <c r="A173" s="163">
        <v>2122262</v>
      </c>
      <c r="B173" s="164" t="s">
        <v>587</v>
      </c>
      <c r="C173" s="165">
        <v>300000000</v>
      </c>
      <c r="D173" s="165">
        <v>0</v>
      </c>
      <c r="E173" s="165">
        <v>0</v>
      </c>
      <c r="F173" s="165">
        <v>0</v>
      </c>
      <c r="G173" s="165">
        <f t="shared" si="80"/>
        <v>300000000</v>
      </c>
      <c r="H173" s="165">
        <v>0</v>
      </c>
      <c r="I173" s="165">
        <v>176765502</v>
      </c>
      <c r="J173" s="165">
        <f t="shared" si="73"/>
        <v>123234498</v>
      </c>
      <c r="K173" s="165">
        <v>0</v>
      </c>
      <c r="L173" s="165">
        <v>965502</v>
      </c>
      <c r="M173" s="165">
        <f t="shared" si="74"/>
        <v>175800000</v>
      </c>
      <c r="N173" s="165">
        <v>181865502</v>
      </c>
      <c r="O173" s="165">
        <f t="shared" si="75"/>
        <v>5100000</v>
      </c>
      <c r="P173" s="165">
        <f t="shared" si="76"/>
        <v>118134498</v>
      </c>
      <c r="Q173" s="165">
        <f t="shared" si="77"/>
        <v>965502</v>
      </c>
      <c r="V173" s="149">
        <v>118134498</v>
      </c>
      <c r="X173" s="167"/>
      <c r="Y173" s="168"/>
    </row>
    <row r="174" spans="1:25" x14ac:dyDescent="0.25">
      <c r="A174" s="163">
        <v>2122266</v>
      </c>
      <c r="B174" s="164" t="s">
        <v>588</v>
      </c>
      <c r="C174" s="165">
        <v>73000000</v>
      </c>
      <c r="D174" s="165">
        <v>0</v>
      </c>
      <c r="E174" s="165">
        <v>0</v>
      </c>
      <c r="F174" s="165">
        <v>0</v>
      </c>
      <c r="G174" s="165">
        <f t="shared" si="80"/>
        <v>73000000</v>
      </c>
      <c r="H174" s="165">
        <v>0</v>
      </c>
      <c r="I174" s="165">
        <v>17500000</v>
      </c>
      <c r="J174" s="165">
        <f t="shared" si="73"/>
        <v>55500000</v>
      </c>
      <c r="K174" s="165">
        <v>0</v>
      </c>
      <c r="L174" s="165">
        <v>0</v>
      </c>
      <c r="M174" s="165">
        <f t="shared" si="74"/>
        <v>17500000</v>
      </c>
      <c r="N174" s="165">
        <v>52500000</v>
      </c>
      <c r="O174" s="165">
        <f t="shared" si="75"/>
        <v>35000000</v>
      </c>
      <c r="P174" s="165">
        <f t="shared" si="76"/>
        <v>20500000</v>
      </c>
      <c r="Q174" s="165">
        <f t="shared" si="77"/>
        <v>0</v>
      </c>
      <c r="V174" s="149">
        <v>20500000</v>
      </c>
      <c r="X174" s="167"/>
      <c r="Y174" s="168"/>
    </row>
    <row r="175" spans="1:25" s="100" customFormat="1" ht="45" x14ac:dyDescent="0.25">
      <c r="A175" s="157">
        <v>212227</v>
      </c>
      <c r="B175" s="158" t="s">
        <v>76</v>
      </c>
      <c r="C175" s="159">
        <f>+C176+C184</f>
        <v>2213000000</v>
      </c>
      <c r="D175" s="159">
        <f t="shared" ref="D175:N175" si="91">+D176+D184</f>
        <v>438000000</v>
      </c>
      <c r="E175" s="159">
        <f t="shared" si="91"/>
        <v>0</v>
      </c>
      <c r="F175" s="159">
        <f t="shared" si="91"/>
        <v>0</v>
      </c>
      <c r="G175" s="159">
        <f t="shared" si="91"/>
        <v>2651000000</v>
      </c>
      <c r="H175" s="159">
        <f t="shared" si="91"/>
        <v>19227459.629999999</v>
      </c>
      <c r="I175" s="159">
        <f t="shared" si="91"/>
        <v>2084522186.3399999</v>
      </c>
      <c r="J175" s="159">
        <f t="shared" si="73"/>
        <v>566477813.66000009</v>
      </c>
      <c r="K175" s="159">
        <f t="shared" si="91"/>
        <v>44397855.239999995</v>
      </c>
      <c r="L175" s="159">
        <f t="shared" si="91"/>
        <v>1228238109.98</v>
      </c>
      <c r="M175" s="159">
        <f t="shared" si="74"/>
        <v>856284076.3599999</v>
      </c>
      <c r="N175" s="159">
        <f t="shared" si="91"/>
        <v>2542805161.1999998</v>
      </c>
      <c r="O175" s="159">
        <f t="shared" si="75"/>
        <v>458282974.8599999</v>
      </c>
      <c r="P175" s="159">
        <f t="shared" si="76"/>
        <v>108194838.80000019</v>
      </c>
      <c r="Q175" s="159">
        <f t="shared" si="77"/>
        <v>1228238109.98</v>
      </c>
      <c r="V175" s="149">
        <v>108194838.80000019</v>
      </c>
      <c r="X175" s="167"/>
      <c r="Y175" s="168"/>
    </row>
    <row r="176" spans="1:25" s="100" customFormat="1" x14ac:dyDescent="0.25">
      <c r="A176" s="157">
        <v>2122271</v>
      </c>
      <c r="B176" s="158" t="s">
        <v>77</v>
      </c>
      <c r="C176" s="159">
        <f>+C177+C179+C181+C183</f>
        <v>926000000</v>
      </c>
      <c r="D176" s="159">
        <f t="shared" ref="D176:N176" si="92">+D177+D179+D181+D183</f>
        <v>278000000</v>
      </c>
      <c r="E176" s="159">
        <f t="shared" si="92"/>
        <v>0</v>
      </c>
      <c r="F176" s="159">
        <f t="shared" si="92"/>
        <v>0</v>
      </c>
      <c r="G176" s="159">
        <f t="shared" si="92"/>
        <v>1204000000</v>
      </c>
      <c r="H176" s="159">
        <f t="shared" si="92"/>
        <v>19227459.629999999</v>
      </c>
      <c r="I176" s="159">
        <f t="shared" si="92"/>
        <v>1117340395.3399999</v>
      </c>
      <c r="J176" s="159">
        <f t="shared" si="73"/>
        <v>86659604.660000086</v>
      </c>
      <c r="K176" s="159">
        <f t="shared" si="92"/>
        <v>19204147.239999998</v>
      </c>
      <c r="L176" s="159">
        <f t="shared" si="92"/>
        <v>1114528977.98</v>
      </c>
      <c r="M176" s="159">
        <f t="shared" si="74"/>
        <v>2811417.3599998951</v>
      </c>
      <c r="N176" s="159">
        <f t="shared" si="92"/>
        <v>1120187713.2</v>
      </c>
      <c r="O176" s="159">
        <f t="shared" si="75"/>
        <v>2847317.8600001335</v>
      </c>
      <c r="P176" s="159">
        <f t="shared" si="76"/>
        <v>83812286.799999952</v>
      </c>
      <c r="Q176" s="159">
        <f t="shared" si="77"/>
        <v>1114528977.98</v>
      </c>
      <c r="V176" s="149">
        <v>3824286.7999999523</v>
      </c>
      <c r="X176" s="167"/>
      <c r="Y176" s="168"/>
    </row>
    <row r="177" spans="1:25" s="100" customFormat="1" ht="45" x14ac:dyDescent="0.25">
      <c r="A177" s="160">
        <v>21222711</v>
      </c>
      <c r="B177" s="161" t="s">
        <v>78</v>
      </c>
      <c r="C177" s="162">
        <f>+C178</f>
        <v>5000000</v>
      </c>
      <c r="D177" s="162">
        <f t="shared" ref="D177:N177" si="93">+D178</f>
        <v>0</v>
      </c>
      <c r="E177" s="162">
        <f t="shared" si="93"/>
        <v>0</v>
      </c>
      <c r="F177" s="162">
        <f t="shared" si="93"/>
        <v>0</v>
      </c>
      <c r="G177" s="162">
        <f t="shared" si="93"/>
        <v>5000000</v>
      </c>
      <c r="H177" s="162">
        <f t="shared" si="93"/>
        <v>1166713.6100000001</v>
      </c>
      <c r="I177" s="162">
        <f t="shared" si="93"/>
        <v>1166713.6100000001</v>
      </c>
      <c r="J177" s="162">
        <f t="shared" si="73"/>
        <v>3833286.3899999997</v>
      </c>
      <c r="K177" s="162">
        <f t="shared" si="93"/>
        <v>1166713.6100000001</v>
      </c>
      <c r="L177" s="162">
        <f t="shared" si="93"/>
        <v>1166713.6100000001</v>
      </c>
      <c r="M177" s="162">
        <f t="shared" si="74"/>
        <v>0</v>
      </c>
      <c r="N177" s="162">
        <f t="shared" si="93"/>
        <v>1175713.2</v>
      </c>
      <c r="O177" s="162">
        <f t="shared" si="75"/>
        <v>8999.589999999851</v>
      </c>
      <c r="P177" s="162">
        <f t="shared" si="76"/>
        <v>3824286.8</v>
      </c>
      <c r="Q177" s="162">
        <f t="shared" si="77"/>
        <v>1166713.6100000001</v>
      </c>
      <c r="V177" s="149">
        <v>3824286.8</v>
      </c>
      <c r="X177" s="167"/>
      <c r="Y177" s="168"/>
    </row>
    <row r="178" spans="1:25" ht="30" x14ac:dyDescent="0.25">
      <c r="A178" s="163">
        <v>212227111</v>
      </c>
      <c r="B178" s="164" t="s">
        <v>589</v>
      </c>
      <c r="C178" s="165">
        <v>5000000</v>
      </c>
      <c r="D178" s="165">
        <v>0</v>
      </c>
      <c r="E178" s="165">
        <v>0</v>
      </c>
      <c r="F178" s="165">
        <v>0</v>
      </c>
      <c r="G178" s="165">
        <f t="shared" si="80"/>
        <v>5000000</v>
      </c>
      <c r="H178" s="165">
        <v>1166713.6100000001</v>
      </c>
      <c r="I178" s="165">
        <v>1166713.6100000001</v>
      </c>
      <c r="J178" s="165">
        <f t="shared" si="73"/>
        <v>3833286.3899999997</v>
      </c>
      <c r="K178" s="165">
        <v>1166713.6100000001</v>
      </c>
      <c r="L178" s="165">
        <v>1166713.6100000001</v>
      </c>
      <c r="M178" s="165">
        <f t="shared" si="74"/>
        <v>0</v>
      </c>
      <c r="N178" s="165">
        <v>1175713.2</v>
      </c>
      <c r="O178" s="165">
        <f t="shared" si="75"/>
        <v>8999.589999999851</v>
      </c>
      <c r="P178" s="165">
        <f t="shared" si="76"/>
        <v>3824286.8</v>
      </c>
      <c r="Q178" s="165">
        <f t="shared" si="77"/>
        <v>1166713.6100000001</v>
      </c>
      <c r="V178" s="149">
        <v>3824286.8</v>
      </c>
      <c r="X178" s="167"/>
      <c r="Y178" s="168"/>
    </row>
    <row r="179" spans="1:25" s="100" customFormat="1" ht="45" x14ac:dyDescent="0.25">
      <c r="A179" s="160">
        <v>21222712</v>
      </c>
      <c r="B179" s="161" t="s">
        <v>79</v>
      </c>
      <c r="C179" s="162">
        <f>+C180</f>
        <v>265000000</v>
      </c>
      <c r="D179" s="162">
        <f t="shared" ref="D179:N179" si="94">+D180</f>
        <v>0</v>
      </c>
      <c r="E179" s="162">
        <f t="shared" si="94"/>
        <v>0</v>
      </c>
      <c r="F179" s="162">
        <f t="shared" si="94"/>
        <v>0</v>
      </c>
      <c r="G179" s="162">
        <f t="shared" si="94"/>
        <v>265000000</v>
      </c>
      <c r="H179" s="162">
        <f t="shared" si="94"/>
        <v>0</v>
      </c>
      <c r="I179" s="162">
        <f t="shared" si="94"/>
        <v>265000000</v>
      </c>
      <c r="J179" s="162">
        <f t="shared" si="73"/>
        <v>0</v>
      </c>
      <c r="K179" s="162">
        <f t="shared" si="94"/>
        <v>0</v>
      </c>
      <c r="L179" s="162">
        <f t="shared" si="94"/>
        <v>264999661</v>
      </c>
      <c r="M179" s="162">
        <f t="shared" si="74"/>
        <v>339</v>
      </c>
      <c r="N179" s="162">
        <f t="shared" si="94"/>
        <v>265000000</v>
      </c>
      <c r="O179" s="162">
        <f t="shared" si="75"/>
        <v>0</v>
      </c>
      <c r="P179" s="162">
        <f t="shared" si="76"/>
        <v>0</v>
      </c>
      <c r="Q179" s="162">
        <f t="shared" si="77"/>
        <v>264999661</v>
      </c>
      <c r="V179" s="149">
        <v>0</v>
      </c>
      <c r="X179" s="167"/>
      <c r="Y179" s="168"/>
    </row>
    <row r="180" spans="1:25" ht="30" x14ac:dyDescent="0.25">
      <c r="A180" s="163">
        <v>212227121</v>
      </c>
      <c r="B180" s="164" t="s">
        <v>590</v>
      </c>
      <c r="C180" s="165">
        <v>265000000</v>
      </c>
      <c r="D180" s="165">
        <v>0</v>
      </c>
      <c r="E180" s="165">
        <v>0</v>
      </c>
      <c r="F180" s="165">
        <v>0</v>
      </c>
      <c r="G180" s="165">
        <f t="shared" si="80"/>
        <v>265000000</v>
      </c>
      <c r="H180" s="165">
        <v>0</v>
      </c>
      <c r="I180" s="165">
        <v>265000000</v>
      </c>
      <c r="J180" s="165">
        <f t="shared" si="73"/>
        <v>0</v>
      </c>
      <c r="K180" s="165">
        <v>0</v>
      </c>
      <c r="L180" s="165">
        <v>264999661</v>
      </c>
      <c r="M180" s="165">
        <f t="shared" si="74"/>
        <v>339</v>
      </c>
      <c r="N180" s="165">
        <v>265000000</v>
      </c>
      <c r="O180" s="165">
        <f t="shared" si="75"/>
        <v>0</v>
      </c>
      <c r="P180" s="165">
        <f t="shared" si="76"/>
        <v>0</v>
      </c>
      <c r="Q180" s="165">
        <f t="shared" si="77"/>
        <v>264999661</v>
      </c>
      <c r="V180" s="149">
        <v>0</v>
      </c>
      <c r="X180" s="167"/>
      <c r="Y180" s="168"/>
    </row>
    <row r="181" spans="1:25" s="100" customFormat="1" ht="45" x14ac:dyDescent="0.25">
      <c r="A181" s="160">
        <v>21222713</v>
      </c>
      <c r="B181" s="161" t="s">
        <v>80</v>
      </c>
      <c r="C181" s="162">
        <f>+C182</f>
        <v>556000000</v>
      </c>
      <c r="D181" s="162">
        <f t="shared" ref="D181:N181" si="95">+D182</f>
        <v>198000000</v>
      </c>
      <c r="E181" s="162">
        <f t="shared" si="95"/>
        <v>0</v>
      </c>
      <c r="F181" s="162">
        <f t="shared" si="95"/>
        <v>0</v>
      </c>
      <c r="G181" s="162">
        <f t="shared" si="95"/>
        <v>754000000</v>
      </c>
      <c r="H181" s="162">
        <f t="shared" si="95"/>
        <v>0</v>
      </c>
      <c r="I181" s="162">
        <f t="shared" si="95"/>
        <v>754000000</v>
      </c>
      <c r="J181" s="162">
        <f t="shared" si="73"/>
        <v>0</v>
      </c>
      <c r="K181" s="162">
        <f t="shared" si="95"/>
        <v>0</v>
      </c>
      <c r="L181" s="162">
        <f t="shared" si="95"/>
        <v>751581091</v>
      </c>
      <c r="M181" s="162">
        <f t="shared" si="74"/>
        <v>2418909</v>
      </c>
      <c r="N181" s="162">
        <f t="shared" si="95"/>
        <v>754000000</v>
      </c>
      <c r="O181" s="162">
        <f t="shared" si="75"/>
        <v>0</v>
      </c>
      <c r="P181" s="162">
        <f t="shared" si="76"/>
        <v>0</v>
      </c>
      <c r="Q181" s="162">
        <f t="shared" si="77"/>
        <v>751581091</v>
      </c>
      <c r="V181" s="149">
        <v>0</v>
      </c>
      <c r="X181" s="167"/>
      <c r="Y181" s="168"/>
    </row>
    <row r="182" spans="1:25" ht="30" x14ac:dyDescent="0.25">
      <c r="A182" s="163">
        <v>212227138</v>
      </c>
      <c r="B182" s="164" t="s">
        <v>591</v>
      </c>
      <c r="C182" s="165">
        <v>556000000</v>
      </c>
      <c r="D182" s="165">
        <v>198000000</v>
      </c>
      <c r="E182" s="165">
        <v>0</v>
      </c>
      <c r="F182" s="165">
        <v>0</v>
      </c>
      <c r="G182" s="165">
        <f t="shared" si="80"/>
        <v>754000000</v>
      </c>
      <c r="H182" s="165">
        <v>0</v>
      </c>
      <c r="I182" s="165">
        <v>754000000</v>
      </c>
      <c r="J182" s="165">
        <f t="shared" si="73"/>
        <v>0</v>
      </c>
      <c r="K182" s="165">
        <v>0</v>
      </c>
      <c r="L182" s="165">
        <v>751581091</v>
      </c>
      <c r="M182" s="165">
        <f t="shared" si="74"/>
        <v>2418909</v>
      </c>
      <c r="N182" s="165">
        <v>754000000</v>
      </c>
      <c r="O182" s="165">
        <f t="shared" si="75"/>
        <v>0</v>
      </c>
      <c r="P182" s="165">
        <f t="shared" si="76"/>
        <v>0</v>
      </c>
      <c r="Q182" s="165">
        <f t="shared" si="77"/>
        <v>751581091</v>
      </c>
      <c r="V182" s="149">
        <v>0</v>
      </c>
      <c r="X182" s="167"/>
      <c r="Y182" s="168"/>
    </row>
    <row r="183" spans="1:25" x14ac:dyDescent="0.25">
      <c r="A183" s="163">
        <v>21222714</v>
      </c>
      <c r="B183" s="164" t="s">
        <v>592</v>
      </c>
      <c r="C183" s="165">
        <v>100000000</v>
      </c>
      <c r="D183" s="165">
        <v>80000000</v>
      </c>
      <c r="E183" s="165">
        <v>0</v>
      </c>
      <c r="F183" s="165">
        <v>0</v>
      </c>
      <c r="G183" s="165">
        <f t="shared" si="80"/>
        <v>180000000</v>
      </c>
      <c r="H183" s="165">
        <v>18060746.02</v>
      </c>
      <c r="I183" s="165">
        <v>97173681.730000004</v>
      </c>
      <c r="J183" s="165">
        <f t="shared" si="73"/>
        <v>82826318.269999996</v>
      </c>
      <c r="K183" s="165">
        <v>18037433.629999999</v>
      </c>
      <c r="L183" s="165">
        <v>96781512.370000005</v>
      </c>
      <c r="M183" s="165">
        <f t="shared" si="74"/>
        <v>392169.3599999994</v>
      </c>
      <c r="N183" s="165">
        <v>100012000</v>
      </c>
      <c r="O183" s="165">
        <f t="shared" si="75"/>
        <v>2838318.2699999958</v>
      </c>
      <c r="P183" s="165">
        <f t="shared" si="76"/>
        <v>79988000</v>
      </c>
      <c r="Q183" s="165">
        <f t="shared" si="77"/>
        <v>96781512.370000005</v>
      </c>
      <c r="V183" s="149">
        <v>79988000</v>
      </c>
      <c r="X183" s="167"/>
      <c r="Y183" s="168"/>
    </row>
    <row r="184" spans="1:25" s="100" customFormat="1" x14ac:dyDescent="0.25">
      <c r="A184" s="157">
        <v>2122272</v>
      </c>
      <c r="B184" s="158" t="s">
        <v>81</v>
      </c>
      <c r="C184" s="159">
        <f>+C185+C187+C190</f>
        <v>1287000000</v>
      </c>
      <c r="D184" s="159">
        <f t="shared" ref="D184:N184" si="96">+D185+D187+D190</f>
        <v>160000000</v>
      </c>
      <c r="E184" s="159">
        <f t="shared" si="96"/>
        <v>0</v>
      </c>
      <c r="F184" s="159">
        <f t="shared" si="96"/>
        <v>0</v>
      </c>
      <c r="G184" s="159">
        <f t="shared" si="96"/>
        <v>1447000000</v>
      </c>
      <c r="H184" s="159">
        <f t="shared" si="96"/>
        <v>0</v>
      </c>
      <c r="I184" s="159">
        <f t="shared" si="96"/>
        <v>967181791</v>
      </c>
      <c r="J184" s="159">
        <f t="shared" si="73"/>
        <v>479818209</v>
      </c>
      <c r="K184" s="159">
        <f t="shared" si="96"/>
        <v>25193708</v>
      </c>
      <c r="L184" s="159">
        <f t="shared" si="96"/>
        <v>113709132</v>
      </c>
      <c r="M184" s="159">
        <f t="shared" si="74"/>
        <v>853472659</v>
      </c>
      <c r="N184" s="159">
        <f t="shared" si="96"/>
        <v>1422617448</v>
      </c>
      <c r="O184" s="159">
        <f t="shared" si="75"/>
        <v>455435657</v>
      </c>
      <c r="P184" s="159">
        <f t="shared" si="76"/>
        <v>24382552</v>
      </c>
      <c r="Q184" s="159">
        <f t="shared" si="77"/>
        <v>113709132</v>
      </c>
      <c r="V184" s="149">
        <v>24382552</v>
      </c>
      <c r="X184" s="167"/>
      <c r="Y184" s="168"/>
    </row>
    <row r="185" spans="1:25" s="100" customFormat="1" ht="30" x14ac:dyDescent="0.25">
      <c r="A185" s="160">
        <v>21222721</v>
      </c>
      <c r="B185" s="161" t="s">
        <v>82</v>
      </c>
      <c r="C185" s="162">
        <f>+C186</f>
        <v>85000000</v>
      </c>
      <c r="D185" s="162">
        <f t="shared" ref="D185:N185" si="97">+D186</f>
        <v>0</v>
      </c>
      <c r="E185" s="162">
        <f t="shared" si="97"/>
        <v>0</v>
      </c>
      <c r="F185" s="162">
        <f t="shared" si="97"/>
        <v>0</v>
      </c>
      <c r="G185" s="162">
        <f t="shared" si="97"/>
        <v>85000000</v>
      </c>
      <c r="H185" s="162">
        <f t="shared" si="97"/>
        <v>0</v>
      </c>
      <c r="I185" s="162">
        <f t="shared" si="97"/>
        <v>62617448</v>
      </c>
      <c r="J185" s="162">
        <f t="shared" si="73"/>
        <v>22382552</v>
      </c>
      <c r="K185" s="162">
        <f t="shared" si="97"/>
        <v>10002908</v>
      </c>
      <c r="L185" s="162">
        <f t="shared" si="97"/>
        <v>42611632</v>
      </c>
      <c r="M185" s="162">
        <f t="shared" si="74"/>
        <v>20005816</v>
      </c>
      <c r="N185" s="162">
        <f t="shared" si="97"/>
        <v>62617448</v>
      </c>
      <c r="O185" s="162">
        <f t="shared" si="75"/>
        <v>0</v>
      </c>
      <c r="P185" s="162">
        <f t="shared" si="76"/>
        <v>22382552</v>
      </c>
      <c r="Q185" s="162">
        <f t="shared" si="77"/>
        <v>42611632</v>
      </c>
      <c r="V185" s="149">
        <v>22382552</v>
      </c>
      <c r="X185" s="167"/>
      <c r="Y185" s="168"/>
    </row>
    <row r="186" spans="1:25" ht="30" x14ac:dyDescent="0.25">
      <c r="A186" s="163">
        <v>212227211</v>
      </c>
      <c r="B186" s="164" t="s">
        <v>593</v>
      </c>
      <c r="C186" s="165">
        <v>85000000</v>
      </c>
      <c r="D186" s="165">
        <v>0</v>
      </c>
      <c r="E186" s="165">
        <v>0</v>
      </c>
      <c r="F186" s="165">
        <v>0</v>
      </c>
      <c r="G186" s="165">
        <f t="shared" si="80"/>
        <v>85000000</v>
      </c>
      <c r="H186" s="165">
        <v>0</v>
      </c>
      <c r="I186" s="165">
        <v>62617448</v>
      </c>
      <c r="J186" s="165">
        <f t="shared" si="73"/>
        <v>22382552</v>
      </c>
      <c r="K186" s="165">
        <v>10002908</v>
      </c>
      <c r="L186" s="165">
        <v>42611632</v>
      </c>
      <c r="M186" s="165">
        <f t="shared" si="74"/>
        <v>20005816</v>
      </c>
      <c r="N186" s="165">
        <v>62617448</v>
      </c>
      <c r="O186" s="165">
        <f t="shared" si="75"/>
        <v>0</v>
      </c>
      <c r="P186" s="165">
        <f t="shared" si="76"/>
        <v>22382552</v>
      </c>
      <c r="Q186" s="165">
        <f t="shared" si="77"/>
        <v>42611632</v>
      </c>
      <c r="V186" s="149">
        <v>22382552</v>
      </c>
      <c r="X186" s="167"/>
      <c r="Y186" s="168"/>
    </row>
    <row r="187" spans="1:25" s="100" customFormat="1" ht="30" x14ac:dyDescent="0.25">
      <c r="A187" s="160">
        <v>21222722</v>
      </c>
      <c r="B187" s="161" t="s">
        <v>83</v>
      </c>
      <c r="C187" s="162">
        <f>+C188+C189</f>
        <v>1202000000</v>
      </c>
      <c r="D187" s="162">
        <f t="shared" ref="D187:N187" si="98">+D188+D189</f>
        <v>0</v>
      </c>
      <c r="E187" s="162">
        <f t="shared" si="98"/>
        <v>0</v>
      </c>
      <c r="F187" s="162">
        <f t="shared" si="98"/>
        <v>0</v>
      </c>
      <c r="G187" s="162">
        <f t="shared" si="98"/>
        <v>1202000000</v>
      </c>
      <c r="H187" s="162">
        <f t="shared" si="98"/>
        <v>0</v>
      </c>
      <c r="I187" s="162">
        <f t="shared" si="98"/>
        <v>904564343</v>
      </c>
      <c r="J187" s="162">
        <f t="shared" si="73"/>
        <v>297435657</v>
      </c>
      <c r="K187" s="162">
        <f t="shared" si="98"/>
        <v>15190800</v>
      </c>
      <c r="L187" s="162">
        <f t="shared" si="98"/>
        <v>71097500</v>
      </c>
      <c r="M187" s="162">
        <f t="shared" si="74"/>
        <v>833466843</v>
      </c>
      <c r="N187" s="162">
        <f t="shared" si="98"/>
        <v>1200000000</v>
      </c>
      <c r="O187" s="162">
        <f t="shared" si="75"/>
        <v>295435657</v>
      </c>
      <c r="P187" s="162">
        <f t="shared" si="76"/>
        <v>2000000</v>
      </c>
      <c r="Q187" s="162">
        <f t="shared" si="77"/>
        <v>71097500</v>
      </c>
      <c r="V187" s="149">
        <v>2000000</v>
      </c>
      <c r="X187" s="167"/>
      <c r="Y187" s="168"/>
    </row>
    <row r="188" spans="1:25" ht="30" x14ac:dyDescent="0.25">
      <c r="A188" s="163">
        <v>212227222</v>
      </c>
      <c r="B188" s="164" t="s">
        <v>640</v>
      </c>
      <c r="C188" s="165">
        <v>1200000000</v>
      </c>
      <c r="D188" s="165">
        <v>0</v>
      </c>
      <c r="E188" s="165">
        <v>0</v>
      </c>
      <c r="F188" s="165">
        <v>0</v>
      </c>
      <c r="G188" s="165">
        <f t="shared" si="80"/>
        <v>1200000000</v>
      </c>
      <c r="H188" s="165">
        <v>0</v>
      </c>
      <c r="I188" s="165">
        <v>904564343</v>
      </c>
      <c r="J188" s="165">
        <f t="shared" si="73"/>
        <v>295435657</v>
      </c>
      <c r="K188" s="165">
        <v>15190800</v>
      </c>
      <c r="L188" s="165">
        <v>71097500</v>
      </c>
      <c r="M188" s="165">
        <f t="shared" si="74"/>
        <v>833466843</v>
      </c>
      <c r="N188" s="165">
        <v>1200000000</v>
      </c>
      <c r="O188" s="165">
        <f t="shared" si="75"/>
        <v>295435657</v>
      </c>
      <c r="P188" s="165">
        <f t="shared" si="76"/>
        <v>0</v>
      </c>
      <c r="Q188" s="165">
        <f t="shared" si="77"/>
        <v>71097500</v>
      </c>
      <c r="V188" s="149">
        <v>0</v>
      </c>
      <c r="X188" s="167"/>
      <c r="Y188" s="168"/>
    </row>
    <row r="189" spans="1:25" ht="30" x14ac:dyDescent="0.25">
      <c r="A189" s="163">
        <v>212227223</v>
      </c>
      <c r="B189" s="164" t="s">
        <v>641</v>
      </c>
      <c r="C189" s="165">
        <v>2000000</v>
      </c>
      <c r="D189" s="165">
        <v>0</v>
      </c>
      <c r="E189" s="165">
        <v>0</v>
      </c>
      <c r="F189" s="165">
        <v>0</v>
      </c>
      <c r="G189" s="165">
        <f t="shared" si="80"/>
        <v>2000000</v>
      </c>
      <c r="H189" s="165">
        <v>0</v>
      </c>
      <c r="I189" s="165">
        <v>0</v>
      </c>
      <c r="J189" s="165">
        <f t="shared" si="73"/>
        <v>2000000</v>
      </c>
      <c r="K189" s="165">
        <v>0</v>
      </c>
      <c r="L189" s="165">
        <v>0</v>
      </c>
      <c r="M189" s="165">
        <f t="shared" si="74"/>
        <v>0</v>
      </c>
      <c r="N189" s="165">
        <v>0</v>
      </c>
      <c r="O189" s="165">
        <f t="shared" si="75"/>
        <v>0</v>
      </c>
      <c r="P189" s="165">
        <f t="shared" si="76"/>
        <v>2000000</v>
      </c>
      <c r="Q189" s="165">
        <f t="shared" si="77"/>
        <v>0</v>
      </c>
      <c r="V189" s="149">
        <v>2000000</v>
      </c>
      <c r="X189" s="167"/>
      <c r="Y189" s="168"/>
    </row>
    <row r="190" spans="1:25" s="100" customFormat="1" x14ac:dyDescent="0.25">
      <c r="A190" s="160">
        <v>2122273</v>
      </c>
      <c r="B190" s="161" t="s">
        <v>855</v>
      </c>
      <c r="C190" s="162">
        <v>0</v>
      </c>
      <c r="D190" s="162">
        <v>160000000</v>
      </c>
      <c r="E190" s="162">
        <v>0</v>
      </c>
      <c r="F190" s="162">
        <v>0</v>
      </c>
      <c r="G190" s="162">
        <f t="shared" si="80"/>
        <v>160000000</v>
      </c>
      <c r="H190" s="162">
        <v>0</v>
      </c>
      <c r="I190" s="162">
        <v>0</v>
      </c>
      <c r="J190" s="162">
        <f t="shared" si="73"/>
        <v>160000000</v>
      </c>
      <c r="K190" s="162">
        <v>0</v>
      </c>
      <c r="L190" s="162">
        <v>0</v>
      </c>
      <c r="M190" s="162">
        <f t="shared" si="74"/>
        <v>0</v>
      </c>
      <c r="N190" s="162">
        <v>160000000</v>
      </c>
      <c r="O190" s="162">
        <f t="shared" si="75"/>
        <v>160000000</v>
      </c>
      <c r="P190" s="162">
        <f t="shared" si="76"/>
        <v>0</v>
      </c>
      <c r="Q190" s="162">
        <f t="shared" si="77"/>
        <v>0</v>
      </c>
      <c r="V190" s="149">
        <v>0</v>
      </c>
      <c r="X190" s="167"/>
      <c r="Y190" s="168"/>
    </row>
    <row r="191" spans="1:25" s="100" customFormat="1" ht="30" x14ac:dyDescent="0.25">
      <c r="A191" s="160">
        <v>212228</v>
      </c>
      <c r="B191" s="161" t="s">
        <v>84</v>
      </c>
      <c r="C191" s="162">
        <f>+C192+C194+C200+C204+C206+C213+C218</f>
        <v>2359300000</v>
      </c>
      <c r="D191" s="162">
        <f t="shared" ref="D191:N191" si="99">+D192+D194+D200+D204+D206+D213+D218</f>
        <v>1589513991</v>
      </c>
      <c r="E191" s="162">
        <f t="shared" si="99"/>
        <v>219312351</v>
      </c>
      <c r="F191" s="162">
        <f t="shared" si="99"/>
        <v>675500000</v>
      </c>
      <c r="G191" s="162">
        <f t="shared" si="99"/>
        <v>4405001640</v>
      </c>
      <c r="H191" s="162">
        <f t="shared" si="99"/>
        <v>150210067.38</v>
      </c>
      <c r="I191" s="162">
        <f t="shared" si="99"/>
        <v>3098367224.5699997</v>
      </c>
      <c r="J191" s="162">
        <f t="shared" si="73"/>
        <v>1306634415.4300003</v>
      </c>
      <c r="K191" s="162">
        <f t="shared" si="99"/>
        <v>484009237.27999997</v>
      </c>
      <c r="L191" s="162">
        <f t="shared" si="99"/>
        <v>1576040692.76</v>
      </c>
      <c r="M191" s="162">
        <f t="shared" si="74"/>
        <v>1522326531.8099997</v>
      </c>
      <c r="N191" s="162">
        <f t="shared" si="99"/>
        <v>3631525367.6999998</v>
      </c>
      <c r="O191" s="162">
        <f t="shared" si="75"/>
        <v>533158143.13000011</v>
      </c>
      <c r="P191" s="162">
        <f t="shared" si="76"/>
        <v>773476272.30000019</v>
      </c>
      <c r="Q191" s="162">
        <f t="shared" si="77"/>
        <v>1576040692.76</v>
      </c>
      <c r="V191" s="149">
        <v>773476272.30000019</v>
      </c>
      <c r="X191" s="167"/>
      <c r="Y191" s="168"/>
    </row>
    <row r="192" spans="1:25" x14ac:dyDescent="0.25">
      <c r="A192" s="160">
        <v>2122281</v>
      </c>
      <c r="B192" s="161" t="s">
        <v>85</v>
      </c>
      <c r="C192" s="162">
        <f>+C193</f>
        <v>250000000</v>
      </c>
      <c r="D192" s="162">
        <f t="shared" ref="D192:N192" si="100">+D193</f>
        <v>450196000</v>
      </c>
      <c r="E192" s="162">
        <f t="shared" si="100"/>
        <v>312351</v>
      </c>
      <c r="F192" s="162">
        <f t="shared" si="100"/>
        <v>68000000</v>
      </c>
      <c r="G192" s="162">
        <f t="shared" si="100"/>
        <v>767883649</v>
      </c>
      <c r="H192" s="162">
        <f t="shared" si="100"/>
        <v>24416666</v>
      </c>
      <c r="I192" s="162">
        <f t="shared" si="100"/>
        <v>736964359</v>
      </c>
      <c r="J192" s="162">
        <f t="shared" si="73"/>
        <v>30919290</v>
      </c>
      <c r="K192" s="162">
        <f t="shared" si="100"/>
        <v>177418934.03</v>
      </c>
      <c r="L192" s="162">
        <f t="shared" si="100"/>
        <v>309680678.14999998</v>
      </c>
      <c r="M192" s="162">
        <f t="shared" si="74"/>
        <v>427283680.85000002</v>
      </c>
      <c r="N192" s="162">
        <f t="shared" si="100"/>
        <v>767883649</v>
      </c>
      <c r="O192" s="162">
        <f t="shared" si="75"/>
        <v>30919290</v>
      </c>
      <c r="P192" s="162">
        <f t="shared" si="76"/>
        <v>0</v>
      </c>
      <c r="Q192" s="162">
        <f t="shared" si="77"/>
        <v>309680678.14999998</v>
      </c>
      <c r="V192" s="149">
        <v>0</v>
      </c>
      <c r="X192" s="167"/>
      <c r="Y192" s="168"/>
    </row>
    <row r="193" spans="1:25" s="100" customFormat="1" x14ac:dyDescent="0.25">
      <c r="A193" s="163">
        <v>21222811</v>
      </c>
      <c r="B193" s="164" t="s">
        <v>594</v>
      </c>
      <c r="C193" s="165">
        <v>250000000</v>
      </c>
      <c r="D193" s="165">
        <v>450196000</v>
      </c>
      <c r="E193" s="165">
        <v>312351</v>
      </c>
      <c r="F193" s="165">
        <v>68000000</v>
      </c>
      <c r="G193" s="165">
        <f t="shared" si="80"/>
        <v>767883649</v>
      </c>
      <c r="H193" s="165">
        <v>24416666</v>
      </c>
      <c r="I193" s="165">
        <v>736964359</v>
      </c>
      <c r="J193" s="165">
        <f t="shared" si="73"/>
        <v>30919290</v>
      </c>
      <c r="K193" s="165">
        <v>177418934.03</v>
      </c>
      <c r="L193" s="165">
        <v>309680678.14999998</v>
      </c>
      <c r="M193" s="165">
        <f t="shared" si="74"/>
        <v>427283680.85000002</v>
      </c>
      <c r="N193" s="165">
        <v>767883649</v>
      </c>
      <c r="O193" s="165">
        <f t="shared" si="75"/>
        <v>30919290</v>
      </c>
      <c r="P193" s="165">
        <f t="shared" si="76"/>
        <v>0</v>
      </c>
      <c r="Q193" s="165">
        <f t="shared" si="77"/>
        <v>309680678.14999998</v>
      </c>
      <c r="V193" s="149">
        <v>0</v>
      </c>
      <c r="X193" s="167"/>
      <c r="Y193" s="168"/>
    </row>
    <row r="194" spans="1:25" s="100" customFormat="1" ht="30" x14ac:dyDescent="0.25">
      <c r="A194" s="160">
        <v>2122282</v>
      </c>
      <c r="B194" s="161" t="s">
        <v>86</v>
      </c>
      <c r="C194" s="162">
        <f>+C195+C197+C198+C199</f>
        <v>880000000</v>
      </c>
      <c r="D194" s="162">
        <f t="shared" ref="D194:N194" si="101">+D195+D197+D198+D199</f>
        <v>405000000</v>
      </c>
      <c r="E194" s="162">
        <f t="shared" si="101"/>
        <v>100000000</v>
      </c>
      <c r="F194" s="162">
        <f t="shared" si="101"/>
        <v>607500000</v>
      </c>
      <c r="G194" s="162">
        <f t="shared" si="101"/>
        <v>1792500000</v>
      </c>
      <c r="H194" s="162">
        <f t="shared" si="101"/>
        <v>116493657</v>
      </c>
      <c r="I194" s="162">
        <f t="shared" si="101"/>
        <v>1102330130</v>
      </c>
      <c r="J194" s="162">
        <f t="shared" si="73"/>
        <v>690169870</v>
      </c>
      <c r="K194" s="162">
        <f t="shared" si="101"/>
        <v>120427385.38</v>
      </c>
      <c r="L194" s="162">
        <f t="shared" si="101"/>
        <v>750432416.89999998</v>
      </c>
      <c r="M194" s="162">
        <f t="shared" si="74"/>
        <v>351897713.10000002</v>
      </c>
      <c r="N194" s="162">
        <f t="shared" si="101"/>
        <v>1471329099</v>
      </c>
      <c r="O194" s="162">
        <f t="shared" si="75"/>
        <v>368998969</v>
      </c>
      <c r="P194" s="162">
        <f t="shared" si="76"/>
        <v>321170901</v>
      </c>
      <c r="Q194" s="162">
        <f t="shared" si="77"/>
        <v>750432416.89999998</v>
      </c>
      <c r="V194" s="149">
        <v>321170901</v>
      </c>
      <c r="X194" s="167"/>
      <c r="Y194" s="168"/>
    </row>
    <row r="195" spans="1:25" ht="45" x14ac:dyDescent="0.25">
      <c r="A195" s="160">
        <v>21222821</v>
      </c>
      <c r="B195" s="161" t="s">
        <v>87</v>
      </c>
      <c r="C195" s="162">
        <f>+C196</f>
        <v>100000000</v>
      </c>
      <c r="D195" s="162">
        <f t="shared" ref="D195:N195" si="102">+D196</f>
        <v>0</v>
      </c>
      <c r="E195" s="162">
        <f t="shared" si="102"/>
        <v>100000000</v>
      </c>
      <c r="F195" s="162">
        <f t="shared" si="102"/>
        <v>0</v>
      </c>
      <c r="G195" s="162">
        <f t="shared" si="102"/>
        <v>0</v>
      </c>
      <c r="H195" s="162">
        <f t="shared" si="102"/>
        <v>0</v>
      </c>
      <c r="I195" s="162">
        <f t="shared" si="102"/>
        <v>0</v>
      </c>
      <c r="J195" s="162">
        <f t="shared" si="73"/>
        <v>0</v>
      </c>
      <c r="K195" s="162">
        <f t="shared" si="102"/>
        <v>0</v>
      </c>
      <c r="L195" s="162">
        <f t="shared" si="102"/>
        <v>0</v>
      </c>
      <c r="M195" s="162">
        <f t="shared" si="74"/>
        <v>0</v>
      </c>
      <c r="N195" s="162">
        <f t="shared" si="102"/>
        <v>0</v>
      </c>
      <c r="O195" s="162">
        <f t="shared" si="75"/>
        <v>0</v>
      </c>
      <c r="P195" s="162">
        <f t="shared" si="76"/>
        <v>0</v>
      </c>
      <c r="Q195" s="162">
        <f t="shared" si="77"/>
        <v>0</v>
      </c>
      <c r="V195" s="149">
        <v>0</v>
      </c>
      <c r="X195" s="167"/>
      <c r="Y195" s="168"/>
    </row>
    <row r="196" spans="1:25" ht="30" x14ac:dyDescent="0.25">
      <c r="A196" s="163">
        <v>212228211</v>
      </c>
      <c r="B196" s="164" t="s">
        <v>642</v>
      </c>
      <c r="C196" s="165">
        <v>100000000</v>
      </c>
      <c r="D196" s="165">
        <v>0</v>
      </c>
      <c r="E196" s="165">
        <v>100000000</v>
      </c>
      <c r="F196" s="165">
        <v>0</v>
      </c>
      <c r="G196" s="165">
        <f t="shared" si="80"/>
        <v>0</v>
      </c>
      <c r="H196" s="165">
        <v>0</v>
      </c>
      <c r="I196" s="165">
        <v>0</v>
      </c>
      <c r="J196" s="165">
        <f t="shared" si="73"/>
        <v>0</v>
      </c>
      <c r="K196" s="165">
        <v>0</v>
      </c>
      <c r="L196" s="165">
        <v>0</v>
      </c>
      <c r="M196" s="165">
        <f t="shared" si="74"/>
        <v>0</v>
      </c>
      <c r="N196" s="165">
        <v>0</v>
      </c>
      <c r="O196" s="165">
        <f t="shared" si="75"/>
        <v>0</v>
      </c>
      <c r="P196" s="165">
        <f t="shared" si="76"/>
        <v>0</v>
      </c>
      <c r="Q196" s="165">
        <f t="shared" si="77"/>
        <v>0</v>
      </c>
      <c r="V196" s="149">
        <v>0</v>
      </c>
      <c r="X196" s="167"/>
      <c r="Y196" s="168"/>
    </row>
    <row r="197" spans="1:25" x14ac:dyDescent="0.25">
      <c r="A197" s="163">
        <v>21222822</v>
      </c>
      <c r="B197" s="164" t="s">
        <v>595</v>
      </c>
      <c r="C197" s="165">
        <v>480000000</v>
      </c>
      <c r="D197" s="165">
        <v>0</v>
      </c>
      <c r="E197" s="165">
        <v>0</v>
      </c>
      <c r="F197" s="165">
        <v>0</v>
      </c>
      <c r="G197" s="165">
        <f t="shared" si="80"/>
        <v>480000000</v>
      </c>
      <c r="H197" s="165">
        <v>106493657</v>
      </c>
      <c r="I197" s="165">
        <v>279687314</v>
      </c>
      <c r="J197" s="165">
        <f t="shared" si="73"/>
        <v>200312686</v>
      </c>
      <c r="K197" s="165">
        <v>28658731.379999999</v>
      </c>
      <c r="L197" s="165">
        <v>140993656.90000001</v>
      </c>
      <c r="M197" s="165">
        <f t="shared" si="74"/>
        <v>138693657.09999999</v>
      </c>
      <c r="N197" s="165">
        <v>292793653</v>
      </c>
      <c r="O197" s="165">
        <f t="shared" si="75"/>
        <v>13106339</v>
      </c>
      <c r="P197" s="165">
        <f t="shared" si="76"/>
        <v>187206347</v>
      </c>
      <c r="Q197" s="165">
        <f t="shared" si="77"/>
        <v>140993656.90000001</v>
      </c>
      <c r="V197" s="149">
        <v>187206347</v>
      </c>
      <c r="X197" s="167"/>
      <c r="Y197" s="168"/>
    </row>
    <row r="198" spans="1:25" ht="30" x14ac:dyDescent="0.25">
      <c r="A198" s="163">
        <v>21222823</v>
      </c>
      <c r="B198" s="164" t="s">
        <v>596</v>
      </c>
      <c r="C198" s="165">
        <v>80000000</v>
      </c>
      <c r="D198" s="165">
        <v>0</v>
      </c>
      <c r="E198" s="165">
        <v>0</v>
      </c>
      <c r="F198" s="165">
        <v>0</v>
      </c>
      <c r="G198" s="165">
        <f t="shared" si="80"/>
        <v>80000000</v>
      </c>
      <c r="H198" s="165">
        <v>0</v>
      </c>
      <c r="I198" s="165">
        <v>755833</v>
      </c>
      <c r="J198" s="165">
        <f t="shared" si="73"/>
        <v>79244167</v>
      </c>
      <c r="K198" s="165">
        <v>0</v>
      </c>
      <c r="L198" s="165">
        <v>755833</v>
      </c>
      <c r="M198" s="165">
        <f t="shared" si="74"/>
        <v>0</v>
      </c>
      <c r="N198" s="165">
        <v>755833</v>
      </c>
      <c r="O198" s="165">
        <f t="shared" si="75"/>
        <v>0</v>
      </c>
      <c r="P198" s="165">
        <f t="shared" si="76"/>
        <v>79244167</v>
      </c>
      <c r="Q198" s="165">
        <f t="shared" si="77"/>
        <v>755833</v>
      </c>
      <c r="V198" s="149">
        <v>79244167</v>
      </c>
      <c r="X198" s="167"/>
      <c r="Y198" s="168"/>
    </row>
    <row r="199" spans="1:25" s="100" customFormat="1" x14ac:dyDescent="0.25">
      <c r="A199" s="163">
        <v>21222824</v>
      </c>
      <c r="B199" s="164" t="s">
        <v>597</v>
      </c>
      <c r="C199" s="165">
        <v>220000000</v>
      </c>
      <c r="D199" s="165">
        <v>405000000</v>
      </c>
      <c r="E199" s="165">
        <v>0</v>
      </c>
      <c r="F199" s="165">
        <v>607500000</v>
      </c>
      <c r="G199" s="165">
        <f t="shared" si="80"/>
        <v>1232500000</v>
      </c>
      <c r="H199" s="165">
        <v>10000000</v>
      </c>
      <c r="I199" s="165">
        <v>821886983</v>
      </c>
      <c r="J199" s="165">
        <f t="shared" ref="J199:J262" si="103">+G199-I199</f>
        <v>410613017</v>
      </c>
      <c r="K199" s="165">
        <v>91768654</v>
      </c>
      <c r="L199" s="165">
        <v>608682927</v>
      </c>
      <c r="M199" s="165">
        <f t="shared" ref="M199:M262" si="104">+I199-L199</f>
        <v>213204056</v>
      </c>
      <c r="N199" s="165">
        <v>1177779613</v>
      </c>
      <c r="O199" s="165">
        <f t="shared" ref="O199:O262" si="105">+N199-I199</f>
        <v>355892630</v>
      </c>
      <c r="P199" s="165">
        <f t="shared" ref="P199:P262" si="106">+G199-N199</f>
        <v>54720387</v>
      </c>
      <c r="Q199" s="165">
        <f t="shared" ref="Q199:Q262" si="107">+L199</f>
        <v>608682927</v>
      </c>
      <c r="V199" s="149">
        <v>54720387</v>
      </c>
      <c r="X199" s="167"/>
      <c r="Y199" s="168"/>
    </row>
    <row r="200" spans="1:25" ht="30" x14ac:dyDescent="0.25">
      <c r="A200" s="160">
        <v>2122283</v>
      </c>
      <c r="B200" s="161" t="s">
        <v>88</v>
      </c>
      <c r="C200" s="162">
        <f>+C201+C202+C203</f>
        <v>379000000</v>
      </c>
      <c r="D200" s="162">
        <f t="shared" ref="D200:N200" si="108">+D201+D202+D203</f>
        <v>420117991</v>
      </c>
      <c r="E200" s="162">
        <f t="shared" si="108"/>
        <v>0</v>
      </c>
      <c r="F200" s="162">
        <f t="shared" si="108"/>
        <v>0</v>
      </c>
      <c r="G200" s="162">
        <f t="shared" si="108"/>
        <v>799117991</v>
      </c>
      <c r="H200" s="162">
        <f t="shared" si="108"/>
        <v>9299744.3800000008</v>
      </c>
      <c r="I200" s="162">
        <f t="shared" si="108"/>
        <v>535389892.51999998</v>
      </c>
      <c r="J200" s="162">
        <f t="shared" si="103"/>
        <v>263728098.48000002</v>
      </c>
      <c r="K200" s="162">
        <f t="shared" si="108"/>
        <v>12412163.380000001</v>
      </c>
      <c r="L200" s="162">
        <f t="shared" si="108"/>
        <v>282142717.51999998</v>
      </c>
      <c r="M200" s="162">
        <f t="shared" si="104"/>
        <v>253247175</v>
      </c>
      <c r="N200" s="162">
        <f t="shared" si="108"/>
        <v>547839211</v>
      </c>
      <c r="O200" s="162">
        <f t="shared" si="105"/>
        <v>12449318.480000019</v>
      </c>
      <c r="P200" s="162">
        <f t="shared" si="106"/>
        <v>251278780</v>
      </c>
      <c r="Q200" s="162">
        <f t="shared" si="107"/>
        <v>282142717.51999998</v>
      </c>
      <c r="V200" s="149">
        <v>251278780</v>
      </c>
      <c r="X200" s="167"/>
      <c r="Y200" s="168"/>
    </row>
    <row r="201" spans="1:25" ht="30" x14ac:dyDescent="0.25">
      <c r="A201" s="163">
        <v>21222831</v>
      </c>
      <c r="B201" s="164" t="s">
        <v>596</v>
      </c>
      <c r="C201" s="165">
        <v>2000000</v>
      </c>
      <c r="D201" s="165">
        <v>0</v>
      </c>
      <c r="E201" s="165">
        <v>0</v>
      </c>
      <c r="F201" s="165">
        <v>0</v>
      </c>
      <c r="G201" s="165">
        <f t="shared" si="80"/>
        <v>2000000</v>
      </c>
      <c r="H201" s="165">
        <v>0</v>
      </c>
      <c r="I201" s="165">
        <v>500000</v>
      </c>
      <c r="J201" s="165">
        <f t="shared" si="103"/>
        <v>1500000</v>
      </c>
      <c r="K201" s="165">
        <v>0</v>
      </c>
      <c r="L201" s="165">
        <v>500000</v>
      </c>
      <c r="M201" s="165">
        <f t="shared" si="104"/>
        <v>0</v>
      </c>
      <c r="N201" s="165">
        <v>500000</v>
      </c>
      <c r="O201" s="165">
        <f t="shared" si="105"/>
        <v>0</v>
      </c>
      <c r="P201" s="165">
        <f t="shared" si="106"/>
        <v>1500000</v>
      </c>
      <c r="Q201" s="165">
        <f t="shared" si="107"/>
        <v>500000</v>
      </c>
      <c r="V201" s="149">
        <v>1500000</v>
      </c>
      <c r="X201" s="167"/>
      <c r="Y201" s="168"/>
    </row>
    <row r="202" spans="1:25" ht="30" x14ac:dyDescent="0.25">
      <c r="A202" s="163">
        <v>21222832</v>
      </c>
      <c r="B202" s="164" t="s">
        <v>598</v>
      </c>
      <c r="C202" s="165">
        <v>337000000</v>
      </c>
      <c r="D202" s="165">
        <v>420117991</v>
      </c>
      <c r="E202" s="165">
        <v>0</v>
      </c>
      <c r="F202" s="165">
        <v>0</v>
      </c>
      <c r="G202" s="165">
        <f t="shared" si="80"/>
        <v>757117991</v>
      </c>
      <c r="H202" s="165">
        <v>9299744.3800000008</v>
      </c>
      <c r="I202" s="165">
        <v>534889892.51999998</v>
      </c>
      <c r="J202" s="165">
        <f t="shared" si="103"/>
        <v>222228098.48000002</v>
      </c>
      <c r="K202" s="165">
        <v>12412163.380000001</v>
      </c>
      <c r="L202" s="165">
        <v>281642717.51999998</v>
      </c>
      <c r="M202" s="165">
        <f t="shared" si="104"/>
        <v>253247175</v>
      </c>
      <c r="N202" s="165">
        <v>547339211</v>
      </c>
      <c r="O202" s="165">
        <f t="shared" si="105"/>
        <v>12449318.480000019</v>
      </c>
      <c r="P202" s="165">
        <f t="shared" si="106"/>
        <v>209778780</v>
      </c>
      <c r="Q202" s="165">
        <f t="shared" si="107"/>
        <v>281642717.51999998</v>
      </c>
      <c r="V202" s="149">
        <v>209778780</v>
      </c>
      <c r="X202" s="167"/>
      <c r="Y202" s="168"/>
    </row>
    <row r="203" spans="1:25" s="100" customFormat="1" x14ac:dyDescent="0.25">
      <c r="A203" s="163">
        <v>21222833</v>
      </c>
      <c r="B203" s="164" t="s">
        <v>599</v>
      </c>
      <c r="C203" s="165">
        <v>40000000</v>
      </c>
      <c r="D203" s="165">
        <v>0</v>
      </c>
      <c r="E203" s="165">
        <v>0</v>
      </c>
      <c r="F203" s="165">
        <v>0</v>
      </c>
      <c r="G203" s="165">
        <f t="shared" si="80"/>
        <v>40000000</v>
      </c>
      <c r="H203" s="165">
        <v>0</v>
      </c>
      <c r="I203" s="165">
        <v>0</v>
      </c>
      <c r="J203" s="165">
        <f t="shared" si="103"/>
        <v>40000000</v>
      </c>
      <c r="K203" s="165">
        <v>0</v>
      </c>
      <c r="L203" s="165">
        <v>0</v>
      </c>
      <c r="M203" s="165">
        <f t="shared" si="104"/>
        <v>0</v>
      </c>
      <c r="N203" s="165">
        <v>0</v>
      </c>
      <c r="O203" s="165">
        <f t="shared" si="105"/>
        <v>0</v>
      </c>
      <c r="P203" s="165">
        <f t="shared" si="106"/>
        <v>40000000</v>
      </c>
      <c r="Q203" s="165">
        <f t="shared" si="107"/>
        <v>0</v>
      </c>
      <c r="V203" s="149">
        <v>40000000</v>
      </c>
      <c r="X203" s="167"/>
      <c r="Y203" s="168"/>
    </row>
    <row r="204" spans="1:25" x14ac:dyDescent="0.25">
      <c r="A204" s="160">
        <v>2122284</v>
      </c>
      <c r="B204" s="161" t="s">
        <v>89</v>
      </c>
      <c r="C204" s="162">
        <f>+C205</f>
        <v>651800000</v>
      </c>
      <c r="D204" s="162">
        <f t="shared" ref="D204:N204" si="109">+D205</f>
        <v>0</v>
      </c>
      <c r="E204" s="162">
        <f t="shared" si="109"/>
        <v>0</v>
      </c>
      <c r="F204" s="162">
        <f t="shared" si="109"/>
        <v>0</v>
      </c>
      <c r="G204" s="162">
        <f t="shared" si="109"/>
        <v>651800000</v>
      </c>
      <c r="H204" s="162">
        <f t="shared" si="109"/>
        <v>0</v>
      </c>
      <c r="I204" s="162">
        <f t="shared" si="109"/>
        <v>593650709.04999995</v>
      </c>
      <c r="J204" s="162">
        <f t="shared" si="103"/>
        <v>58149290.950000048</v>
      </c>
      <c r="K204" s="162">
        <f t="shared" si="109"/>
        <v>170199254.49000001</v>
      </c>
      <c r="L204" s="162">
        <f t="shared" si="109"/>
        <v>196519115.19</v>
      </c>
      <c r="M204" s="162">
        <f t="shared" si="104"/>
        <v>397131593.85999995</v>
      </c>
      <c r="N204" s="162">
        <f t="shared" si="109"/>
        <v>594372408.70000005</v>
      </c>
      <c r="O204" s="162">
        <f t="shared" si="105"/>
        <v>721699.65000009537</v>
      </c>
      <c r="P204" s="162">
        <f t="shared" si="106"/>
        <v>57427591.299999952</v>
      </c>
      <c r="Q204" s="162">
        <f t="shared" si="107"/>
        <v>196519115.19</v>
      </c>
      <c r="V204" s="149">
        <v>57427591.299999952</v>
      </c>
      <c r="X204" s="167"/>
      <c r="Y204" s="168"/>
    </row>
    <row r="205" spans="1:25" s="100" customFormat="1" x14ac:dyDescent="0.25">
      <c r="A205" s="163">
        <v>21222841</v>
      </c>
      <c r="B205" s="164" t="s">
        <v>600</v>
      </c>
      <c r="C205" s="165">
        <v>651800000</v>
      </c>
      <c r="D205" s="165">
        <v>0</v>
      </c>
      <c r="E205" s="165">
        <v>0</v>
      </c>
      <c r="F205" s="165">
        <v>0</v>
      </c>
      <c r="G205" s="165">
        <f t="shared" si="80"/>
        <v>651800000</v>
      </c>
      <c r="H205" s="165">
        <v>0</v>
      </c>
      <c r="I205" s="165">
        <v>593650709.04999995</v>
      </c>
      <c r="J205" s="165">
        <f t="shared" si="103"/>
        <v>58149290.950000048</v>
      </c>
      <c r="K205" s="165">
        <v>170199254.49000001</v>
      </c>
      <c r="L205" s="165">
        <v>196519115.19</v>
      </c>
      <c r="M205" s="165">
        <f t="shared" si="104"/>
        <v>397131593.85999995</v>
      </c>
      <c r="N205" s="165">
        <v>594372408.70000005</v>
      </c>
      <c r="O205" s="165">
        <f t="shared" si="105"/>
        <v>721699.65000009537</v>
      </c>
      <c r="P205" s="165">
        <f t="shared" si="106"/>
        <v>57427591.299999952</v>
      </c>
      <c r="Q205" s="165">
        <f t="shared" si="107"/>
        <v>196519115.19</v>
      </c>
      <c r="V205" s="149">
        <v>57427591.299999952</v>
      </c>
      <c r="X205" s="167"/>
      <c r="Y205" s="168"/>
    </row>
    <row r="206" spans="1:25" s="100" customFormat="1" ht="45" x14ac:dyDescent="0.25">
      <c r="A206" s="160">
        <v>2122285</v>
      </c>
      <c r="B206" s="161" t="s">
        <v>90</v>
      </c>
      <c r="C206" s="162">
        <f>+C207+C210+C212</f>
        <v>119000000</v>
      </c>
      <c r="D206" s="162">
        <f t="shared" ref="D206:N206" si="110">+D207+D210+D212</f>
        <v>79200000</v>
      </c>
      <c r="E206" s="162">
        <f t="shared" si="110"/>
        <v>119000000</v>
      </c>
      <c r="F206" s="162">
        <f t="shared" si="110"/>
        <v>0</v>
      </c>
      <c r="G206" s="162">
        <f t="shared" si="110"/>
        <v>79200000</v>
      </c>
      <c r="H206" s="162">
        <f t="shared" si="110"/>
        <v>0</v>
      </c>
      <c r="I206" s="162">
        <f t="shared" si="110"/>
        <v>28291130</v>
      </c>
      <c r="J206" s="162">
        <f t="shared" si="103"/>
        <v>50908870</v>
      </c>
      <c r="K206" s="162">
        <f t="shared" si="110"/>
        <v>2174865</v>
      </c>
      <c r="L206" s="162">
        <f t="shared" si="110"/>
        <v>28291130</v>
      </c>
      <c r="M206" s="162">
        <f t="shared" si="104"/>
        <v>0</v>
      </c>
      <c r="N206" s="162">
        <f t="shared" si="110"/>
        <v>79200000</v>
      </c>
      <c r="O206" s="162">
        <f t="shared" si="105"/>
        <v>50908870</v>
      </c>
      <c r="P206" s="162">
        <f t="shared" si="106"/>
        <v>0</v>
      </c>
      <c r="Q206" s="162">
        <f t="shared" si="107"/>
        <v>28291130</v>
      </c>
      <c r="V206" s="149">
        <v>0</v>
      </c>
      <c r="X206" s="167"/>
      <c r="Y206" s="168"/>
    </row>
    <row r="207" spans="1:25" s="100" customFormat="1" x14ac:dyDescent="0.25">
      <c r="A207" s="160">
        <v>212228502</v>
      </c>
      <c r="B207" s="161" t="s">
        <v>819</v>
      </c>
      <c r="C207" s="162">
        <f>+C208+C209</f>
        <v>0</v>
      </c>
      <c r="D207" s="162">
        <f t="shared" ref="D207:N207" si="111">+D208+D209</f>
        <v>10000000</v>
      </c>
      <c r="E207" s="162">
        <f t="shared" si="111"/>
        <v>0</v>
      </c>
      <c r="F207" s="162">
        <f t="shared" si="111"/>
        <v>0</v>
      </c>
      <c r="G207" s="162">
        <f t="shared" si="111"/>
        <v>10000000</v>
      </c>
      <c r="H207" s="162">
        <f t="shared" si="111"/>
        <v>0</v>
      </c>
      <c r="I207" s="162">
        <f t="shared" si="111"/>
        <v>0</v>
      </c>
      <c r="J207" s="162">
        <f t="shared" si="103"/>
        <v>10000000</v>
      </c>
      <c r="K207" s="162">
        <f t="shared" si="111"/>
        <v>0</v>
      </c>
      <c r="L207" s="162">
        <f t="shared" si="111"/>
        <v>0</v>
      </c>
      <c r="M207" s="162">
        <f t="shared" si="104"/>
        <v>0</v>
      </c>
      <c r="N207" s="162">
        <f t="shared" si="111"/>
        <v>10000000</v>
      </c>
      <c r="O207" s="162">
        <f t="shared" si="105"/>
        <v>10000000</v>
      </c>
      <c r="P207" s="162">
        <f t="shared" si="106"/>
        <v>0</v>
      </c>
      <c r="Q207" s="162">
        <f t="shared" si="107"/>
        <v>0</v>
      </c>
      <c r="V207" s="149">
        <v>0</v>
      </c>
      <c r="X207" s="167"/>
      <c r="Y207" s="168"/>
    </row>
    <row r="208" spans="1:25" s="100" customFormat="1" x14ac:dyDescent="0.25">
      <c r="A208" s="160">
        <v>21222850201</v>
      </c>
      <c r="B208" s="161" t="s">
        <v>820</v>
      </c>
      <c r="C208" s="162"/>
      <c r="D208" s="162">
        <v>5000000</v>
      </c>
      <c r="E208" s="162">
        <v>0</v>
      </c>
      <c r="F208" s="162">
        <v>0</v>
      </c>
      <c r="G208" s="162">
        <f t="shared" si="80"/>
        <v>5000000</v>
      </c>
      <c r="H208" s="162">
        <v>0</v>
      </c>
      <c r="I208" s="162">
        <v>0</v>
      </c>
      <c r="J208" s="162">
        <f t="shared" si="103"/>
        <v>5000000</v>
      </c>
      <c r="K208" s="162">
        <v>0</v>
      </c>
      <c r="L208" s="162">
        <v>0</v>
      </c>
      <c r="M208" s="162">
        <f t="shared" si="104"/>
        <v>0</v>
      </c>
      <c r="N208" s="162">
        <v>5000000</v>
      </c>
      <c r="O208" s="162">
        <f t="shared" si="105"/>
        <v>5000000</v>
      </c>
      <c r="P208" s="162">
        <f t="shared" si="106"/>
        <v>0</v>
      </c>
      <c r="Q208" s="162">
        <f t="shared" si="107"/>
        <v>0</v>
      </c>
      <c r="V208" s="149">
        <v>0</v>
      </c>
      <c r="X208" s="167"/>
      <c r="Y208" s="168"/>
    </row>
    <row r="209" spans="1:25" s="100" customFormat="1" x14ac:dyDescent="0.25">
      <c r="A209" s="160">
        <v>21222850202</v>
      </c>
      <c r="B209" s="161" t="s">
        <v>821</v>
      </c>
      <c r="C209" s="162"/>
      <c r="D209" s="162">
        <v>5000000</v>
      </c>
      <c r="E209" s="162">
        <v>0</v>
      </c>
      <c r="F209" s="162">
        <v>0</v>
      </c>
      <c r="G209" s="162">
        <f t="shared" ref="G209:G273" si="112">+C209+D209-E209+F209</f>
        <v>5000000</v>
      </c>
      <c r="H209" s="162">
        <v>0</v>
      </c>
      <c r="I209" s="162">
        <v>0</v>
      </c>
      <c r="J209" s="162">
        <f t="shared" si="103"/>
        <v>5000000</v>
      </c>
      <c r="K209" s="162">
        <v>0</v>
      </c>
      <c r="L209" s="162">
        <v>0</v>
      </c>
      <c r="M209" s="162">
        <f t="shared" si="104"/>
        <v>0</v>
      </c>
      <c r="N209" s="162">
        <v>5000000</v>
      </c>
      <c r="O209" s="162">
        <f t="shared" si="105"/>
        <v>5000000</v>
      </c>
      <c r="P209" s="162">
        <f t="shared" si="106"/>
        <v>0</v>
      </c>
      <c r="Q209" s="162">
        <f t="shared" si="107"/>
        <v>0</v>
      </c>
      <c r="V209" s="149">
        <v>0</v>
      </c>
      <c r="X209" s="167"/>
      <c r="Y209" s="168"/>
    </row>
    <row r="210" spans="1:25" s="100" customFormat="1" x14ac:dyDescent="0.25">
      <c r="A210" s="160">
        <v>212228503</v>
      </c>
      <c r="B210" s="161" t="s">
        <v>822</v>
      </c>
      <c r="C210" s="162">
        <f>+C211</f>
        <v>0</v>
      </c>
      <c r="D210" s="162">
        <v>69200000</v>
      </c>
      <c r="E210" s="162">
        <v>0</v>
      </c>
      <c r="F210" s="162">
        <v>0</v>
      </c>
      <c r="G210" s="162">
        <f t="shared" si="112"/>
        <v>69200000</v>
      </c>
      <c r="H210" s="162">
        <v>0</v>
      </c>
      <c r="I210" s="162">
        <v>28291130</v>
      </c>
      <c r="J210" s="162">
        <f t="shared" si="103"/>
        <v>40908870</v>
      </c>
      <c r="K210" s="162">
        <v>2174865</v>
      </c>
      <c r="L210" s="162">
        <v>28291130</v>
      </c>
      <c r="M210" s="162">
        <f t="shared" si="104"/>
        <v>0</v>
      </c>
      <c r="N210" s="162">
        <v>69200000</v>
      </c>
      <c r="O210" s="162">
        <f t="shared" si="105"/>
        <v>40908870</v>
      </c>
      <c r="P210" s="162">
        <f t="shared" si="106"/>
        <v>0</v>
      </c>
      <c r="Q210" s="162">
        <f t="shared" si="107"/>
        <v>28291130</v>
      </c>
      <c r="V210" s="149">
        <v>0</v>
      </c>
    </row>
    <row r="211" spans="1:25" ht="30" x14ac:dyDescent="0.25">
      <c r="A211" s="160">
        <v>21222850301</v>
      </c>
      <c r="B211" s="161" t="s">
        <v>823</v>
      </c>
      <c r="C211" s="162"/>
      <c r="D211" s="162">
        <v>69200000</v>
      </c>
      <c r="E211" s="162">
        <v>0</v>
      </c>
      <c r="F211" s="162">
        <v>0</v>
      </c>
      <c r="G211" s="162">
        <f t="shared" si="112"/>
        <v>69200000</v>
      </c>
      <c r="H211" s="162">
        <v>0</v>
      </c>
      <c r="I211" s="162">
        <v>28291130</v>
      </c>
      <c r="J211" s="162">
        <f t="shared" si="103"/>
        <v>40908870</v>
      </c>
      <c r="K211" s="162">
        <v>2174865</v>
      </c>
      <c r="L211" s="162">
        <v>28291130</v>
      </c>
      <c r="M211" s="162">
        <f t="shared" si="104"/>
        <v>0</v>
      </c>
      <c r="N211" s="162">
        <v>69200000</v>
      </c>
      <c r="O211" s="162">
        <f t="shared" si="105"/>
        <v>40908870</v>
      </c>
      <c r="P211" s="162">
        <f t="shared" si="106"/>
        <v>0</v>
      </c>
      <c r="Q211" s="162">
        <f t="shared" si="107"/>
        <v>28291130</v>
      </c>
      <c r="V211" s="149">
        <v>0</v>
      </c>
      <c r="X211" s="20"/>
      <c r="Y211" s="127"/>
    </row>
    <row r="212" spans="1:25" s="100" customFormat="1" ht="30" x14ac:dyDescent="0.25">
      <c r="A212" s="163">
        <v>21222851</v>
      </c>
      <c r="B212" s="164" t="s">
        <v>601</v>
      </c>
      <c r="C212" s="165">
        <v>119000000</v>
      </c>
      <c r="D212" s="165">
        <v>0</v>
      </c>
      <c r="E212" s="165">
        <v>119000000</v>
      </c>
      <c r="F212" s="165">
        <v>0</v>
      </c>
      <c r="G212" s="165">
        <f t="shared" si="112"/>
        <v>0</v>
      </c>
      <c r="H212" s="165">
        <v>0</v>
      </c>
      <c r="I212" s="165">
        <v>0</v>
      </c>
      <c r="J212" s="165">
        <f t="shared" si="103"/>
        <v>0</v>
      </c>
      <c r="K212" s="165">
        <v>0</v>
      </c>
      <c r="L212" s="165">
        <v>0</v>
      </c>
      <c r="M212" s="165">
        <f t="shared" si="104"/>
        <v>0</v>
      </c>
      <c r="N212" s="165">
        <v>0</v>
      </c>
      <c r="O212" s="165">
        <f t="shared" si="105"/>
        <v>0</v>
      </c>
      <c r="P212" s="165">
        <f t="shared" si="106"/>
        <v>0</v>
      </c>
      <c r="Q212" s="165">
        <f t="shared" si="107"/>
        <v>0</v>
      </c>
      <c r="V212" s="149">
        <v>0</v>
      </c>
      <c r="X212" s="20"/>
      <c r="Y212" s="127"/>
    </row>
    <row r="213" spans="1:25" s="100" customFormat="1" ht="45" x14ac:dyDescent="0.25">
      <c r="A213" s="157">
        <v>2122286</v>
      </c>
      <c r="B213" s="158" t="s">
        <v>91</v>
      </c>
      <c r="C213" s="159">
        <f>+C214+C216+C217</f>
        <v>49500000</v>
      </c>
      <c r="D213" s="159">
        <f t="shared" ref="D213:N213" si="113">+D214+D216+D217</f>
        <v>35000000</v>
      </c>
      <c r="E213" s="159">
        <f t="shared" si="113"/>
        <v>0</v>
      </c>
      <c r="F213" s="159">
        <f t="shared" si="113"/>
        <v>0</v>
      </c>
      <c r="G213" s="159">
        <f t="shared" si="113"/>
        <v>84500000</v>
      </c>
      <c r="H213" s="159">
        <f t="shared" si="113"/>
        <v>0</v>
      </c>
      <c r="I213" s="159">
        <f t="shared" si="113"/>
        <v>11791004</v>
      </c>
      <c r="J213" s="159">
        <f t="shared" si="103"/>
        <v>72708996</v>
      </c>
      <c r="K213" s="159">
        <f t="shared" si="113"/>
        <v>1376635</v>
      </c>
      <c r="L213" s="159">
        <f t="shared" si="113"/>
        <v>6024635</v>
      </c>
      <c r="M213" s="159">
        <f t="shared" si="104"/>
        <v>5766369</v>
      </c>
      <c r="N213" s="159">
        <f t="shared" si="113"/>
        <v>17951000</v>
      </c>
      <c r="O213" s="159">
        <f t="shared" si="105"/>
        <v>6159996</v>
      </c>
      <c r="P213" s="159">
        <f t="shared" si="106"/>
        <v>66549000</v>
      </c>
      <c r="Q213" s="159">
        <f t="shared" si="107"/>
        <v>6024635</v>
      </c>
      <c r="V213" s="149">
        <v>30300000</v>
      </c>
      <c r="X213" s="20"/>
      <c r="Y213" s="127"/>
    </row>
    <row r="214" spans="1:25" ht="30" x14ac:dyDescent="0.25">
      <c r="A214" s="160">
        <v>21222861</v>
      </c>
      <c r="B214" s="161" t="s">
        <v>92</v>
      </c>
      <c r="C214" s="162">
        <f>+C215</f>
        <v>30000000</v>
      </c>
      <c r="D214" s="162">
        <f t="shared" ref="D214:N214" si="114">+D215</f>
        <v>0</v>
      </c>
      <c r="E214" s="162">
        <f t="shared" si="114"/>
        <v>0</v>
      </c>
      <c r="F214" s="162">
        <f t="shared" si="114"/>
        <v>0</v>
      </c>
      <c r="G214" s="162">
        <f t="shared" si="114"/>
        <v>30000000</v>
      </c>
      <c r="H214" s="162">
        <f t="shared" si="114"/>
        <v>0</v>
      </c>
      <c r="I214" s="162">
        <f t="shared" si="114"/>
        <v>500000</v>
      </c>
      <c r="J214" s="162">
        <f t="shared" si="103"/>
        <v>29500000</v>
      </c>
      <c r="K214" s="162">
        <f t="shared" si="114"/>
        <v>0</v>
      </c>
      <c r="L214" s="162">
        <f t="shared" si="114"/>
        <v>500000</v>
      </c>
      <c r="M214" s="162">
        <f t="shared" si="104"/>
        <v>0</v>
      </c>
      <c r="N214" s="162">
        <f t="shared" si="114"/>
        <v>500000</v>
      </c>
      <c r="O214" s="162">
        <f t="shared" si="105"/>
        <v>0</v>
      </c>
      <c r="P214" s="162">
        <f t="shared" si="106"/>
        <v>29500000</v>
      </c>
      <c r="Q214" s="162">
        <f t="shared" si="107"/>
        <v>500000</v>
      </c>
      <c r="V214" s="149">
        <v>29500000</v>
      </c>
      <c r="X214" s="20"/>
      <c r="Y214" s="127"/>
    </row>
    <row r="215" spans="1:25" ht="30" x14ac:dyDescent="0.25">
      <c r="A215" s="163">
        <v>212228611</v>
      </c>
      <c r="B215" s="164" t="s">
        <v>602</v>
      </c>
      <c r="C215" s="165">
        <v>30000000</v>
      </c>
      <c r="D215" s="165">
        <v>0</v>
      </c>
      <c r="E215" s="165">
        <v>0</v>
      </c>
      <c r="F215" s="165">
        <v>0</v>
      </c>
      <c r="G215" s="165">
        <f t="shared" si="112"/>
        <v>30000000</v>
      </c>
      <c r="H215" s="165">
        <v>0</v>
      </c>
      <c r="I215" s="165">
        <v>500000</v>
      </c>
      <c r="J215" s="165">
        <f t="shared" si="103"/>
        <v>29500000</v>
      </c>
      <c r="K215" s="165">
        <v>0</v>
      </c>
      <c r="L215" s="165">
        <v>500000</v>
      </c>
      <c r="M215" s="165">
        <f t="shared" si="104"/>
        <v>0</v>
      </c>
      <c r="N215" s="165">
        <v>500000</v>
      </c>
      <c r="O215" s="165">
        <f t="shared" si="105"/>
        <v>0</v>
      </c>
      <c r="P215" s="165">
        <f t="shared" si="106"/>
        <v>29500000</v>
      </c>
      <c r="Q215" s="165">
        <f t="shared" si="107"/>
        <v>500000</v>
      </c>
      <c r="V215" s="149">
        <v>29500000</v>
      </c>
      <c r="X215" s="20"/>
      <c r="Y215" s="127"/>
    </row>
    <row r="216" spans="1:25" ht="30" x14ac:dyDescent="0.25">
      <c r="A216" s="163">
        <v>21222862</v>
      </c>
      <c r="B216" s="164" t="s">
        <v>603</v>
      </c>
      <c r="C216" s="165">
        <v>1500000</v>
      </c>
      <c r="D216" s="165">
        <v>0</v>
      </c>
      <c r="E216" s="165">
        <v>0</v>
      </c>
      <c r="F216" s="165">
        <v>0</v>
      </c>
      <c r="G216" s="165">
        <f t="shared" si="112"/>
        <v>1500000</v>
      </c>
      <c r="H216" s="165">
        <v>0</v>
      </c>
      <c r="I216" s="165">
        <v>700000</v>
      </c>
      <c r="J216" s="165">
        <f t="shared" si="103"/>
        <v>800000</v>
      </c>
      <c r="K216" s="165">
        <v>0</v>
      </c>
      <c r="L216" s="165">
        <v>700000</v>
      </c>
      <c r="M216" s="165">
        <f t="shared" si="104"/>
        <v>0</v>
      </c>
      <c r="N216" s="165">
        <v>700000</v>
      </c>
      <c r="O216" s="165">
        <f t="shared" si="105"/>
        <v>0</v>
      </c>
      <c r="P216" s="165">
        <f t="shared" si="106"/>
        <v>800000</v>
      </c>
      <c r="Q216" s="165">
        <f t="shared" si="107"/>
        <v>700000</v>
      </c>
      <c r="V216" s="149">
        <v>800000</v>
      </c>
      <c r="X216" s="20"/>
      <c r="Y216" s="127"/>
    </row>
    <row r="217" spans="1:25" s="100" customFormat="1" ht="30" x14ac:dyDescent="0.25">
      <c r="A217" s="163">
        <v>21222863</v>
      </c>
      <c r="B217" s="164" t="s">
        <v>604</v>
      </c>
      <c r="C217" s="165">
        <v>18000000</v>
      </c>
      <c r="D217" s="165">
        <v>35000000</v>
      </c>
      <c r="E217" s="165">
        <v>0</v>
      </c>
      <c r="F217" s="165">
        <v>0</v>
      </c>
      <c r="G217" s="165">
        <f t="shared" si="112"/>
        <v>53000000</v>
      </c>
      <c r="H217" s="165">
        <v>0</v>
      </c>
      <c r="I217" s="165">
        <v>10591004</v>
      </c>
      <c r="J217" s="165">
        <f t="shared" si="103"/>
        <v>42408996</v>
      </c>
      <c r="K217" s="165">
        <v>1376635</v>
      </c>
      <c r="L217" s="165">
        <v>4824635</v>
      </c>
      <c r="M217" s="165">
        <f t="shared" si="104"/>
        <v>5766369</v>
      </c>
      <c r="N217" s="165">
        <v>16751000</v>
      </c>
      <c r="O217" s="165">
        <f t="shared" si="105"/>
        <v>6159996</v>
      </c>
      <c r="P217" s="165">
        <f t="shared" si="106"/>
        <v>36249000</v>
      </c>
      <c r="Q217" s="165">
        <f t="shared" si="107"/>
        <v>4824635</v>
      </c>
      <c r="V217" s="149">
        <v>36249000</v>
      </c>
      <c r="X217" s="167"/>
      <c r="Y217" s="168"/>
    </row>
    <row r="218" spans="1:25" ht="45" x14ac:dyDescent="0.25">
      <c r="A218" s="160">
        <v>2122287</v>
      </c>
      <c r="B218" s="161" t="s">
        <v>93</v>
      </c>
      <c r="C218" s="162">
        <f>+C219</f>
        <v>30000000</v>
      </c>
      <c r="D218" s="162">
        <f t="shared" ref="D218:N218" si="115">+D219</f>
        <v>200000000</v>
      </c>
      <c r="E218" s="162">
        <f t="shared" si="115"/>
        <v>0</v>
      </c>
      <c r="F218" s="162">
        <f t="shared" si="115"/>
        <v>0</v>
      </c>
      <c r="G218" s="162">
        <f t="shared" si="115"/>
        <v>230000000</v>
      </c>
      <c r="H218" s="162">
        <f t="shared" si="115"/>
        <v>0</v>
      </c>
      <c r="I218" s="162">
        <f t="shared" si="115"/>
        <v>89950000</v>
      </c>
      <c r="J218" s="162">
        <f t="shared" si="103"/>
        <v>140050000</v>
      </c>
      <c r="K218" s="162">
        <f t="shared" si="115"/>
        <v>0</v>
      </c>
      <c r="L218" s="162">
        <f t="shared" si="115"/>
        <v>2950000</v>
      </c>
      <c r="M218" s="162">
        <f t="shared" si="104"/>
        <v>87000000</v>
      </c>
      <c r="N218" s="162">
        <f t="shared" si="115"/>
        <v>152950000</v>
      </c>
      <c r="O218" s="162">
        <f t="shared" si="105"/>
        <v>63000000</v>
      </c>
      <c r="P218" s="162">
        <f t="shared" si="106"/>
        <v>77050000</v>
      </c>
      <c r="Q218" s="162">
        <f t="shared" si="107"/>
        <v>2950000</v>
      </c>
      <c r="V218" s="149">
        <v>77050000</v>
      </c>
      <c r="X218" s="167"/>
      <c r="Y218" s="168"/>
    </row>
    <row r="219" spans="1:25" s="100" customFormat="1" x14ac:dyDescent="0.25">
      <c r="A219" s="163">
        <v>21222871</v>
      </c>
      <c r="B219" s="164" t="s">
        <v>605</v>
      </c>
      <c r="C219" s="165">
        <v>30000000</v>
      </c>
      <c r="D219" s="165">
        <v>200000000</v>
      </c>
      <c r="E219" s="165">
        <v>0</v>
      </c>
      <c r="F219" s="165">
        <v>0</v>
      </c>
      <c r="G219" s="165">
        <f t="shared" si="112"/>
        <v>230000000</v>
      </c>
      <c r="H219" s="165">
        <v>0</v>
      </c>
      <c r="I219" s="165">
        <v>89950000</v>
      </c>
      <c r="J219" s="165">
        <f t="shared" si="103"/>
        <v>140050000</v>
      </c>
      <c r="K219" s="165">
        <v>0</v>
      </c>
      <c r="L219" s="165">
        <v>2950000</v>
      </c>
      <c r="M219" s="165">
        <f t="shared" si="104"/>
        <v>87000000</v>
      </c>
      <c r="N219" s="165">
        <v>152950000</v>
      </c>
      <c r="O219" s="165">
        <f t="shared" si="105"/>
        <v>63000000</v>
      </c>
      <c r="P219" s="165">
        <f t="shared" si="106"/>
        <v>77050000</v>
      </c>
      <c r="Q219" s="165">
        <f t="shared" si="107"/>
        <v>2950000</v>
      </c>
      <c r="V219" s="149">
        <v>77050000</v>
      </c>
      <c r="X219" s="167"/>
      <c r="Y219" s="168"/>
    </row>
    <row r="220" spans="1:25" s="100" customFormat="1" ht="30" x14ac:dyDescent="0.25">
      <c r="A220" s="157">
        <v>212229</v>
      </c>
      <c r="B220" s="158" t="s">
        <v>94</v>
      </c>
      <c r="C220" s="159">
        <f>+C221+C224+C227+C230</f>
        <v>725000000</v>
      </c>
      <c r="D220" s="159">
        <f t="shared" ref="D220:N220" si="116">+D221+D224+D227+D230</f>
        <v>0</v>
      </c>
      <c r="E220" s="159">
        <f t="shared" si="116"/>
        <v>150000000</v>
      </c>
      <c r="F220" s="159">
        <f t="shared" si="116"/>
        <v>150000000</v>
      </c>
      <c r="G220" s="159">
        <f t="shared" si="116"/>
        <v>725000000</v>
      </c>
      <c r="H220" s="159">
        <f t="shared" si="116"/>
        <v>23371350</v>
      </c>
      <c r="I220" s="159">
        <f t="shared" si="116"/>
        <v>400906802</v>
      </c>
      <c r="J220" s="159">
        <f t="shared" si="103"/>
        <v>324093198</v>
      </c>
      <c r="K220" s="159">
        <f t="shared" si="116"/>
        <v>41945668</v>
      </c>
      <c r="L220" s="159">
        <f t="shared" si="116"/>
        <v>298241787</v>
      </c>
      <c r="M220" s="159">
        <f t="shared" si="104"/>
        <v>102665015</v>
      </c>
      <c r="N220" s="159">
        <f t="shared" si="116"/>
        <v>480916356</v>
      </c>
      <c r="O220" s="159">
        <f t="shared" si="105"/>
        <v>80009554</v>
      </c>
      <c r="P220" s="159">
        <f t="shared" si="106"/>
        <v>244083644</v>
      </c>
      <c r="Q220" s="159">
        <f t="shared" si="107"/>
        <v>298241787</v>
      </c>
      <c r="V220" s="149">
        <v>244083644</v>
      </c>
      <c r="X220" s="84"/>
      <c r="Y220" s="84"/>
    </row>
    <row r="221" spans="1:25" x14ac:dyDescent="0.25">
      <c r="A221" s="160">
        <v>2122291</v>
      </c>
      <c r="B221" s="161" t="s">
        <v>95</v>
      </c>
      <c r="C221" s="162">
        <f>+C222+C223</f>
        <v>440000000</v>
      </c>
      <c r="D221" s="162">
        <f t="shared" ref="D221:N221" si="117">+D222+D223</f>
        <v>0</v>
      </c>
      <c r="E221" s="162">
        <f t="shared" si="117"/>
        <v>150000000</v>
      </c>
      <c r="F221" s="162">
        <f t="shared" si="117"/>
        <v>150000000</v>
      </c>
      <c r="G221" s="162">
        <f t="shared" si="117"/>
        <v>440000000</v>
      </c>
      <c r="H221" s="162">
        <f t="shared" si="117"/>
        <v>23080000</v>
      </c>
      <c r="I221" s="162">
        <f t="shared" si="117"/>
        <v>212935597</v>
      </c>
      <c r="J221" s="162">
        <f t="shared" si="103"/>
        <v>227064403</v>
      </c>
      <c r="K221" s="162">
        <f t="shared" si="117"/>
        <v>23913261</v>
      </c>
      <c r="L221" s="162">
        <f t="shared" si="117"/>
        <v>153575977</v>
      </c>
      <c r="M221" s="162">
        <f t="shared" si="104"/>
        <v>59359620</v>
      </c>
      <c r="N221" s="162">
        <f t="shared" si="117"/>
        <v>291809293</v>
      </c>
      <c r="O221" s="162">
        <f t="shared" si="105"/>
        <v>78873696</v>
      </c>
      <c r="P221" s="162">
        <f t="shared" si="106"/>
        <v>148190707</v>
      </c>
      <c r="Q221" s="162">
        <f t="shared" si="107"/>
        <v>153575977</v>
      </c>
      <c r="V221" s="149">
        <v>148190707</v>
      </c>
    </row>
    <row r="222" spans="1:25" x14ac:dyDescent="0.25">
      <c r="A222" s="163">
        <v>21222911</v>
      </c>
      <c r="B222" s="164" t="s">
        <v>606</v>
      </c>
      <c r="C222" s="165">
        <v>190000000</v>
      </c>
      <c r="D222" s="165">
        <v>0</v>
      </c>
      <c r="E222" s="165">
        <v>150000000</v>
      </c>
      <c r="F222" s="165">
        <v>0</v>
      </c>
      <c r="G222" s="165">
        <f t="shared" si="112"/>
        <v>40000000</v>
      </c>
      <c r="H222" s="165">
        <v>0</v>
      </c>
      <c r="I222" s="165">
        <v>40000000</v>
      </c>
      <c r="J222" s="165">
        <f t="shared" si="103"/>
        <v>0</v>
      </c>
      <c r="K222" s="165">
        <v>19400000</v>
      </c>
      <c r="L222" s="165">
        <v>40000000</v>
      </c>
      <c r="M222" s="165">
        <f t="shared" si="104"/>
        <v>0</v>
      </c>
      <c r="N222" s="165">
        <v>40000000</v>
      </c>
      <c r="O222" s="165">
        <f t="shared" si="105"/>
        <v>0</v>
      </c>
      <c r="P222" s="165">
        <f t="shared" si="106"/>
        <v>0</v>
      </c>
      <c r="Q222" s="165">
        <f t="shared" si="107"/>
        <v>40000000</v>
      </c>
      <c r="V222" s="149">
        <v>0</v>
      </c>
      <c r="X222" s="100"/>
      <c r="Y222" s="100"/>
    </row>
    <row r="223" spans="1:25" s="100" customFormat="1" ht="30" x14ac:dyDescent="0.25">
      <c r="A223" s="163">
        <v>21222912</v>
      </c>
      <c r="B223" s="164" t="s">
        <v>607</v>
      </c>
      <c r="C223" s="165">
        <v>250000000</v>
      </c>
      <c r="D223" s="165">
        <v>0</v>
      </c>
      <c r="E223" s="165">
        <v>0</v>
      </c>
      <c r="F223" s="165">
        <v>150000000</v>
      </c>
      <c r="G223" s="165">
        <f t="shared" si="112"/>
        <v>400000000</v>
      </c>
      <c r="H223" s="165">
        <v>23080000</v>
      </c>
      <c r="I223" s="165">
        <v>172935597</v>
      </c>
      <c r="J223" s="165">
        <f t="shared" si="103"/>
        <v>227064403</v>
      </c>
      <c r="K223" s="165">
        <v>4513261</v>
      </c>
      <c r="L223" s="165">
        <v>113575977</v>
      </c>
      <c r="M223" s="165">
        <f t="shared" si="104"/>
        <v>59359620</v>
      </c>
      <c r="N223" s="165">
        <v>251809293</v>
      </c>
      <c r="O223" s="165">
        <f t="shared" si="105"/>
        <v>78873696</v>
      </c>
      <c r="P223" s="165">
        <f t="shared" si="106"/>
        <v>148190707</v>
      </c>
      <c r="Q223" s="165">
        <f t="shared" si="107"/>
        <v>113575977</v>
      </c>
      <c r="V223" s="149">
        <v>148190707</v>
      </c>
    </row>
    <row r="224" spans="1:25" ht="45" x14ac:dyDescent="0.25">
      <c r="A224" s="160">
        <v>2122293</v>
      </c>
      <c r="B224" s="161" t="s">
        <v>96</v>
      </c>
      <c r="C224" s="162">
        <f>+C225+C226</f>
        <v>93000000</v>
      </c>
      <c r="D224" s="162">
        <f t="shared" ref="D224:N224" si="118">+D225+D226</f>
        <v>0</v>
      </c>
      <c r="E224" s="162">
        <f t="shared" si="118"/>
        <v>0</v>
      </c>
      <c r="F224" s="162">
        <f t="shared" si="118"/>
        <v>0</v>
      </c>
      <c r="G224" s="162">
        <f t="shared" si="118"/>
        <v>93000000</v>
      </c>
      <c r="H224" s="162">
        <f t="shared" si="118"/>
        <v>291350</v>
      </c>
      <c r="I224" s="162">
        <f t="shared" si="118"/>
        <v>52175480</v>
      </c>
      <c r="J224" s="162">
        <f t="shared" si="103"/>
        <v>40824520</v>
      </c>
      <c r="K224" s="162">
        <f t="shared" si="118"/>
        <v>1093850</v>
      </c>
      <c r="L224" s="162">
        <f t="shared" si="118"/>
        <v>25760430</v>
      </c>
      <c r="M224" s="162">
        <f t="shared" si="104"/>
        <v>26415050</v>
      </c>
      <c r="N224" s="162">
        <f t="shared" si="118"/>
        <v>53291280</v>
      </c>
      <c r="O224" s="162">
        <f t="shared" si="105"/>
        <v>1115800</v>
      </c>
      <c r="P224" s="162">
        <f t="shared" si="106"/>
        <v>39708720</v>
      </c>
      <c r="Q224" s="162">
        <f t="shared" si="107"/>
        <v>25760430</v>
      </c>
      <c r="V224" s="149">
        <v>39708720</v>
      </c>
    </row>
    <row r="225" spans="1:25" ht="30" x14ac:dyDescent="0.25">
      <c r="A225" s="163">
        <v>21222931</v>
      </c>
      <c r="B225" s="164" t="s">
        <v>608</v>
      </c>
      <c r="C225" s="165">
        <v>57000000</v>
      </c>
      <c r="D225" s="165">
        <v>0</v>
      </c>
      <c r="E225" s="165">
        <v>0</v>
      </c>
      <c r="F225" s="165">
        <v>0</v>
      </c>
      <c r="G225" s="165">
        <f t="shared" si="112"/>
        <v>57000000</v>
      </c>
      <c r="H225" s="165">
        <v>291350</v>
      </c>
      <c r="I225" s="165">
        <v>16175480</v>
      </c>
      <c r="J225" s="165">
        <f t="shared" si="103"/>
        <v>40824520</v>
      </c>
      <c r="K225" s="165">
        <v>291350</v>
      </c>
      <c r="L225" s="165">
        <v>19007530</v>
      </c>
      <c r="M225" s="165">
        <f t="shared" si="104"/>
        <v>-2832050</v>
      </c>
      <c r="N225" s="165">
        <v>17291280</v>
      </c>
      <c r="O225" s="165">
        <f t="shared" si="105"/>
        <v>1115800</v>
      </c>
      <c r="P225" s="165">
        <f t="shared" si="106"/>
        <v>39708720</v>
      </c>
      <c r="Q225" s="165">
        <f t="shared" si="107"/>
        <v>19007530</v>
      </c>
      <c r="V225" s="149">
        <v>39708720</v>
      </c>
      <c r="X225" s="100"/>
      <c r="Y225" s="100"/>
    </row>
    <row r="226" spans="1:25" s="100" customFormat="1" ht="30" x14ac:dyDescent="0.25">
      <c r="A226" s="163">
        <v>21222936</v>
      </c>
      <c r="B226" s="164" t="s">
        <v>609</v>
      </c>
      <c r="C226" s="165">
        <v>36000000</v>
      </c>
      <c r="D226" s="165">
        <v>0</v>
      </c>
      <c r="E226" s="165">
        <v>0</v>
      </c>
      <c r="F226" s="165">
        <v>0</v>
      </c>
      <c r="G226" s="165">
        <f t="shared" si="112"/>
        <v>36000000</v>
      </c>
      <c r="H226" s="165">
        <v>0</v>
      </c>
      <c r="I226" s="165">
        <v>36000000</v>
      </c>
      <c r="J226" s="165">
        <f t="shared" si="103"/>
        <v>0</v>
      </c>
      <c r="K226" s="165">
        <v>802500</v>
      </c>
      <c r="L226" s="165">
        <v>6752900</v>
      </c>
      <c r="M226" s="165">
        <f t="shared" si="104"/>
        <v>29247100</v>
      </c>
      <c r="N226" s="165">
        <v>36000000</v>
      </c>
      <c r="O226" s="165">
        <f t="shared" si="105"/>
        <v>0</v>
      </c>
      <c r="P226" s="165">
        <f t="shared" si="106"/>
        <v>0</v>
      </c>
      <c r="Q226" s="165">
        <f t="shared" si="107"/>
        <v>6752900</v>
      </c>
      <c r="V226" s="149">
        <v>0</v>
      </c>
      <c r="X226" s="84"/>
      <c r="Y226" s="84"/>
    </row>
    <row r="227" spans="1:25" x14ac:dyDescent="0.25">
      <c r="A227" s="160">
        <v>2122294</v>
      </c>
      <c r="B227" s="161" t="s">
        <v>97</v>
      </c>
      <c r="C227" s="162">
        <f>+C228+C229</f>
        <v>115000000</v>
      </c>
      <c r="D227" s="162">
        <f t="shared" ref="D227:N227" si="119">+D228+D229</f>
        <v>0</v>
      </c>
      <c r="E227" s="162">
        <f t="shared" si="119"/>
        <v>0</v>
      </c>
      <c r="F227" s="162">
        <f t="shared" si="119"/>
        <v>0</v>
      </c>
      <c r="G227" s="162">
        <f t="shared" si="119"/>
        <v>115000000</v>
      </c>
      <c r="H227" s="162">
        <f t="shared" si="119"/>
        <v>0</v>
      </c>
      <c r="I227" s="162">
        <f t="shared" si="119"/>
        <v>85000000</v>
      </c>
      <c r="J227" s="162">
        <f t="shared" si="103"/>
        <v>30000000</v>
      </c>
      <c r="K227" s="162">
        <f t="shared" si="119"/>
        <v>0</v>
      </c>
      <c r="L227" s="162">
        <f t="shared" si="119"/>
        <v>85000000</v>
      </c>
      <c r="M227" s="162">
        <f t="shared" si="104"/>
        <v>0</v>
      </c>
      <c r="N227" s="162">
        <f t="shared" si="119"/>
        <v>85000000</v>
      </c>
      <c r="O227" s="162">
        <f t="shared" si="105"/>
        <v>0</v>
      </c>
      <c r="P227" s="162">
        <f t="shared" si="106"/>
        <v>30000000</v>
      </c>
      <c r="Q227" s="162">
        <f t="shared" si="107"/>
        <v>85000000</v>
      </c>
      <c r="V227" s="149">
        <v>30000000</v>
      </c>
    </row>
    <row r="228" spans="1:25" ht="45" x14ac:dyDescent="0.25">
      <c r="A228" s="163">
        <v>21222941</v>
      </c>
      <c r="B228" s="164" t="s">
        <v>643</v>
      </c>
      <c r="C228" s="165">
        <v>30000000</v>
      </c>
      <c r="D228" s="165">
        <v>0</v>
      </c>
      <c r="E228" s="165">
        <v>0</v>
      </c>
      <c r="F228" s="165">
        <v>0</v>
      </c>
      <c r="G228" s="165">
        <f t="shared" si="112"/>
        <v>30000000</v>
      </c>
      <c r="H228" s="165">
        <v>0</v>
      </c>
      <c r="I228" s="165">
        <v>0</v>
      </c>
      <c r="J228" s="165">
        <f t="shared" si="103"/>
        <v>30000000</v>
      </c>
      <c r="K228" s="165">
        <v>0</v>
      </c>
      <c r="L228" s="165">
        <v>0</v>
      </c>
      <c r="M228" s="165">
        <f t="shared" si="104"/>
        <v>0</v>
      </c>
      <c r="N228" s="165">
        <v>0</v>
      </c>
      <c r="O228" s="165">
        <f t="shared" si="105"/>
        <v>0</v>
      </c>
      <c r="P228" s="165">
        <f t="shared" si="106"/>
        <v>30000000</v>
      </c>
      <c r="Q228" s="165">
        <f t="shared" si="107"/>
        <v>0</v>
      </c>
      <c r="V228" s="149">
        <v>30000000</v>
      </c>
    </row>
    <row r="229" spans="1:25" s="100" customFormat="1" x14ac:dyDescent="0.25">
      <c r="A229" s="163">
        <v>21222942</v>
      </c>
      <c r="B229" s="164" t="s">
        <v>610</v>
      </c>
      <c r="C229" s="165">
        <v>85000000</v>
      </c>
      <c r="D229" s="165">
        <v>0</v>
      </c>
      <c r="E229" s="165">
        <v>0</v>
      </c>
      <c r="F229" s="165">
        <v>0</v>
      </c>
      <c r="G229" s="165">
        <f t="shared" si="112"/>
        <v>85000000</v>
      </c>
      <c r="H229" s="165">
        <v>0</v>
      </c>
      <c r="I229" s="165">
        <v>85000000</v>
      </c>
      <c r="J229" s="165">
        <f t="shared" si="103"/>
        <v>0</v>
      </c>
      <c r="K229" s="165">
        <v>0</v>
      </c>
      <c r="L229" s="165">
        <v>85000000</v>
      </c>
      <c r="M229" s="165">
        <f t="shared" si="104"/>
        <v>0</v>
      </c>
      <c r="N229" s="165">
        <v>85000000</v>
      </c>
      <c r="O229" s="165">
        <f t="shared" si="105"/>
        <v>0</v>
      </c>
      <c r="P229" s="165">
        <f t="shared" si="106"/>
        <v>0</v>
      </c>
      <c r="Q229" s="165">
        <f t="shared" si="107"/>
        <v>85000000</v>
      </c>
      <c r="V229" s="149">
        <v>0</v>
      </c>
      <c r="X229" s="84"/>
      <c r="Y229" s="84"/>
    </row>
    <row r="230" spans="1:25" x14ac:dyDescent="0.25">
      <c r="A230" s="160">
        <v>2122296</v>
      </c>
      <c r="B230" s="161" t="s">
        <v>98</v>
      </c>
      <c r="C230" s="162">
        <f>+C231+C232+C233+C234</f>
        <v>77000000</v>
      </c>
      <c r="D230" s="162">
        <f t="shared" ref="D230:N230" si="120">+D231+D232+D233+D234</f>
        <v>0</v>
      </c>
      <c r="E230" s="162">
        <f t="shared" si="120"/>
        <v>0</v>
      </c>
      <c r="F230" s="162">
        <f t="shared" si="120"/>
        <v>0</v>
      </c>
      <c r="G230" s="162">
        <f t="shared" si="120"/>
        <v>77000000</v>
      </c>
      <c r="H230" s="162">
        <f t="shared" si="120"/>
        <v>0</v>
      </c>
      <c r="I230" s="162">
        <f t="shared" si="120"/>
        <v>50795725</v>
      </c>
      <c r="J230" s="162">
        <f t="shared" si="103"/>
        <v>26204275</v>
      </c>
      <c r="K230" s="162">
        <f t="shared" si="120"/>
        <v>16938557</v>
      </c>
      <c r="L230" s="162">
        <f t="shared" si="120"/>
        <v>33905380</v>
      </c>
      <c r="M230" s="162">
        <f t="shared" si="104"/>
        <v>16890345</v>
      </c>
      <c r="N230" s="162">
        <f t="shared" si="120"/>
        <v>50815783</v>
      </c>
      <c r="O230" s="162">
        <f t="shared" si="105"/>
        <v>20058</v>
      </c>
      <c r="P230" s="162">
        <f t="shared" si="106"/>
        <v>26184217</v>
      </c>
      <c r="Q230" s="162">
        <f t="shared" si="107"/>
        <v>33905380</v>
      </c>
      <c r="V230" s="149">
        <v>26184217</v>
      </c>
      <c r="X230" s="100"/>
      <c r="Y230" s="100"/>
    </row>
    <row r="231" spans="1:25" x14ac:dyDescent="0.25">
      <c r="A231" s="163">
        <v>21222961</v>
      </c>
      <c r="B231" s="164" t="s">
        <v>611</v>
      </c>
      <c r="C231" s="165">
        <v>50000000</v>
      </c>
      <c r="D231" s="165">
        <v>0</v>
      </c>
      <c r="E231" s="165">
        <v>0</v>
      </c>
      <c r="F231" s="165">
        <v>0</v>
      </c>
      <c r="G231" s="165">
        <f t="shared" si="112"/>
        <v>50000000</v>
      </c>
      <c r="H231" s="165">
        <v>0</v>
      </c>
      <c r="I231" s="165">
        <v>40502942</v>
      </c>
      <c r="J231" s="165">
        <f t="shared" si="103"/>
        <v>9497058</v>
      </c>
      <c r="K231" s="165">
        <v>16938557</v>
      </c>
      <c r="L231" s="165">
        <v>33499470</v>
      </c>
      <c r="M231" s="165">
        <f t="shared" si="104"/>
        <v>7003472</v>
      </c>
      <c r="N231" s="165">
        <v>40515783</v>
      </c>
      <c r="O231" s="165">
        <f t="shared" si="105"/>
        <v>12841</v>
      </c>
      <c r="P231" s="165">
        <f t="shared" si="106"/>
        <v>9484217</v>
      </c>
      <c r="Q231" s="165">
        <f t="shared" si="107"/>
        <v>33499470</v>
      </c>
      <c r="V231" s="149">
        <v>9484217</v>
      </c>
    </row>
    <row r="232" spans="1:25" ht="30" x14ac:dyDescent="0.25">
      <c r="A232" s="163">
        <v>21222962</v>
      </c>
      <c r="B232" s="164" t="s">
        <v>612</v>
      </c>
      <c r="C232" s="165">
        <v>9000000</v>
      </c>
      <c r="D232" s="165">
        <v>0</v>
      </c>
      <c r="E232" s="165">
        <v>0</v>
      </c>
      <c r="F232" s="165">
        <v>0</v>
      </c>
      <c r="G232" s="165">
        <f t="shared" si="112"/>
        <v>9000000</v>
      </c>
      <c r="H232" s="165">
        <v>0</v>
      </c>
      <c r="I232" s="165">
        <v>0</v>
      </c>
      <c r="J232" s="165">
        <f t="shared" si="103"/>
        <v>9000000</v>
      </c>
      <c r="K232" s="165">
        <v>0</v>
      </c>
      <c r="L232" s="165">
        <v>0</v>
      </c>
      <c r="M232" s="165">
        <f t="shared" si="104"/>
        <v>0</v>
      </c>
      <c r="N232" s="165">
        <v>0</v>
      </c>
      <c r="O232" s="165">
        <f t="shared" si="105"/>
        <v>0</v>
      </c>
      <c r="P232" s="165">
        <f t="shared" si="106"/>
        <v>9000000</v>
      </c>
      <c r="Q232" s="165">
        <f t="shared" si="107"/>
        <v>0</v>
      </c>
      <c r="V232" s="149">
        <v>9000000</v>
      </c>
      <c r="X232" s="100"/>
      <c r="Y232" s="100"/>
    </row>
    <row r="233" spans="1:25" x14ac:dyDescent="0.25">
      <c r="A233" s="163">
        <v>21222963</v>
      </c>
      <c r="B233" s="164" t="s">
        <v>613</v>
      </c>
      <c r="C233" s="165">
        <v>8000000</v>
      </c>
      <c r="D233" s="165">
        <v>0</v>
      </c>
      <c r="E233" s="165">
        <v>0</v>
      </c>
      <c r="F233" s="165">
        <v>0</v>
      </c>
      <c r="G233" s="165">
        <f t="shared" si="112"/>
        <v>8000000</v>
      </c>
      <c r="H233" s="165">
        <v>0</v>
      </c>
      <c r="I233" s="165">
        <v>300000</v>
      </c>
      <c r="J233" s="165">
        <f t="shared" si="103"/>
        <v>7700000</v>
      </c>
      <c r="K233" s="165">
        <v>0</v>
      </c>
      <c r="L233" s="165">
        <v>300000</v>
      </c>
      <c r="M233" s="165">
        <f t="shared" si="104"/>
        <v>0</v>
      </c>
      <c r="N233" s="165">
        <v>300000</v>
      </c>
      <c r="O233" s="165">
        <f t="shared" si="105"/>
        <v>0</v>
      </c>
      <c r="P233" s="165">
        <f t="shared" si="106"/>
        <v>7700000</v>
      </c>
      <c r="Q233" s="165">
        <f t="shared" si="107"/>
        <v>300000</v>
      </c>
      <c r="V233" s="149">
        <v>7700000</v>
      </c>
      <c r="X233" s="100"/>
      <c r="Y233" s="100"/>
    </row>
    <row r="234" spans="1:25" s="100" customFormat="1" x14ac:dyDescent="0.25">
      <c r="A234" s="163">
        <v>21222964</v>
      </c>
      <c r="B234" s="164" t="s">
        <v>614</v>
      </c>
      <c r="C234" s="165">
        <v>10000000</v>
      </c>
      <c r="D234" s="165">
        <v>0</v>
      </c>
      <c r="E234" s="165">
        <v>0</v>
      </c>
      <c r="F234" s="165">
        <v>0</v>
      </c>
      <c r="G234" s="165">
        <f t="shared" si="112"/>
        <v>10000000</v>
      </c>
      <c r="H234" s="165">
        <v>0</v>
      </c>
      <c r="I234" s="165">
        <v>9992783</v>
      </c>
      <c r="J234" s="165">
        <f t="shared" si="103"/>
        <v>7217</v>
      </c>
      <c r="K234" s="165">
        <v>0</v>
      </c>
      <c r="L234" s="165">
        <v>105910</v>
      </c>
      <c r="M234" s="165">
        <f t="shared" si="104"/>
        <v>9886873</v>
      </c>
      <c r="N234" s="165">
        <v>10000000</v>
      </c>
      <c r="O234" s="165">
        <f t="shared" si="105"/>
        <v>7217</v>
      </c>
      <c r="P234" s="165">
        <f t="shared" si="106"/>
        <v>0</v>
      </c>
      <c r="Q234" s="165">
        <f t="shared" si="107"/>
        <v>105910</v>
      </c>
      <c r="V234" s="149">
        <v>0</v>
      </c>
      <c r="X234" s="84"/>
      <c r="Y234" s="84"/>
    </row>
    <row r="235" spans="1:25" s="100" customFormat="1" x14ac:dyDescent="0.25">
      <c r="A235" s="151">
        <v>214</v>
      </c>
      <c r="B235" s="152" t="s">
        <v>824</v>
      </c>
      <c r="C235" s="153">
        <f>+C236</f>
        <v>0</v>
      </c>
      <c r="D235" s="153">
        <f t="shared" ref="D235:N237" si="121">+D236</f>
        <v>0</v>
      </c>
      <c r="E235" s="153">
        <f t="shared" si="121"/>
        <v>0</v>
      </c>
      <c r="F235" s="153">
        <f t="shared" si="121"/>
        <v>81466480.730000004</v>
      </c>
      <c r="G235" s="153">
        <f t="shared" si="121"/>
        <v>81466480.730000004</v>
      </c>
      <c r="H235" s="153">
        <f t="shared" si="121"/>
        <v>0</v>
      </c>
      <c r="I235" s="153">
        <f t="shared" si="121"/>
        <v>24093096</v>
      </c>
      <c r="J235" s="153">
        <f t="shared" si="103"/>
        <v>57373384.730000004</v>
      </c>
      <c r="K235" s="153">
        <f t="shared" si="121"/>
        <v>0</v>
      </c>
      <c r="L235" s="153">
        <f t="shared" si="121"/>
        <v>0</v>
      </c>
      <c r="M235" s="153">
        <f t="shared" si="104"/>
        <v>24093096</v>
      </c>
      <c r="N235" s="153">
        <f t="shared" si="121"/>
        <v>58190000</v>
      </c>
      <c r="O235" s="153">
        <f t="shared" si="105"/>
        <v>34096904</v>
      </c>
      <c r="P235" s="153">
        <f t="shared" si="106"/>
        <v>23276480.730000004</v>
      </c>
      <c r="Q235" s="153">
        <f t="shared" si="107"/>
        <v>0</v>
      </c>
      <c r="V235" s="149">
        <v>23276480.730000004</v>
      </c>
      <c r="X235" s="84"/>
      <c r="Y235" s="84"/>
    </row>
    <row r="236" spans="1:25" s="100" customFormat="1" x14ac:dyDescent="0.25">
      <c r="A236" s="151">
        <v>2143</v>
      </c>
      <c r="B236" s="152" t="s">
        <v>825</v>
      </c>
      <c r="C236" s="153">
        <f>+C237</f>
        <v>0</v>
      </c>
      <c r="D236" s="153">
        <f t="shared" si="121"/>
        <v>0</v>
      </c>
      <c r="E236" s="153">
        <f t="shared" si="121"/>
        <v>0</v>
      </c>
      <c r="F236" s="153">
        <f t="shared" si="121"/>
        <v>81466480.730000004</v>
      </c>
      <c r="G236" s="153">
        <f t="shared" si="121"/>
        <v>81466480.730000004</v>
      </c>
      <c r="H236" s="153">
        <f t="shared" si="121"/>
        <v>0</v>
      </c>
      <c r="I236" s="153">
        <f t="shared" si="121"/>
        <v>24093096</v>
      </c>
      <c r="J236" s="153">
        <f t="shared" si="103"/>
        <v>57373384.730000004</v>
      </c>
      <c r="K236" s="153">
        <f t="shared" si="121"/>
        <v>0</v>
      </c>
      <c r="L236" s="153">
        <f t="shared" si="121"/>
        <v>0</v>
      </c>
      <c r="M236" s="153">
        <f t="shared" si="104"/>
        <v>24093096</v>
      </c>
      <c r="N236" s="153">
        <f t="shared" si="121"/>
        <v>58190000</v>
      </c>
      <c r="O236" s="153">
        <f t="shared" si="105"/>
        <v>34096904</v>
      </c>
      <c r="P236" s="153">
        <f t="shared" si="106"/>
        <v>23276480.730000004</v>
      </c>
      <c r="Q236" s="153">
        <f t="shared" si="107"/>
        <v>0</v>
      </c>
      <c r="V236" s="149">
        <v>23276480.730000004</v>
      </c>
    </row>
    <row r="237" spans="1:25" x14ac:dyDescent="0.25">
      <c r="A237" s="160">
        <v>21431</v>
      </c>
      <c r="B237" s="161" t="s">
        <v>826</v>
      </c>
      <c r="C237" s="162">
        <f>+C238</f>
        <v>0</v>
      </c>
      <c r="D237" s="162">
        <f t="shared" si="121"/>
        <v>0</v>
      </c>
      <c r="E237" s="162">
        <f t="shared" si="121"/>
        <v>0</v>
      </c>
      <c r="F237" s="162">
        <f t="shared" si="121"/>
        <v>81466480.730000004</v>
      </c>
      <c r="G237" s="162">
        <f t="shared" si="121"/>
        <v>81466480.730000004</v>
      </c>
      <c r="H237" s="162">
        <f t="shared" si="121"/>
        <v>0</v>
      </c>
      <c r="I237" s="162">
        <f t="shared" si="121"/>
        <v>24093096</v>
      </c>
      <c r="J237" s="162">
        <f t="shared" si="103"/>
        <v>57373384.730000004</v>
      </c>
      <c r="K237" s="162">
        <f t="shared" si="121"/>
        <v>0</v>
      </c>
      <c r="L237" s="162">
        <f t="shared" si="121"/>
        <v>0</v>
      </c>
      <c r="M237" s="162">
        <f t="shared" si="104"/>
        <v>24093096</v>
      </c>
      <c r="N237" s="162">
        <f t="shared" si="121"/>
        <v>58190000</v>
      </c>
      <c r="O237" s="162">
        <f t="shared" si="105"/>
        <v>34096904</v>
      </c>
      <c r="P237" s="162">
        <f t="shared" si="106"/>
        <v>23276480.730000004</v>
      </c>
      <c r="Q237" s="162">
        <f t="shared" si="107"/>
        <v>0</v>
      </c>
      <c r="V237" s="149">
        <v>23276480.730000004</v>
      </c>
    </row>
    <row r="238" spans="1:25" s="100" customFormat="1" x14ac:dyDescent="0.25">
      <c r="A238" s="163">
        <v>2143101</v>
      </c>
      <c r="B238" s="164" t="s">
        <v>827</v>
      </c>
      <c r="C238" s="165"/>
      <c r="D238" s="165">
        <v>0</v>
      </c>
      <c r="E238" s="165">
        <v>0</v>
      </c>
      <c r="F238" s="165">
        <f>81466420.73+60</f>
        <v>81466480.730000004</v>
      </c>
      <c r="G238" s="165">
        <f t="shared" si="112"/>
        <v>81466480.730000004</v>
      </c>
      <c r="H238" s="165">
        <v>0</v>
      </c>
      <c r="I238" s="165">
        <v>24093096</v>
      </c>
      <c r="J238" s="165">
        <f t="shared" si="103"/>
        <v>57373384.730000004</v>
      </c>
      <c r="K238" s="165">
        <v>0</v>
      </c>
      <c r="L238" s="165">
        <v>0</v>
      </c>
      <c r="M238" s="165">
        <f t="shared" si="104"/>
        <v>24093096</v>
      </c>
      <c r="N238" s="165">
        <v>58190000</v>
      </c>
      <c r="O238" s="165">
        <f t="shared" si="105"/>
        <v>34096904</v>
      </c>
      <c r="P238" s="165">
        <f t="shared" si="106"/>
        <v>23276480.730000004</v>
      </c>
      <c r="Q238" s="165">
        <f t="shared" si="107"/>
        <v>0</v>
      </c>
      <c r="V238" s="149">
        <v>23276480.730000004</v>
      </c>
    </row>
    <row r="239" spans="1:25" x14ac:dyDescent="0.25">
      <c r="A239" s="151">
        <v>217</v>
      </c>
      <c r="B239" s="152" t="s">
        <v>99</v>
      </c>
      <c r="C239" s="153">
        <f>+C240</f>
        <v>4366488983</v>
      </c>
      <c r="D239" s="153">
        <f t="shared" ref="D239:G239" si="122">+D240</f>
        <v>0</v>
      </c>
      <c r="E239" s="153">
        <f t="shared" si="122"/>
        <v>0</v>
      </c>
      <c r="F239" s="153">
        <f t="shared" si="122"/>
        <v>0</v>
      </c>
      <c r="G239" s="153">
        <f t="shared" si="122"/>
        <v>4366488983</v>
      </c>
      <c r="H239" s="153">
        <v>1749701</v>
      </c>
      <c r="I239" s="153">
        <v>4147693696</v>
      </c>
      <c r="J239" s="153">
        <f t="shared" si="103"/>
        <v>218795287</v>
      </c>
      <c r="K239" s="153">
        <v>1749701</v>
      </c>
      <c r="L239" s="153">
        <v>4147693696</v>
      </c>
      <c r="M239" s="153">
        <f t="shared" si="104"/>
        <v>0</v>
      </c>
      <c r="N239" s="153">
        <v>4147693696</v>
      </c>
      <c r="O239" s="153">
        <f t="shared" si="105"/>
        <v>0</v>
      </c>
      <c r="P239" s="153">
        <f t="shared" si="106"/>
        <v>218795287</v>
      </c>
      <c r="Q239" s="153">
        <f t="shared" si="107"/>
        <v>4147693696</v>
      </c>
      <c r="V239" s="149">
        <v>218795287</v>
      </c>
      <c r="X239" s="100"/>
      <c r="Y239" s="100"/>
    </row>
    <row r="240" spans="1:25" s="100" customFormat="1" x14ac:dyDescent="0.25">
      <c r="A240" s="163">
        <v>2171</v>
      </c>
      <c r="B240" s="164" t="s">
        <v>615</v>
      </c>
      <c r="C240" s="165">
        <v>4366488983</v>
      </c>
      <c r="D240" s="165">
        <v>0</v>
      </c>
      <c r="E240" s="165">
        <v>0</v>
      </c>
      <c r="F240" s="165">
        <v>0</v>
      </c>
      <c r="G240" s="165">
        <f t="shared" si="112"/>
        <v>4366488983</v>
      </c>
      <c r="H240" s="165">
        <v>1749701</v>
      </c>
      <c r="I240" s="165">
        <v>4147693696</v>
      </c>
      <c r="J240" s="165">
        <f t="shared" si="103"/>
        <v>218795287</v>
      </c>
      <c r="K240" s="165">
        <v>1749701</v>
      </c>
      <c r="L240" s="165">
        <v>4147693696</v>
      </c>
      <c r="M240" s="165">
        <f t="shared" si="104"/>
        <v>0</v>
      </c>
      <c r="N240" s="165">
        <v>4147693696</v>
      </c>
      <c r="O240" s="165">
        <f t="shared" si="105"/>
        <v>0</v>
      </c>
      <c r="P240" s="165">
        <f t="shared" si="106"/>
        <v>218795287</v>
      </c>
      <c r="Q240" s="165">
        <f t="shared" si="107"/>
        <v>4147693696</v>
      </c>
      <c r="V240" s="149">
        <v>218795287</v>
      </c>
    </row>
    <row r="241" spans="1:25" s="100" customFormat="1" ht="30" x14ac:dyDescent="0.25">
      <c r="A241" s="151">
        <v>218</v>
      </c>
      <c r="B241" s="152" t="s">
        <v>100</v>
      </c>
      <c r="C241" s="153">
        <f>+C242</f>
        <v>748133878</v>
      </c>
      <c r="D241" s="153">
        <f t="shared" ref="D241:G241" si="123">+D242</f>
        <v>20312351</v>
      </c>
      <c r="E241" s="153">
        <f t="shared" si="123"/>
        <v>275000000</v>
      </c>
      <c r="F241" s="153">
        <f t="shared" si="123"/>
        <v>0</v>
      </c>
      <c r="G241" s="153">
        <f t="shared" si="123"/>
        <v>493446229</v>
      </c>
      <c r="H241" s="153">
        <v>122524708</v>
      </c>
      <c r="I241" s="153">
        <v>390724167</v>
      </c>
      <c r="J241" s="153">
        <f t="shared" si="103"/>
        <v>102722062</v>
      </c>
      <c r="K241" s="153">
        <v>122524708</v>
      </c>
      <c r="L241" s="153">
        <v>390724167</v>
      </c>
      <c r="M241" s="153">
        <f t="shared" si="104"/>
        <v>0</v>
      </c>
      <c r="N241" s="153">
        <v>390724167</v>
      </c>
      <c r="O241" s="153">
        <f t="shared" si="105"/>
        <v>0</v>
      </c>
      <c r="P241" s="153">
        <f t="shared" si="106"/>
        <v>102722062</v>
      </c>
      <c r="Q241" s="153">
        <f t="shared" si="107"/>
        <v>390724167</v>
      </c>
      <c r="V241" s="149">
        <v>102722062</v>
      </c>
    </row>
    <row r="242" spans="1:25" s="100" customFormat="1" x14ac:dyDescent="0.25">
      <c r="A242" s="151">
        <v>2181</v>
      </c>
      <c r="B242" s="152" t="s">
        <v>101</v>
      </c>
      <c r="C242" s="153">
        <f>+C243+C245+C248</f>
        <v>748133878</v>
      </c>
      <c r="D242" s="153">
        <f t="shared" ref="D242:G242" si="124">+D243+D245+D248</f>
        <v>20312351</v>
      </c>
      <c r="E242" s="153">
        <f t="shared" si="124"/>
        <v>275000000</v>
      </c>
      <c r="F242" s="153">
        <f t="shared" si="124"/>
        <v>0</v>
      </c>
      <c r="G242" s="153">
        <f t="shared" si="124"/>
        <v>493446229</v>
      </c>
      <c r="H242" s="153">
        <v>122524708</v>
      </c>
      <c r="I242" s="153">
        <v>390724167</v>
      </c>
      <c r="J242" s="153">
        <f t="shared" si="103"/>
        <v>102722062</v>
      </c>
      <c r="K242" s="153">
        <v>122524708</v>
      </c>
      <c r="L242" s="153">
        <v>390724167</v>
      </c>
      <c r="M242" s="153">
        <f t="shared" si="104"/>
        <v>0</v>
      </c>
      <c r="N242" s="153">
        <v>390724167</v>
      </c>
      <c r="O242" s="153">
        <f t="shared" si="105"/>
        <v>0</v>
      </c>
      <c r="P242" s="153">
        <f t="shared" si="106"/>
        <v>102722062</v>
      </c>
      <c r="Q242" s="153">
        <f t="shared" si="107"/>
        <v>390724167</v>
      </c>
      <c r="V242" s="149">
        <v>102722062</v>
      </c>
    </row>
    <row r="243" spans="1:25" x14ac:dyDescent="0.25">
      <c r="A243" s="160">
        <v>21811</v>
      </c>
      <c r="B243" s="161" t="s">
        <v>102</v>
      </c>
      <c r="C243" s="162">
        <f>+C244</f>
        <v>384000000</v>
      </c>
      <c r="D243" s="162">
        <f t="shared" ref="D243:G243" si="125">+D244</f>
        <v>0</v>
      </c>
      <c r="E243" s="162">
        <f t="shared" si="125"/>
        <v>275000000</v>
      </c>
      <c r="F243" s="162">
        <f t="shared" si="125"/>
        <v>0</v>
      </c>
      <c r="G243" s="162">
        <f t="shared" si="125"/>
        <v>109000000</v>
      </c>
      <c r="H243" s="162">
        <v>0</v>
      </c>
      <c r="I243" s="162">
        <v>25224200</v>
      </c>
      <c r="J243" s="162">
        <f t="shared" si="103"/>
        <v>83775800</v>
      </c>
      <c r="K243" s="162">
        <v>0</v>
      </c>
      <c r="L243" s="162">
        <v>25224200</v>
      </c>
      <c r="M243" s="162">
        <f t="shared" si="104"/>
        <v>0</v>
      </c>
      <c r="N243" s="162">
        <v>25224200</v>
      </c>
      <c r="O243" s="162">
        <f t="shared" si="105"/>
        <v>0</v>
      </c>
      <c r="P243" s="162">
        <f t="shared" si="106"/>
        <v>83775800</v>
      </c>
      <c r="Q243" s="162">
        <f t="shared" si="107"/>
        <v>25224200</v>
      </c>
      <c r="V243" s="149">
        <v>83775800</v>
      </c>
    </row>
    <row r="244" spans="1:25" s="100" customFormat="1" x14ac:dyDescent="0.25">
      <c r="A244" s="163">
        <v>218111</v>
      </c>
      <c r="B244" s="164" t="s">
        <v>616</v>
      </c>
      <c r="C244" s="165">
        <v>384000000</v>
      </c>
      <c r="D244" s="165">
        <v>0</v>
      </c>
      <c r="E244" s="165">
        <v>275000000</v>
      </c>
      <c r="F244" s="165">
        <v>0</v>
      </c>
      <c r="G244" s="165">
        <f t="shared" si="112"/>
        <v>109000000</v>
      </c>
      <c r="H244" s="165">
        <v>0</v>
      </c>
      <c r="I244" s="165">
        <v>25224200</v>
      </c>
      <c r="J244" s="165">
        <f t="shared" si="103"/>
        <v>83775800</v>
      </c>
      <c r="K244" s="165">
        <v>0</v>
      </c>
      <c r="L244" s="165">
        <v>25224200</v>
      </c>
      <c r="M244" s="165">
        <f t="shared" si="104"/>
        <v>0</v>
      </c>
      <c r="N244" s="165">
        <v>25224200</v>
      </c>
      <c r="O244" s="165">
        <f t="shared" si="105"/>
        <v>0</v>
      </c>
      <c r="P244" s="165">
        <f t="shared" si="106"/>
        <v>83775800</v>
      </c>
      <c r="Q244" s="165">
        <f t="shared" si="107"/>
        <v>25224200</v>
      </c>
      <c r="V244" s="149">
        <v>83775800</v>
      </c>
    </row>
    <row r="245" spans="1:25" x14ac:dyDescent="0.25">
      <c r="A245" s="160">
        <v>21812</v>
      </c>
      <c r="B245" s="161" t="s">
        <v>103</v>
      </c>
      <c r="C245" s="162">
        <f>+C246+C247</f>
        <v>364133878</v>
      </c>
      <c r="D245" s="162">
        <f t="shared" ref="D245:G245" si="126">+D246+D247</f>
        <v>20000000</v>
      </c>
      <c r="E245" s="162">
        <f t="shared" si="126"/>
        <v>0</v>
      </c>
      <c r="F245" s="162">
        <f t="shared" si="126"/>
        <v>0</v>
      </c>
      <c r="G245" s="162">
        <f t="shared" si="126"/>
        <v>384133878</v>
      </c>
      <c r="H245" s="162">
        <v>122524708</v>
      </c>
      <c r="I245" s="162">
        <v>365187616</v>
      </c>
      <c r="J245" s="162">
        <f t="shared" si="103"/>
        <v>18946262</v>
      </c>
      <c r="K245" s="162">
        <v>122524708</v>
      </c>
      <c r="L245" s="162">
        <v>365187616</v>
      </c>
      <c r="M245" s="162">
        <f t="shared" si="104"/>
        <v>0</v>
      </c>
      <c r="N245" s="162">
        <v>365187616</v>
      </c>
      <c r="O245" s="162">
        <f t="shared" si="105"/>
        <v>0</v>
      </c>
      <c r="P245" s="162">
        <f t="shared" si="106"/>
        <v>18946262</v>
      </c>
      <c r="Q245" s="162">
        <f t="shared" si="107"/>
        <v>365187616</v>
      </c>
      <c r="V245" s="149">
        <v>18946262</v>
      </c>
      <c r="X245" s="100"/>
      <c r="Y245" s="100"/>
    </row>
    <row r="246" spans="1:25" x14ac:dyDescent="0.25">
      <c r="A246" s="163">
        <v>2181202</v>
      </c>
      <c r="B246" s="164" t="s">
        <v>828</v>
      </c>
      <c r="C246" s="165"/>
      <c r="D246" s="165">
        <v>20000000</v>
      </c>
      <c r="E246" s="165">
        <v>0</v>
      </c>
      <c r="F246" s="165">
        <v>0</v>
      </c>
      <c r="G246" s="165">
        <f t="shared" si="112"/>
        <v>20000000</v>
      </c>
      <c r="H246" s="165">
        <v>1674000</v>
      </c>
      <c r="I246" s="165">
        <v>2563500</v>
      </c>
      <c r="J246" s="165">
        <f t="shared" si="103"/>
        <v>17436500</v>
      </c>
      <c r="K246" s="165">
        <v>1674000</v>
      </c>
      <c r="L246" s="165">
        <v>2563500</v>
      </c>
      <c r="M246" s="165">
        <f t="shared" si="104"/>
        <v>0</v>
      </c>
      <c r="N246" s="165">
        <v>2563500</v>
      </c>
      <c r="O246" s="165">
        <f t="shared" si="105"/>
        <v>0</v>
      </c>
      <c r="P246" s="165">
        <f t="shared" si="106"/>
        <v>17436500</v>
      </c>
      <c r="Q246" s="165">
        <f t="shared" si="107"/>
        <v>2563500</v>
      </c>
      <c r="V246" s="149">
        <v>17436500</v>
      </c>
      <c r="X246" s="167"/>
      <c r="Y246" s="168"/>
    </row>
    <row r="247" spans="1:25" s="100" customFormat="1" x14ac:dyDescent="0.25">
      <c r="A247" s="163">
        <v>218121</v>
      </c>
      <c r="B247" s="164" t="s">
        <v>617</v>
      </c>
      <c r="C247" s="165">
        <v>364133878</v>
      </c>
      <c r="D247" s="165">
        <v>0</v>
      </c>
      <c r="E247" s="165">
        <v>0</v>
      </c>
      <c r="F247" s="165">
        <v>0</v>
      </c>
      <c r="G247" s="165">
        <f t="shared" si="112"/>
        <v>364133878</v>
      </c>
      <c r="H247" s="165">
        <v>120850708</v>
      </c>
      <c r="I247" s="165">
        <v>362624116</v>
      </c>
      <c r="J247" s="165">
        <f t="shared" si="103"/>
        <v>1509762</v>
      </c>
      <c r="K247" s="165">
        <v>120850708</v>
      </c>
      <c r="L247" s="165">
        <v>362624116</v>
      </c>
      <c r="M247" s="165">
        <f t="shared" si="104"/>
        <v>0</v>
      </c>
      <c r="N247" s="165">
        <v>362624116</v>
      </c>
      <c r="O247" s="165">
        <f t="shared" si="105"/>
        <v>0</v>
      </c>
      <c r="P247" s="165">
        <f t="shared" si="106"/>
        <v>1509762</v>
      </c>
      <c r="Q247" s="165">
        <f t="shared" si="107"/>
        <v>362624116</v>
      </c>
      <c r="V247" s="149">
        <v>1509762</v>
      </c>
      <c r="X247" s="167"/>
      <c r="Y247" s="168"/>
    </row>
    <row r="248" spans="1:25" s="100" customFormat="1" x14ac:dyDescent="0.25">
      <c r="A248" s="163">
        <v>21813</v>
      </c>
      <c r="B248" s="164" t="s">
        <v>856</v>
      </c>
      <c r="C248" s="165"/>
      <c r="D248" s="165">
        <v>312351</v>
      </c>
      <c r="E248" s="165">
        <v>0</v>
      </c>
      <c r="F248" s="165">
        <v>0</v>
      </c>
      <c r="G248" s="165">
        <f t="shared" si="112"/>
        <v>312351</v>
      </c>
      <c r="H248" s="165">
        <v>0</v>
      </c>
      <c r="I248" s="165">
        <v>312351</v>
      </c>
      <c r="J248" s="165">
        <f t="shared" si="103"/>
        <v>0</v>
      </c>
      <c r="K248" s="165">
        <v>0</v>
      </c>
      <c r="L248" s="165">
        <v>312351</v>
      </c>
      <c r="M248" s="165">
        <f t="shared" si="104"/>
        <v>0</v>
      </c>
      <c r="N248" s="165">
        <v>312351</v>
      </c>
      <c r="O248" s="165">
        <f t="shared" si="105"/>
        <v>0</v>
      </c>
      <c r="P248" s="165">
        <f t="shared" si="106"/>
        <v>0</v>
      </c>
      <c r="Q248" s="165">
        <f t="shared" si="107"/>
        <v>312351</v>
      </c>
      <c r="V248" s="149">
        <v>0</v>
      </c>
      <c r="X248" s="167"/>
      <c r="Y248" s="168"/>
    </row>
    <row r="249" spans="1:25" s="100" customFormat="1" x14ac:dyDescent="0.25">
      <c r="A249" s="151">
        <v>23</v>
      </c>
      <c r="B249" s="152" t="s">
        <v>104</v>
      </c>
      <c r="C249" s="153">
        <f>+C250+C279+C317+C322+C334</f>
        <v>10950809240</v>
      </c>
      <c r="D249" s="153">
        <f>+D250+D279+D317+D322+D334</f>
        <v>6720804320</v>
      </c>
      <c r="E249" s="153">
        <f>+E250+E279+E317+E322+E334</f>
        <v>6720804320</v>
      </c>
      <c r="F249" s="153">
        <f>+F250+F279+F317+F322+F334</f>
        <v>20509040858.509998</v>
      </c>
      <c r="G249" s="153">
        <f>+G250+G279+G317+G322+G334</f>
        <v>31459850098.510002</v>
      </c>
      <c r="H249" s="153">
        <v>1217855612.0700002</v>
      </c>
      <c r="I249" s="153">
        <v>8622236698.8999996</v>
      </c>
      <c r="J249" s="153">
        <f t="shared" si="103"/>
        <v>22837613399.610001</v>
      </c>
      <c r="K249" s="153">
        <v>1339449811.5799999</v>
      </c>
      <c r="L249" s="153">
        <v>3989100764.27</v>
      </c>
      <c r="M249" s="153">
        <f t="shared" si="104"/>
        <v>4633135934.6299992</v>
      </c>
      <c r="N249" s="153">
        <v>11967831794.340002</v>
      </c>
      <c r="O249" s="153">
        <f t="shared" si="105"/>
        <v>3345595095.4400024</v>
      </c>
      <c r="P249" s="153">
        <f t="shared" si="106"/>
        <v>19492018304.169998</v>
      </c>
      <c r="Q249" s="153">
        <f t="shared" si="107"/>
        <v>3989100764.27</v>
      </c>
      <c r="V249" s="149">
        <v>17276990215.169998</v>
      </c>
      <c r="X249" s="167"/>
      <c r="Y249" s="168"/>
    </row>
    <row r="250" spans="1:25" x14ac:dyDescent="0.25">
      <c r="A250" s="151">
        <v>231</v>
      </c>
      <c r="B250" s="152" t="s">
        <v>105</v>
      </c>
      <c r="C250" s="153">
        <f>+C251+C254+C258+C274+C277</f>
        <v>4085000000</v>
      </c>
      <c r="D250" s="153">
        <f t="shared" ref="D250:G250" si="127">+D251+D254+D258+D274+D277</f>
        <v>123452900</v>
      </c>
      <c r="E250" s="153">
        <f t="shared" si="127"/>
        <v>400000000</v>
      </c>
      <c r="F250" s="153">
        <f t="shared" si="127"/>
        <v>6440302256</v>
      </c>
      <c r="G250" s="153">
        <f t="shared" si="127"/>
        <v>10248755156</v>
      </c>
      <c r="H250" s="153">
        <v>263378342</v>
      </c>
      <c r="I250" s="153">
        <v>3206677065.8899999</v>
      </c>
      <c r="J250" s="153">
        <f t="shared" si="103"/>
        <v>7042078090.1100006</v>
      </c>
      <c r="K250" s="153">
        <v>384003072</v>
      </c>
      <c r="L250" s="153">
        <v>1565037907.8899999</v>
      </c>
      <c r="M250" s="153">
        <f t="shared" si="104"/>
        <v>1641639158</v>
      </c>
      <c r="N250" s="153">
        <v>4620662597.8899994</v>
      </c>
      <c r="O250" s="153">
        <f t="shared" si="105"/>
        <v>1413985531.9999995</v>
      </c>
      <c r="P250" s="153">
        <f t="shared" si="106"/>
        <v>5628092558.1100006</v>
      </c>
      <c r="Q250" s="153">
        <f t="shared" si="107"/>
        <v>1565037907.8899999</v>
      </c>
      <c r="V250" s="149">
        <v>5628092558.1100006</v>
      </c>
      <c r="X250" s="167"/>
      <c r="Y250" s="168"/>
    </row>
    <row r="251" spans="1:25" ht="30" x14ac:dyDescent="0.25">
      <c r="A251" s="151">
        <v>2311</v>
      </c>
      <c r="B251" s="152" t="s">
        <v>106</v>
      </c>
      <c r="C251" s="153">
        <f>+C252+C253</f>
        <v>515000000</v>
      </c>
      <c r="D251" s="153">
        <f t="shared" ref="D251:G251" si="128">+D252+D253</f>
        <v>0</v>
      </c>
      <c r="E251" s="153">
        <f t="shared" si="128"/>
        <v>0</v>
      </c>
      <c r="F251" s="153">
        <f t="shared" si="128"/>
        <v>0</v>
      </c>
      <c r="G251" s="153">
        <f t="shared" si="128"/>
        <v>515000000</v>
      </c>
      <c r="H251" s="153">
        <v>12581740</v>
      </c>
      <c r="I251" s="153">
        <v>62132906</v>
      </c>
      <c r="J251" s="153">
        <f t="shared" si="103"/>
        <v>452867094</v>
      </c>
      <c r="K251" s="153">
        <v>12581740</v>
      </c>
      <c r="L251" s="153">
        <v>57187087</v>
      </c>
      <c r="M251" s="153">
        <f t="shared" si="104"/>
        <v>4945819</v>
      </c>
      <c r="N251" s="153">
        <v>122132906</v>
      </c>
      <c r="O251" s="153">
        <f t="shared" si="105"/>
        <v>60000000</v>
      </c>
      <c r="P251" s="153">
        <f t="shared" si="106"/>
        <v>392867094</v>
      </c>
      <c r="Q251" s="153">
        <f t="shared" si="107"/>
        <v>57187087</v>
      </c>
      <c r="V251" s="149">
        <v>392867094</v>
      </c>
      <c r="X251" s="167"/>
      <c r="Y251" s="168"/>
    </row>
    <row r="252" spans="1:25" s="100" customFormat="1" x14ac:dyDescent="0.25">
      <c r="A252" s="163">
        <v>23112</v>
      </c>
      <c r="B252" s="164" t="s">
        <v>618</v>
      </c>
      <c r="C252" s="165">
        <v>190000000</v>
      </c>
      <c r="D252" s="165">
        <v>0</v>
      </c>
      <c r="E252" s="165">
        <v>0</v>
      </c>
      <c r="F252" s="165">
        <v>0</v>
      </c>
      <c r="G252" s="165">
        <f t="shared" si="112"/>
        <v>190000000</v>
      </c>
      <c r="H252" s="165">
        <v>0</v>
      </c>
      <c r="I252" s="165">
        <v>0</v>
      </c>
      <c r="J252" s="165">
        <f t="shared" si="103"/>
        <v>190000000</v>
      </c>
      <c r="K252" s="165">
        <v>0</v>
      </c>
      <c r="L252" s="165">
        <v>0</v>
      </c>
      <c r="M252" s="165">
        <f t="shared" si="104"/>
        <v>0</v>
      </c>
      <c r="N252" s="165">
        <v>0</v>
      </c>
      <c r="O252" s="165">
        <f t="shared" si="105"/>
        <v>0</v>
      </c>
      <c r="P252" s="165">
        <f t="shared" si="106"/>
        <v>190000000</v>
      </c>
      <c r="Q252" s="165">
        <f t="shared" si="107"/>
        <v>0</v>
      </c>
      <c r="V252" s="149">
        <v>190000000</v>
      </c>
      <c r="X252" s="167"/>
      <c r="Y252" s="168"/>
    </row>
    <row r="253" spans="1:25" s="100" customFormat="1" x14ac:dyDescent="0.25">
      <c r="A253" s="163">
        <v>23113</v>
      </c>
      <c r="B253" s="164" t="s">
        <v>644</v>
      </c>
      <c r="C253" s="165">
        <v>325000000</v>
      </c>
      <c r="D253" s="165">
        <v>0</v>
      </c>
      <c r="E253" s="165">
        <v>0</v>
      </c>
      <c r="F253" s="165">
        <v>0</v>
      </c>
      <c r="G253" s="165">
        <f t="shared" si="112"/>
        <v>325000000</v>
      </c>
      <c r="H253" s="165">
        <v>12581740</v>
      </c>
      <c r="I253" s="165">
        <v>62132906</v>
      </c>
      <c r="J253" s="165">
        <f t="shared" si="103"/>
        <v>262867094</v>
      </c>
      <c r="K253" s="165">
        <v>12581740</v>
      </c>
      <c r="L253" s="165">
        <v>57187087</v>
      </c>
      <c r="M253" s="165">
        <f t="shared" si="104"/>
        <v>4945819</v>
      </c>
      <c r="N253" s="165">
        <v>122132906</v>
      </c>
      <c r="O253" s="165">
        <f t="shared" si="105"/>
        <v>60000000</v>
      </c>
      <c r="P253" s="165">
        <f t="shared" si="106"/>
        <v>202867094</v>
      </c>
      <c r="Q253" s="165">
        <f t="shared" si="107"/>
        <v>57187087</v>
      </c>
      <c r="V253" s="149">
        <v>202867094</v>
      </c>
      <c r="X253" s="167"/>
      <c r="Y253" s="168"/>
    </row>
    <row r="254" spans="1:25" x14ac:dyDescent="0.25">
      <c r="A254" s="151">
        <v>2312</v>
      </c>
      <c r="B254" s="152" t="s">
        <v>107</v>
      </c>
      <c r="C254" s="153">
        <f>+C255+C257</f>
        <v>1850000000</v>
      </c>
      <c r="D254" s="153">
        <f t="shared" ref="D254:G254" si="129">+D255+D257</f>
        <v>0</v>
      </c>
      <c r="E254" s="153">
        <f t="shared" si="129"/>
        <v>400000000</v>
      </c>
      <c r="F254" s="153">
        <f t="shared" si="129"/>
        <v>400000000</v>
      </c>
      <c r="G254" s="153">
        <f t="shared" si="129"/>
        <v>1850000000</v>
      </c>
      <c r="H254" s="153">
        <v>0</v>
      </c>
      <c r="I254" s="153">
        <v>366605245</v>
      </c>
      <c r="J254" s="153">
        <f t="shared" si="103"/>
        <v>1483394755</v>
      </c>
      <c r="K254" s="153">
        <v>0</v>
      </c>
      <c r="L254" s="153">
        <v>31283406</v>
      </c>
      <c r="M254" s="153">
        <f t="shared" si="104"/>
        <v>335321839</v>
      </c>
      <c r="N254" s="153">
        <v>372705245</v>
      </c>
      <c r="O254" s="153">
        <f t="shared" si="105"/>
        <v>6100000</v>
      </c>
      <c r="P254" s="153">
        <f t="shared" si="106"/>
        <v>1477294755</v>
      </c>
      <c r="Q254" s="153">
        <f t="shared" si="107"/>
        <v>31283406</v>
      </c>
      <c r="V254" s="149">
        <v>1477294755</v>
      </c>
      <c r="X254" s="167"/>
      <c r="Y254" s="168"/>
    </row>
    <row r="255" spans="1:25" x14ac:dyDescent="0.25">
      <c r="A255" s="160">
        <v>23122</v>
      </c>
      <c r="B255" s="161" t="s">
        <v>108</v>
      </c>
      <c r="C255" s="162">
        <f>+C256</f>
        <v>1400000000</v>
      </c>
      <c r="D255" s="162">
        <f t="shared" ref="D255:G255" si="130">+D256</f>
        <v>0</v>
      </c>
      <c r="E255" s="162">
        <f t="shared" si="130"/>
        <v>400000000</v>
      </c>
      <c r="F255" s="162">
        <f t="shared" si="130"/>
        <v>400000000</v>
      </c>
      <c r="G255" s="162">
        <f t="shared" si="130"/>
        <v>1400000000</v>
      </c>
      <c r="H255" s="162">
        <v>0</v>
      </c>
      <c r="I255" s="162">
        <v>365593745</v>
      </c>
      <c r="J255" s="162">
        <f t="shared" si="103"/>
        <v>1034406255</v>
      </c>
      <c r="K255" s="162">
        <v>0</v>
      </c>
      <c r="L255" s="162">
        <v>30271906</v>
      </c>
      <c r="M255" s="162">
        <f t="shared" si="104"/>
        <v>335321839</v>
      </c>
      <c r="N255" s="162">
        <v>365593745</v>
      </c>
      <c r="O255" s="162">
        <f t="shared" si="105"/>
        <v>0</v>
      </c>
      <c r="P255" s="162">
        <f t="shared" si="106"/>
        <v>1034406255</v>
      </c>
      <c r="Q255" s="162">
        <f t="shared" si="107"/>
        <v>30271906</v>
      </c>
      <c r="V255" s="149">
        <v>1034406255</v>
      </c>
      <c r="X255" s="167"/>
      <c r="Y255" s="168"/>
    </row>
    <row r="256" spans="1:25" s="100" customFormat="1" x14ac:dyDescent="0.25">
      <c r="A256" s="163">
        <v>231221</v>
      </c>
      <c r="B256" s="164" t="s">
        <v>109</v>
      </c>
      <c r="C256" s="165">
        <v>1400000000</v>
      </c>
      <c r="D256" s="165">
        <v>0</v>
      </c>
      <c r="E256" s="165">
        <v>400000000</v>
      </c>
      <c r="F256" s="165">
        <v>400000000</v>
      </c>
      <c r="G256" s="165">
        <f t="shared" si="112"/>
        <v>1400000000</v>
      </c>
      <c r="H256" s="165">
        <v>0</v>
      </c>
      <c r="I256" s="165">
        <v>365593745</v>
      </c>
      <c r="J256" s="165">
        <f t="shared" si="103"/>
        <v>1034406255</v>
      </c>
      <c r="K256" s="165">
        <v>0</v>
      </c>
      <c r="L256" s="165">
        <v>30271906</v>
      </c>
      <c r="M256" s="165">
        <f t="shared" si="104"/>
        <v>335321839</v>
      </c>
      <c r="N256" s="165">
        <v>365593745</v>
      </c>
      <c r="O256" s="165">
        <f t="shared" si="105"/>
        <v>0</v>
      </c>
      <c r="P256" s="165">
        <f t="shared" si="106"/>
        <v>1034406255</v>
      </c>
      <c r="Q256" s="165">
        <f t="shared" si="107"/>
        <v>30271906</v>
      </c>
      <c r="V256" s="149">
        <v>1034406255</v>
      </c>
      <c r="X256" s="167"/>
      <c r="Y256" s="168"/>
    </row>
    <row r="257" spans="1:25" s="100" customFormat="1" ht="30" x14ac:dyDescent="0.25">
      <c r="A257" s="163">
        <v>23123</v>
      </c>
      <c r="B257" s="164" t="s">
        <v>619</v>
      </c>
      <c r="C257" s="165">
        <v>450000000</v>
      </c>
      <c r="D257" s="165">
        <v>0</v>
      </c>
      <c r="E257" s="165">
        <v>0</v>
      </c>
      <c r="F257" s="165">
        <v>0</v>
      </c>
      <c r="G257" s="165">
        <f t="shared" si="112"/>
        <v>450000000</v>
      </c>
      <c r="H257" s="165">
        <v>0</v>
      </c>
      <c r="I257" s="165">
        <v>1011500</v>
      </c>
      <c r="J257" s="165">
        <f t="shared" si="103"/>
        <v>448988500</v>
      </c>
      <c r="K257" s="165">
        <v>0</v>
      </c>
      <c r="L257" s="165">
        <v>1011500</v>
      </c>
      <c r="M257" s="165">
        <f t="shared" si="104"/>
        <v>0</v>
      </c>
      <c r="N257" s="165">
        <v>7111500</v>
      </c>
      <c r="O257" s="165">
        <f t="shared" si="105"/>
        <v>6100000</v>
      </c>
      <c r="P257" s="165">
        <f t="shared" si="106"/>
        <v>442888500</v>
      </c>
      <c r="Q257" s="165">
        <f t="shared" si="107"/>
        <v>1011500</v>
      </c>
      <c r="V257" s="149">
        <v>442888500</v>
      </c>
      <c r="X257" s="167"/>
      <c r="Y257" s="168"/>
    </row>
    <row r="258" spans="1:25" x14ac:dyDescent="0.25">
      <c r="A258" s="151">
        <v>2315</v>
      </c>
      <c r="B258" s="152" t="s">
        <v>774</v>
      </c>
      <c r="C258" s="153">
        <f>SUM(C259:C273)</f>
        <v>650000000</v>
      </c>
      <c r="D258" s="153">
        <f t="shared" ref="D258:E258" si="131">SUM(D259:D273)</f>
        <v>0</v>
      </c>
      <c r="E258" s="153">
        <f t="shared" si="131"/>
        <v>0</v>
      </c>
      <c r="F258" s="153">
        <f>+F259</f>
        <v>6040302256</v>
      </c>
      <c r="G258" s="153">
        <f t="shared" ref="G258" si="132">+G259</f>
        <v>6690302256</v>
      </c>
      <c r="H258" s="153">
        <v>117708002</v>
      </c>
      <c r="I258" s="153">
        <v>1963596913.8899999</v>
      </c>
      <c r="J258" s="153">
        <f t="shared" si="103"/>
        <v>4726705342.1100006</v>
      </c>
      <c r="K258" s="153">
        <v>227745287</v>
      </c>
      <c r="L258" s="153">
        <v>865800693.88999999</v>
      </c>
      <c r="M258" s="153">
        <f t="shared" si="104"/>
        <v>1097796220</v>
      </c>
      <c r="N258" s="153">
        <v>3197229262.8899999</v>
      </c>
      <c r="O258" s="153">
        <f t="shared" si="105"/>
        <v>1233632349</v>
      </c>
      <c r="P258" s="153">
        <f t="shared" si="106"/>
        <v>3493072993.1100001</v>
      </c>
      <c r="Q258" s="153">
        <f t="shared" si="107"/>
        <v>865800693.88999999</v>
      </c>
      <c r="V258" s="149">
        <v>3493072993.1100001</v>
      </c>
      <c r="X258" s="167"/>
      <c r="Y258" s="168"/>
    </row>
    <row r="259" spans="1:25" ht="45" x14ac:dyDescent="0.25">
      <c r="A259" s="160">
        <v>23152</v>
      </c>
      <c r="B259" s="161" t="s">
        <v>110</v>
      </c>
      <c r="C259" s="162">
        <v>650000000</v>
      </c>
      <c r="D259" s="162">
        <v>0</v>
      </c>
      <c r="E259" s="162">
        <v>0</v>
      </c>
      <c r="F259" s="162">
        <f>SUM(F260:F273)</f>
        <v>6040302256</v>
      </c>
      <c r="G259" s="162">
        <f t="shared" si="112"/>
        <v>6690302256</v>
      </c>
      <c r="H259" s="162">
        <v>117708002</v>
      </c>
      <c r="I259" s="162">
        <v>1963596913.8899999</v>
      </c>
      <c r="J259" s="162">
        <f t="shared" si="103"/>
        <v>4726705342.1100006</v>
      </c>
      <c r="K259" s="162">
        <v>227745287</v>
      </c>
      <c r="L259" s="162">
        <v>865800693.88999999</v>
      </c>
      <c r="M259" s="162">
        <f t="shared" si="104"/>
        <v>1097796220</v>
      </c>
      <c r="N259" s="162">
        <v>3197229262.8899999</v>
      </c>
      <c r="O259" s="162">
        <f t="shared" si="105"/>
        <v>1233632349</v>
      </c>
      <c r="P259" s="162">
        <f t="shared" si="106"/>
        <v>3493072993.1100001</v>
      </c>
      <c r="Q259" s="162">
        <f t="shared" si="107"/>
        <v>865800693.88999999</v>
      </c>
      <c r="V259" s="149">
        <v>3493072993.1100001</v>
      </c>
      <c r="X259" s="167"/>
      <c r="Y259" s="168"/>
    </row>
    <row r="260" spans="1:25" x14ac:dyDescent="0.25">
      <c r="A260" s="163">
        <v>2315201</v>
      </c>
      <c r="B260" s="164" t="s">
        <v>111</v>
      </c>
      <c r="C260" s="165">
        <v>0</v>
      </c>
      <c r="D260" s="165">
        <v>0</v>
      </c>
      <c r="E260" s="165">
        <v>0</v>
      </c>
      <c r="F260" s="165">
        <v>455453475</v>
      </c>
      <c r="G260" s="165">
        <f t="shared" si="112"/>
        <v>455453475</v>
      </c>
      <c r="H260" s="165">
        <v>0</v>
      </c>
      <c r="I260" s="165">
        <v>61037631</v>
      </c>
      <c r="J260" s="165">
        <f t="shared" si="103"/>
        <v>394415844</v>
      </c>
      <c r="K260" s="165">
        <v>0</v>
      </c>
      <c r="L260" s="165">
        <v>11882000</v>
      </c>
      <c r="M260" s="165">
        <f t="shared" si="104"/>
        <v>49155631</v>
      </c>
      <c r="N260" s="165">
        <v>119254502</v>
      </c>
      <c r="O260" s="165">
        <f t="shared" si="105"/>
        <v>58216871</v>
      </c>
      <c r="P260" s="165">
        <f t="shared" si="106"/>
        <v>336198973</v>
      </c>
      <c r="Q260" s="165">
        <f t="shared" si="107"/>
        <v>11882000</v>
      </c>
      <c r="V260" s="149">
        <v>336198973</v>
      </c>
      <c r="X260" s="167"/>
      <c r="Y260" s="168"/>
    </row>
    <row r="261" spans="1:25" x14ac:dyDescent="0.25">
      <c r="A261" s="163">
        <v>2315202</v>
      </c>
      <c r="B261" s="164" t="s">
        <v>620</v>
      </c>
      <c r="C261" s="165">
        <v>0</v>
      </c>
      <c r="D261" s="165">
        <v>0</v>
      </c>
      <c r="E261" s="165">
        <v>0</v>
      </c>
      <c r="F261" s="165">
        <v>493234219</v>
      </c>
      <c r="G261" s="165">
        <f t="shared" si="112"/>
        <v>493234219</v>
      </c>
      <c r="H261" s="165">
        <v>0</v>
      </c>
      <c r="I261" s="165">
        <v>94508048</v>
      </c>
      <c r="J261" s="165">
        <f t="shared" si="103"/>
        <v>398726171</v>
      </c>
      <c r="K261" s="165">
        <v>0</v>
      </c>
      <c r="L261" s="165">
        <v>13351708</v>
      </c>
      <c r="M261" s="165">
        <f t="shared" si="104"/>
        <v>81156340</v>
      </c>
      <c r="N261" s="165">
        <v>342610708</v>
      </c>
      <c r="O261" s="165">
        <f t="shared" si="105"/>
        <v>248102660</v>
      </c>
      <c r="P261" s="165">
        <f t="shared" si="106"/>
        <v>150623511</v>
      </c>
      <c r="Q261" s="165">
        <f t="shared" si="107"/>
        <v>13351708</v>
      </c>
      <c r="V261" s="149">
        <v>150623511</v>
      </c>
      <c r="X261" s="167"/>
      <c r="Y261" s="168"/>
    </row>
    <row r="262" spans="1:25" x14ac:dyDescent="0.25">
      <c r="A262" s="163">
        <v>2315203</v>
      </c>
      <c r="B262" s="164" t="s">
        <v>112</v>
      </c>
      <c r="C262" s="165">
        <v>0</v>
      </c>
      <c r="D262" s="165">
        <v>0</v>
      </c>
      <c r="E262" s="165">
        <v>0</v>
      </c>
      <c r="F262" s="165">
        <v>550361096</v>
      </c>
      <c r="G262" s="165">
        <f t="shared" si="112"/>
        <v>550361096</v>
      </c>
      <c r="H262" s="165">
        <v>0</v>
      </c>
      <c r="I262" s="165">
        <v>396000000</v>
      </c>
      <c r="J262" s="165">
        <f t="shared" si="103"/>
        <v>154361096</v>
      </c>
      <c r="K262" s="165">
        <v>35854158</v>
      </c>
      <c r="L262" s="165">
        <v>69708316</v>
      </c>
      <c r="M262" s="165">
        <f t="shared" si="104"/>
        <v>326291684</v>
      </c>
      <c r="N262" s="165">
        <v>414151261</v>
      </c>
      <c r="O262" s="165">
        <f t="shared" si="105"/>
        <v>18151261</v>
      </c>
      <c r="P262" s="165">
        <f t="shared" si="106"/>
        <v>136209835</v>
      </c>
      <c r="Q262" s="165">
        <f t="shared" si="107"/>
        <v>69708316</v>
      </c>
      <c r="V262" s="149">
        <v>136209835</v>
      </c>
      <c r="X262" s="167"/>
      <c r="Y262" s="168"/>
    </row>
    <row r="263" spans="1:25" x14ac:dyDescent="0.25">
      <c r="A263" s="163">
        <v>2315204</v>
      </c>
      <c r="B263" s="164" t="s">
        <v>621</v>
      </c>
      <c r="C263" s="165">
        <v>0</v>
      </c>
      <c r="D263" s="165">
        <v>0</v>
      </c>
      <c r="E263" s="165">
        <v>0</v>
      </c>
      <c r="F263" s="165">
        <v>1493910033</v>
      </c>
      <c r="G263" s="165">
        <f t="shared" si="112"/>
        <v>1493910033</v>
      </c>
      <c r="H263" s="165">
        <v>46870459</v>
      </c>
      <c r="I263" s="165">
        <v>463722227.88999999</v>
      </c>
      <c r="J263" s="165">
        <f t="shared" ref="J263:J326" si="133">+G263-I263</f>
        <v>1030187805.11</v>
      </c>
      <c r="K263" s="165">
        <v>109380246</v>
      </c>
      <c r="L263" s="165">
        <v>242403581.88999999</v>
      </c>
      <c r="M263" s="165">
        <f t="shared" ref="M263:M326" si="134">+I263-L263</f>
        <v>221318646</v>
      </c>
      <c r="N263" s="165">
        <v>735449115.88999999</v>
      </c>
      <c r="O263" s="165">
        <f t="shared" ref="O263:O326" si="135">+N263-I263</f>
        <v>271726888</v>
      </c>
      <c r="P263" s="165">
        <f t="shared" ref="P263:P326" si="136">+G263-N263</f>
        <v>758460917.11000001</v>
      </c>
      <c r="Q263" s="165">
        <f t="shared" ref="Q263:Q326" si="137">+L263</f>
        <v>242403581.88999999</v>
      </c>
      <c r="V263" s="149">
        <v>758460917.11000001</v>
      </c>
      <c r="X263" s="167"/>
      <c r="Y263" s="168"/>
    </row>
    <row r="264" spans="1:25" x14ac:dyDescent="0.25">
      <c r="A264" s="163">
        <v>2315205</v>
      </c>
      <c r="B264" s="164" t="s">
        <v>622</v>
      </c>
      <c r="C264" s="165">
        <v>0</v>
      </c>
      <c r="D264" s="165">
        <v>0</v>
      </c>
      <c r="E264" s="165">
        <v>0</v>
      </c>
      <c r="F264" s="165">
        <v>283032384</v>
      </c>
      <c r="G264" s="165">
        <f t="shared" si="112"/>
        <v>283032384</v>
      </c>
      <c r="H264" s="165">
        <v>26004671</v>
      </c>
      <c r="I264" s="165">
        <v>60257594</v>
      </c>
      <c r="J264" s="165">
        <f t="shared" si="133"/>
        <v>222774790</v>
      </c>
      <c r="K264" s="165">
        <v>6705300</v>
      </c>
      <c r="L264" s="165">
        <v>17416174</v>
      </c>
      <c r="M264" s="165">
        <f t="shared" si="134"/>
        <v>42841420</v>
      </c>
      <c r="N264" s="165">
        <v>97213433</v>
      </c>
      <c r="O264" s="165">
        <f t="shared" si="135"/>
        <v>36955839</v>
      </c>
      <c r="P264" s="165">
        <f t="shared" si="136"/>
        <v>185818951</v>
      </c>
      <c r="Q264" s="165">
        <f t="shared" si="137"/>
        <v>17416174</v>
      </c>
      <c r="V264" s="149">
        <v>185818951</v>
      </c>
      <c r="X264" s="167"/>
      <c r="Y264" s="168"/>
    </row>
    <row r="265" spans="1:25" x14ac:dyDescent="0.25">
      <c r="A265" s="163">
        <v>2315206</v>
      </c>
      <c r="B265" s="164" t="s">
        <v>623</v>
      </c>
      <c r="C265" s="165">
        <v>0</v>
      </c>
      <c r="D265" s="165">
        <v>0</v>
      </c>
      <c r="E265" s="165">
        <v>0</v>
      </c>
      <c r="F265" s="165">
        <v>90482087</v>
      </c>
      <c r="G265" s="165">
        <f t="shared" si="112"/>
        <v>90482087</v>
      </c>
      <c r="H265" s="165">
        <v>540000</v>
      </c>
      <c r="I265" s="165">
        <v>540000</v>
      </c>
      <c r="J265" s="165">
        <f t="shared" si="133"/>
        <v>89942087</v>
      </c>
      <c r="K265" s="165">
        <v>0</v>
      </c>
      <c r="L265" s="165">
        <v>0</v>
      </c>
      <c r="M265" s="165">
        <f t="shared" si="134"/>
        <v>540000</v>
      </c>
      <c r="N265" s="165">
        <v>540000</v>
      </c>
      <c r="O265" s="165">
        <f t="shared" si="135"/>
        <v>0</v>
      </c>
      <c r="P265" s="165">
        <f t="shared" si="136"/>
        <v>89942087</v>
      </c>
      <c r="Q265" s="165">
        <f t="shared" si="137"/>
        <v>0</v>
      </c>
      <c r="V265" s="149">
        <v>89942087</v>
      </c>
      <c r="X265" s="167"/>
      <c r="Y265" s="168"/>
    </row>
    <row r="266" spans="1:25" ht="30" x14ac:dyDescent="0.25">
      <c r="A266" s="163">
        <v>2315207</v>
      </c>
      <c r="B266" s="164" t="s">
        <v>624</v>
      </c>
      <c r="C266" s="165">
        <v>0</v>
      </c>
      <c r="D266" s="165">
        <v>0</v>
      </c>
      <c r="E266" s="165">
        <v>0</v>
      </c>
      <c r="F266" s="165">
        <v>995546166</v>
      </c>
      <c r="G266" s="165">
        <f t="shared" si="112"/>
        <v>995546166</v>
      </c>
      <c r="H266" s="165">
        <v>14564688</v>
      </c>
      <c r="I266" s="165">
        <v>315165099</v>
      </c>
      <c r="J266" s="165">
        <f t="shared" si="133"/>
        <v>680381067</v>
      </c>
      <c r="K266" s="165">
        <v>28931557</v>
      </c>
      <c r="L266" s="165">
        <v>90337445</v>
      </c>
      <c r="M266" s="165">
        <f t="shared" si="134"/>
        <v>224827654</v>
      </c>
      <c r="N266" s="165">
        <v>536714784</v>
      </c>
      <c r="O266" s="165">
        <f t="shared" si="135"/>
        <v>221549685</v>
      </c>
      <c r="P266" s="165">
        <f t="shared" si="136"/>
        <v>458831382</v>
      </c>
      <c r="Q266" s="165">
        <f t="shared" si="137"/>
        <v>90337445</v>
      </c>
      <c r="V266" s="149">
        <v>458831382</v>
      </c>
      <c r="X266" s="167"/>
      <c r="Y266" s="168"/>
    </row>
    <row r="267" spans="1:25" x14ac:dyDescent="0.25">
      <c r="A267" s="163">
        <v>2315208</v>
      </c>
      <c r="B267" s="164" t="s">
        <v>645</v>
      </c>
      <c r="C267" s="165">
        <v>0</v>
      </c>
      <c r="D267" s="165">
        <v>0</v>
      </c>
      <c r="E267" s="165">
        <v>0</v>
      </c>
      <c r="F267" s="165">
        <v>811381400</v>
      </c>
      <c r="G267" s="165">
        <f t="shared" si="112"/>
        <v>811381400</v>
      </c>
      <c r="H267" s="165">
        <v>9613469</v>
      </c>
      <c r="I267" s="165">
        <v>51432709</v>
      </c>
      <c r="J267" s="165">
        <f t="shared" si="133"/>
        <v>759948691</v>
      </c>
      <c r="K267" s="165">
        <v>864001</v>
      </c>
      <c r="L267" s="165">
        <v>12724280</v>
      </c>
      <c r="M267" s="165">
        <f t="shared" si="134"/>
        <v>38708429</v>
      </c>
      <c r="N267" s="165">
        <v>339322077</v>
      </c>
      <c r="O267" s="165">
        <f t="shared" si="135"/>
        <v>287889368</v>
      </c>
      <c r="P267" s="165">
        <f t="shared" si="136"/>
        <v>472059323</v>
      </c>
      <c r="Q267" s="165">
        <f t="shared" si="137"/>
        <v>12724280</v>
      </c>
      <c r="V267" s="149">
        <v>472059323</v>
      </c>
      <c r="X267" s="167"/>
      <c r="Y267" s="168"/>
    </row>
    <row r="268" spans="1:25" x14ac:dyDescent="0.25">
      <c r="A268" s="163">
        <v>2315209</v>
      </c>
      <c r="B268" s="164" t="s">
        <v>646</v>
      </c>
      <c r="C268" s="165">
        <v>0</v>
      </c>
      <c r="D268" s="165">
        <v>0</v>
      </c>
      <c r="E268" s="165">
        <v>0</v>
      </c>
      <c r="F268" s="165">
        <v>56198830</v>
      </c>
      <c r="G268" s="165">
        <f t="shared" si="112"/>
        <v>56198830</v>
      </c>
      <c r="H268" s="165">
        <v>786176</v>
      </c>
      <c r="I268" s="165">
        <v>5648482</v>
      </c>
      <c r="J268" s="165">
        <f t="shared" si="133"/>
        <v>50550348</v>
      </c>
      <c r="K268" s="165">
        <v>786176</v>
      </c>
      <c r="L268" s="165">
        <v>5377581</v>
      </c>
      <c r="M268" s="165">
        <f t="shared" si="134"/>
        <v>270901</v>
      </c>
      <c r="N268" s="165">
        <v>5648482</v>
      </c>
      <c r="O268" s="165">
        <f t="shared" si="135"/>
        <v>0</v>
      </c>
      <c r="P268" s="165">
        <f t="shared" si="136"/>
        <v>50550348</v>
      </c>
      <c r="Q268" s="165">
        <f t="shared" si="137"/>
        <v>5377581</v>
      </c>
      <c r="V268" s="149">
        <v>50550348</v>
      </c>
      <c r="X268" s="167"/>
      <c r="Y268" s="168"/>
    </row>
    <row r="269" spans="1:25" x14ac:dyDescent="0.25">
      <c r="A269" s="163">
        <v>2315210</v>
      </c>
      <c r="B269" s="164" t="s">
        <v>647</v>
      </c>
      <c r="C269" s="165">
        <v>0</v>
      </c>
      <c r="D269" s="165">
        <v>0</v>
      </c>
      <c r="E269" s="165">
        <v>0</v>
      </c>
      <c r="F269" s="165">
        <v>268721099</v>
      </c>
      <c r="G269" s="165">
        <f t="shared" si="112"/>
        <v>268721099</v>
      </c>
      <c r="H269" s="165">
        <v>19328539</v>
      </c>
      <c r="I269" s="165">
        <v>117519516</v>
      </c>
      <c r="J269" s="165">
        <f t="shared" si="133"/>
        <v>151201583</v>
      </c>
      <c r="K269" s="165">
        <v>32912060</v>
      </c>
      <c r="L269" s="165">
        <v>91256437</v>
      </c>
      <c r="M269" s="165">
        <f t="shared" si="134"/>
        <v>26263079</v>
      </c>
      <c r="N269" s="165">
        <v>181102890</v>
      </c>
      <c r="O269" s="165">
        <f t="shared" si="135"/>
        <v>63583374</v>
      </c>
      <c r="P269" s="165">
        <f t="shared" si="136"/>
        <v>87618209</v>
      </c>
      <c r="Q269" s="165">
        <f t="shared" si="137"/>
        <v>91256437</v>
      </c>
      <c r="V269" s="149">
        <v>87618209</v>
      </c>
      <c r="X269" s="167"/>
      <c r="Y269" s="168"/>
    </row>
    <row r="270" spans="1:25" ht="30" x14ac:dyDescent="0.25">
      <c r="A270" s="163">
        <v>2315211</v>
      </c>
      <c r="B270" s="164" t="s">
        <v>648</v>
      </c>
      <c r="C270" s="165">
        <v>0</v>
      </c>
      <c r="D270" s="165">
        <v>0</v>
      </c>
      <c r="E270" s="165">
        <v>0</v>
      </c>
      <c r="F270" s="165">
        <v>142901583</v>
      </c>
      <c r="G270" s="165">
        <f t="shared" si="112"/>
        <v>142901583</v>
      </c>
      <c r="H270" s="165">
        <v>0</v>
      </c>
      <c r="I270" s="165">
        <v>30066025</v>
      </c>
      <c r="J270" s="165">
        <f t="shared" si="133"/>
        <v>112835558</v>
      </c>
      <c r="K270" s="165">
        <v>0</v>
      </c>
      <c r="L270" s="165">
        <v>70014</v>
      </c>
      <c r="M270" s="165">
        <f t="shared" si="134"/>
        <v>29996011</v>
      </c>
      <c r="N270" s="165">
        <v>30070014</v>
      </c>
      <c r="O270" s="165">
        <f t="shared" si="135"/>
        <v>3989</v>
      </c>
      <c r="P270" s="165">
        <f t="shared" si="136"/>
        <v>112831569</v>
      </c>
      <c r="Q270" s="165">
        <f t="shared" si="137"/>
        <v>70014</v>
      </c>
      <c r="V270" s="149">
        <v>112831569</v>
      </c>
      <c r="X270" s="167"/>
      <c r="Y270" s="168"/>
    </row>
    <row r="271" spans="1:25" x14ac:dyDescent="0.25">
      <c r="A271" s="163">
        <v>2315212</v>
      </c>
      <c r="B271" s="164" t="s">
        <v>113</v>
      </c>
      <c r="C271" s="165">
        <v>0</v>
      </c>
      <c r="D271" s="165">
        <v>0</v>
      </c>
      <c r="E271" s="165">
        <v>0</v>
      </c>
      <c r="F271" s="165">
        <v>269516545</v>
      </c>
      <c r="G271" s="165">
        <f t="shared" si="112"/>
        <v>269516545</v>
      </c>
      <c r="H271" s="165">
        <v>0</v>
      </c>
      <c r="I271" s="165">
        <v>86980836</v>
      </c>
      <c r="J271" s="165">
        <f t="shared" si="133"/>
        <v>182535709</v>
      </c>
      <c r="K271" s="165">
        <v>4811789</v>
      </c>
      <c r="L271" s="165">
        <v>53211708</v>
      </c>
      <c r="M271" s="165">
        <f t="shared" si="134"/>
        <v>33769128</v>
      </c>
      <c r="N271" s="165">
        <v>114433250</v>
      </c>
      <c r="O271" s="165">
        <f t="shared" si="135"/>
        <v>27452414</v>
      </c>
      <c r="P271" s="165">
        <f t="shared" si="136"/>
        <v>155083295</v>
      </c>
      <c r="Q271" s="165">
        <f t="shared" si="137"/>
        <v>53211708</v>
      </c>
      <c r="V271" s="149">
        <v>155083295</v>
      </c>
      <c r="X271" s="167"/>
      <c r="Y271" s="168"/>
    </row>
    <row r="272" spans="1:25" s="100" customFormat="1" x14ac:dyDescent="0.25">
      <c r="A272" s="163">
        <v>2315213</v>
      </c>
      <c r="B272" s="164" t="s">
        <v>649</v>
      </c>
      <c r="C272" s="165">
        <v>0</v>
      </c>
      <c r="D272" s="165">
        <v>0</v>
      </c>
      <c r="E272" s="165">
        <v>0</v>
      </c>
      <c r="F272" s="165">
        <v>108357039</v>
      </c>
      <c r="G272" s="165">
        <f t="shared" si="112"/>
        <v>108357039</v>
      </c>
      <c r="H272" s="165">
        <v>0</v>
      </c>
      <c r="I272" s="165">
        <v>30718746</v>
      </c>
      <c r="J272" s="165">
        <f t="shared" si="133"/>
        <v>77638293</v>
      </c>
      <c r="K272" s="165">
        <v>7500000</v>
      </c>
      <c r="L272" s="165">
        <v>8061449</v>
      </c>
      <c r="M272" s="165">
        <f t="shared" si="134"/>
        <v>22657297</v>
      </c>
      <c r="N272" s="165">
        <v>30718746</v>
      </c>
      <c r="O272" s="165">
        <f t="shared" si="135"/>
        <v>0</v>
      </c>
      <c r="P272" s="165">
        <f t="shared" si="136"/>
        <v>77638293</v>
      </c>
      <c r="Q272" s="165">
        <f t="shared" si="137"/>
        <v>8061449</v>
      </c>
      <c r="V272" s="149">
        <v>77638293</v>
      </c>
      <c r="X272" s="167"/>
      <c r="Y272" s="168"/>
    </row>
    <row r="273" spans="1:25" s="100" customFormat="1" x14ac:dyDescent="0.25">
      <c r="A273" s="163">
        <v>2315214</v>
      </c>
      <c r="B273" s="164" t="s">
        <v>114</v>
      </c>
      <c r="C273" s="165">
        <v>0</v>
      </c>
      <c r="D273" s="165">
        <v>0</v>
      </c>
      <c r="E273" s="165">
        <v>0</v>
      </c>
      <c r="F273" s="165">
        <v>21206300</v>
      </c>
      <c r="G273" s="165">
        <f t="shared" si="112"/>
        <v>21206300</v>
      </c>
      <c r="H273" s="165">
        <v>0</v>
      </c>
      <c r="I273" s="165">
        <v>0</v>
      </c>
      <c r="J273" s="165">
        <f t="shared" si="133"/>
        <v>21206300</v>
      </c>
      <c r="K273" s="165">
        <v>0</v>
      </c>
      <c r="L273" s="165">
        <v>0</v>
      </c>
      <c r="M273" s="165">
        <f t="shared" si="134"/>
        <v>0</v>
      </c>
      <c r="N273" s="165">
        <v>0</v>
      </c>
      <c r="O273" s="165">
        <f t="shared" si="135"/>
        <v>0</v>
      </c>
      <c r="P273" s="165">
        <f t="shared" si="136"/>
        <v>21206300</v>
      </c>
      <c r="Q273" s="165">
        <f t="shared" si="137"/>
        <v>0</v>
      </c>
      <c r="V273" s="149">
        <v>21206300</v>
      </c>
      <c r="X273" s="167"/>
      <c r="Y273" s="168"/>
    </row>
    <row r="274" spans="1:25" ht="45" x14ac:dyDescent="0.25">
      <c r="A274" s="151">
        <v>2316</v>
      </c>
      <c r="B274" s="152" t="s">
        <v>115</v>
      </c>
      <c r="C274" s="153">
        <f>+C275</f>
        <v>670000000</v>
      </c>
      <c r="D274" s="153">
        <f t="shared" ref="D274:G275" si="138">+D275</f>
        <v>123452900</v>
      </c>
      <c r="E274" s="153">
        <f t="shared" si="138"/>
        <v>0</v>
      </c>
      <c r="F274" s="153">
        <f t="shared" si="138"/>
        <v>0</v>
      </c>
      <c r="G274" s="153">
        <f t="shared" si="138"/>
        <v>793452900</v>
      </c>
      <c r="H274" s="153">
        <v>128088600</v>
      </c>
      <c r="I274" s="153">
        <v>748059261</v>
      </c>
      <c r="J274" s="153">
        <f t="shared" si="133"/>
        <v>45393639</v>
      </c>
      <c r="K274" s="153">
        <v>139426045</v>
      </c>
      <c r="L274" s="153">
        <v>555533981</v>
      </c>
      <c r="M274" s="153">
        <f t="shared" si="134"/>
        <v>192525280</v>
      </c>
      <c r="N274" s="153">
        <v>788044211</v>
      </c>
      <c r="O274" s="153">
        <f t="shared" si="135"/>
        <v>39984950</v>
      </c>
      <c r="P274" s="153">
        <f t="shared" si="136"/>
        <v>5408689</v>
      </c>
      <c r="Q274" s="153">
        <f t="shared" si="137"/>
        <v>555533981</v>
      </c>
      <c r="V274" s="149">
        <v>5408689</v>
      </c>
      <c r="X274" s="167"/>
      <c r="Y274" s="168"/>
    </row>
    <row r="275" spans="1:25" s="100" customFormat="1" x14ac:dyDescent="0.25">
      <c r="A275" s="160">
        <v>23161</v>
      </c>
      <c r="B275" s="161" t="s">
        <v>116</v>
      </c>
      <c r="C275" s="162">
        <f>+C276</f>
        <v>670000000</v>
      </c>
      <c r="D275" s="162">
        <f t="shared" si="138"/>
        <v>123452900</v>
      </c>
      <c r="E275" s="162">
        <f t="shared" si="138"/>
        <v>0</v>
      </c>
      <c r="F275" s="162">
        <f t="shared" si="138"/>
        <v>0</v>
      </c>
      <c r="G275" s="162">
        <f t="shared" si="138"/>
        <v>793452900</v>
      </c>
      <c r="H275" s="162">
        <v>128088600</v>
      </c>
      <c r="I275" s="162">
        <v>748059261</v>
      </c>
      <c r="J275" s="162">
        <f t="shared" si="133"/>
        <v>45393639</v>
      </c>
      <c r="K275" s="162">
        <v>139426045</v>
      </c>
      <c r="L275" s="162">
        <v>555533981</v>
      </c>
      <c r="M275" s="162">
        <f t="shared" si="134"/>
        <v>192525280</v>
      </c>
      <c r="N275" s="162">
        <v>788044211</v>
      </c>
      <c r="O275" s="162">
        <f t="shared" si="135"/>
        <v>39984950</v>
      </c>
      <c r="P275" s="162">
        <f t="shared" si="136"/>
        <v>5408689</v>
      </c>
      <c r="Q275" s="162">
        <f t="shared" si="137"/>
        <v>555533981</v>
      </c>
      <c r="V275" s="149">
        <v>5408689</v>
      </c>
      <c r="X275" s="167"/>
      <c r="Y275" s="168"/>
    </row>
    <row r="276" spans="1:25" ht="30" x14ac:dyDescent="0.25">
      <c r="A276" s="163">
        <v>231614</v>
      </c>
      <c r="B276" s="164" t="s">
        <v>117</v>
      </c>
      <c r="C276" s="165">
        <v>670000000</v>
      </c>
      <c r="D276" s="165">
        <v>123452900</v>
      </c>
      <c r="E276" s="165">
        <v>0</v>
      </c>
      <c r="F276" s="165">
        <v>0</v>
      </c>
      <c r="G276" s="165">
        <f t="shared" ref="G276:G344" si="139">+C276+D276-E276+F276</f>
        <v>793452900</v>
      </c>
      <c r="H276" s="165">
        <v>128088600</v>
      </c>
      <c r="I276" s="165">
        <v>748059261</v>
      </c>
      <c r="J276" s="165">
        <f t="shared" si="133"/>
        <v>45393639</v>
      </c>
      <c r="K276" s="165">
        <v>139426045</v>
      </c>
      <c r="L276" s="165">
        <v>555533981</v>
      </c>
      <c r="M276" s="165">
        <f t="shared" si="134"/>
        <v>192525280</v>
      </c>
      <c r="N276" s="165">
        <v>788044211</v>
      </c>
      <c r="O276" s="165">
        <f t="shared" si="135"/>
        <v>39984950</v>
      </c>
      <c r="P276" s="165">
        <f t="shared" si="136"/>
        <v>5408689</v>
      </c>
      <c r="Q276" s="165">
        <f t="shared" si="137"/>
        <v>555533981</v>
      </c>
      <c r="V276" s="149">
        <v>5408689</v>
      </c>
      <c r="X276" s="167"/>
      <c r="Y276" s="168"/>
    </row>
    <row r="277" spans="1:25" s="100" customFormat="1" x14ac:dyDescent="0.25">
      <c r="A277" s="151">
        <v>2319</v>
      </c>
      <c r="B277" s="152" t="s">
        <v>118</v>
      </c>
      <c r="C277" s="153">
        <f>+C278</f>
        <v>400000000</v>
      </c>
      <c r="D277" s="153">
        <f t="shared" ref="D277:G277" si="140">+D278</f>
        <v>0</v>
      </c>
      <c r="E277" s="153">
        <f t="shared" si="140"/>
        <v>0</v>
      </c>
      <c r="F277" s="153">
        <f t="shared" si="140"/>
        <v>0</v>
      </c>
      <c r="G277" s="153">
        <f t="shared" si="140"/>
        <v>400000000</v>
      </c>
      <c r="H277" s="153">
        <v>5000000</v>
      </c>
      <c r="I277" s="153">
        <v>66282740</v>
      </c>
      <c r="J277" s="153">
        <f t="shared" si="133"/>
        <v>333717260</v>
      </c>
      <c r="K277" s="153">
        <v>4250000</v>
      </c>
      <c r="L277" s="153">
        <v>55232740</v>
      </c>
      <c r="M277" s="153">
        <f t="shared" si="134"/>
        <v>11050000</v>
      </c>
      <c r="N277" s="153">
        <v>140550973</v>
      </c>
      <c r="O277" s="153">
        <f t="shared" si="135"/>
        <v>74268233</v>
      </c>
      <c r="P277" s="153">
        <f t="shared" si="136"/>
        <v>259449027</v>
      </c>
      <c r="Q277" s="153">
        <f t="shared" si="137"/>
        <v>55232740</v>
      </c>
      <c r="V277" s="149">
        <v>259449027</v>
      </c>
      <c r="X277" s="167"/>
      <c r="Y277" s="168"/>
    </row>
    <row r="278" spans="1:25" s="100" customFormat="1" x14ac:dyDescent="0.25">
      <c r="A278" s="163">
        <v>23191</v>
      </c>
      <c r="B278" s="164" t="s">
        <v>625</v>
      </c>
      <c r="C278" s="165">
        <v>400000000</v>
      </c>
      <c r="D278" s="165">
        <v>0</v>
      </c>
      <c r="E278" s="165">
        <v>0</v>
      </c>
      <c r="F278" s="165">
        <v>0</v>
      </c>
      <c r="G278" s="165">
        <f t="shared" si="139"/>
        <v>400000000</v>
      </c>
      <c r="H278" s="165">
        <v>5000000</v>
      </c>
      <c r="I278" s="165">
        <v>66282740</v>
      </c>
      <c r="J278" s="165">
        <f t="shared" si="133"/>
        <v>333717260</v>
      </c>
      <c r="K278" s="165">
        <v>4250000</v>
      </c>
      <c r="L278" s="165">
        <v>55232740</v>
      </c>
      <c r="M278" s="165">
        <f t="shared" si="134"/>
        <v>11050000</v>
      </c>
      <c r="N278" s="165">
        <v>140550973</v>
      </c>
      <c r="O278" s="165">
        <f t="shared" si="135"/>
        <v>74268233</v>
      </c>
      <c r="P278" s="165">
        <f t="shared" si="136"/>
        <v>259449027</v>
      </c>
      <c r="Q278" s="165">
        <f t="shared" si="137"/>
        <v>55232740</v>
      </c>
      <c r="V278" s="149">
        <v>259449027</v>
      </c>
      <c r="X278" s="167"/>
      <c r="Y278" s="168"/>
    </row>
    <row r="279" spans="1:25" s="100" customFormat="1" x14ac:dyDescent="0.25">
      <c r="A279" s="151">
        <v>232</v>
      </c>
      <c r="B279" s="152" t="s">
        <v>119</v>
      </c>
      <c r="C279" s="153">
        <f>+C280+C312+C315</f>
        <v>4651804202</v>
      </c>
      <c r="D279" s="153">
        <f t="shared" ref="D279:G279" si="141">+D280+D312+D315</f>
        <v>1000000000</v>
      </c>
      <c r="E279" s="153">
        <f t="shared" si="141"/>
        <v>723452900</v>
      </c>
      <c r="F279" s="153">
        <f t="shared" si="141"/>
        <v>754000000</v>
      </c>
      <c r="G279" s="153">
        <f t="shared" si="141"/>
        <v>5682351302</v>
      </c>
      <c r="H279" s="153">
        <v>255784355.86000001</v>
      </c>
      <c r="I279" s="153">
        <v>2413146751.8599997</v>
      </c>
      <c r="J279" s="153">
        <f t="shared" si="133"/>
        <v>3269204550.1400003</v>
      </c>
      <c r="K279" s="153">
        <v>219226596</v>
      </c>
      <c r="L279" s="153">
        <v>1080195066</v>
      </c>
      <c r="M279" s="153">
        <f t="shared" si="134"/>
        <v>1332951685.8599997</v>
      </c>
      <c r="N279" s="153">
        <v>3109368280.8099999</v>
      </c>
      <c r="O279" s="153">
        <f t="shared" si="135"/>
        <v>696221528.95000029</v>
      </c>
      <c r="P279" s="153">
        <f t="shared" si="136"/>
        <v>2572983021.1900001</v>
      </c>
      <c r="Q279" s="153">
        <f t="shared" si="137"/>
        <v>1080195066</v>
      </c>
      <c r="V279" s="149">
        <v>2572983021.1900001</v>
      </c>
      <c r="X279" s="167"/>
      <c r="Y279" s="168"/>
    </row>
    <row r="280" spans="1:25" x14ac:dyDescent="0.25">
      <c r="A280" s="151">
        <v>2321</v>
      </c>
      <c r="B280" s="152" t="s">
        <v>120</v>
      </c>
      <c r="C280" s="153">
        <f>+C281+C294+C298+C303+C308</f>
        <v>4431804202</v>
      </c>
      <c r="D280" s="153">
        <f t="shared" ref="D280:G280" si="142">+D281+D294+D298+D303+D308</f>
        <v>1000000000</v>
      </c>
      <c r="E280" s="153">
        <f t="shared" si="142"/>
        <v>723452900</v>
      </c>
      <c r="F280" s="153">
        <f t="shared" si="142"/>
        <v>754000000</v>
      </c>
      <c r="G280" s="153">
        <f t="shared" si="142"/>
        <v>5462351302</v>
      </c>
      <c r="H280" s="153">
        <v>255349365.86000001</v>
      </c>
      <c r="I280" s="153">
        <v>2409608840.8599997</v>
      </c>
      <c r="J280" s="153">
        <f t="shared" si="133"/>
        <v>3052742461.1400003</v>
      </c>
      <c r="K280" s="153">
        <v>219226596</v>
      </c>
      <c r="L280" s="153">
        <v>1079861933</v>
      </c>
      <c r="M280" s="153">
        <f t="shared" si="134"/>
        <v>1329746907.8599997</v>
      </c>
      <c r="N280" s="153">
        <v>3079538011.8099999</v>
      </c>
      <c r="O280" s="153">
        <f t="shared" si="135"/>
        <v>669929170.95000029</v>
      </c>
      <c r="P280" s="153">
        <f t="shared" si="136"/>
        <v>2382813290.1900001</v>
      </c>
      <c r="Q280" s="153">
        <f t="shared" si="137"/>
        <v>1079861933</v>
      </c>
      <c r="V280" s="149">
        <v>2382813290.1900001</v>
      </c>
      <c r="X280" s="167"/>
      <c r="Y280" s="168"/>
    </row>
    <row r="281" spans="1:25" x14ac:dyDescent="0.25">
      <c r="A281" s="160">
        <v>23211</v>
      </c>
      <c r="B281" s="161" t="s">
        <v>121</v>
      </c>
      <c r="C281" s="162">
        <f>SUM(C282:C293)</f>
        <v>3603810000</v>
      </c>
      <c r="D281" s="162">
        <f t="shared" ref="D281:G281" si="143">SUM(D282:D293)</f>
        <v>0</v>
      </c>
      <c r="E281" s="162">
        <f t="shared" si="143"/>
        <v>579824440</v>
      </c>
      <c r="F281" s="162">
        <f t="shared" si="143"/>
        <v>581000000</v>
      </c>
      <c r="G281" s="162">
        <f t="shared" si="143"/>
        <v>3604985560</v>
      </c>
      <c r="H281" s="162">
        <v>43798463.809999995</v>
      </c>
      <c r="I281" s="162">
        <v>1210917812.8099999</v>
      </c>
      <c r="J281" s="162">
        <f t="shared" si="133"/>
        <v>2394067747.1900001</v>
      </c>
      <c r="K281" s="162">
        <v>199129176</v>
      </c>
      <c r="L281" s="162">
        <v>528888158</v>
      </c>
      <c r="M281" s="162">
        <f t="shared" si="134"/>
        <v>682029654.80999994</v>
      </c>
      <c r="N281" s="162">
        <v>1670014632.8099999</v>
      </c>
      <c r="O281" s="162">
        <f t="shared" si="135"/>
        <v>459096820</v>
      </c>
      <c r="P281" s="162">
        <f t="shared" si="136"/>
        <v>1934970927.1900001</v>
      </c>
      <c r="Q281" s="162">
        <f t="shared" si="137"/>
        <v>528888158</v>
      </c>
      <c r="V281" s="149">
        <v>1934970927.1900001</v>
      </c>
      <c r="X281" s="167"/>
      <c r="Y281" s="168"/>
    </row>
    <row r="282" spans="1:25" x14ac:dyDescent="0.25">
      <c r="A282" s="163">
        <v>2321101</v>
      </c>
      <c r="B282" s="164" t="s">
        <v>122</v>
      </c>
      <c r="C282" s="165">
        <v>90000000</v>
      </c>
      <c r="D282" s="165">
        <v>0</v>
      </c>
      <c r="E282" s="165">
        <v>0</v>
      </c>
      <c r="F282" s="165">
        <v>0</v>
      </c>
      <c r="G282" s="165">
        <f t="shared" si="139"/>
        <v>90000000</v>
      </c>
      <c r="H282" s="165">
        <v>0</v>
      </c>
      <c r="I282" s="165">
        <v>61858770</v>
      </c>
      <c r="J282" s="165">
        <f t="shared" si="133"/>
        <v>28141230</v>
      </c>
      <c r="K282" s="165">
        <v>0</v>
      </c>
      <c r="L282" s="165">
        <v>61858770</v>
      </c>
      <c r="M282" s="165">
        <f t="shared" si="134"/>
        <v>0</v>
      </c>
      <c r="N282" s="165">
        <v>62059178</v>
      </c>
      <c r="O282" s="165">
        <f t="shared" si="135"/>
        <v>200408</v>
      </c>
      <c r="P282" s="165">
        <f t="shared" si="136"/>
        <v>27940822</v>
      </c>
      <c r="Q282" s="165">
        <f t="shared" si="137"/>
        <v>61858770</v>
      </c>
      <c r="V282" s="149">
        <v>27940822</v>
      </c>
      <c r="X282" s="167"/>
      <c r="Y282" s="168"/>
    </row>
    <row r="283" spans="1:25" x14ac:dyDescent="0.25">
      <c r="A283" s="163">
        <v>2321102</v>
      </c>
      <c r="B283" s="164" t="s">
        <v>123</v>
      </c>
      <c r="C283" s="165">
        <v>190000000</v>
      </c>
      <c r="D283" s="165">
        <v>0</v>
      </c>
      <c r="E283" s="165">
        <v>0</v>
      </c>
      <c r="F283" s="165">
        <v>50000000</v>
      </c>
      <c r="G283" s="165">
        <f t="shared" si="139"/>
        <v>240000000</v>
      </c>
      <c r="H283" s="165">
        <v>0</v>
      </c>
      <c r="I283" s="165">
        <v>180880000</v>
      </c>
      <c r="J283" s="165">
        <f t="shared" si="133"/>
        <v>59120000</v>
      </c>
      <c r="K283" s="165">
        <v>69274000</v>
      </c>
      <c r="L283" s="165">
        <v>136876000</v>
      </c>
      <c r="M283" s="165">
        <f t="shared" si="134"/>
        <v>44004000</v>
      </c>
      <c r="N283" s="165">
        <v>203756000</v>
      </c>
      <c r="O283" s="165">
        <f t="shared" si="135"/>
        <v>22876000</v>
      </c>
      <c r="P283" s="165">
        <f t="shared" si="136"/>
        <v>36244000</v>
      </c>
      <c r="Q283" s="165">
        <f t="shared" si="137"/>
        <v>136876000</v>
      </c>
      <c r="V283" s="149">
        <v>36244000</v>
      </c>
      <c r="X283" s="167"/>
      <c r="Y283" s="168"/>
    </row>
    <row r="284" spans="1:25" x14ac:dyDescent="0.25">
      <c r="A284" s="163">
        <v>2321103</v>
      </c>
      <c r="B284" s="164" t="s">
        <v>124</v>
      </c>
      <c r="C284" s="165">
        <v>1780000000</v>
      </c>
      <c r="D284" s="165">
        <v>0</v>
      </c>
      <c r="E284" s="165">
        <v>300000000</v>
      </c>
      <c r="F284" s="165">
        <v>120000000</v>
      </c>
      <c r="G284" s="165">
        <f t="shared" si="139"/>
        <v>1600000000</v>
      </c>
      <c r="H284" s="165">
        <v>9310855</v>
      </c>
      <c r="I284" s="165">
        <v>442580519</v>
      </c>
      <c r="J284" s="165">
        <f t="shared" si="133"/>
        <v>1157419481</v>
      </c>
      <c r="K284" s="165">
        <v>62822050</v>
      </c>
      <c r="L284" s="165">
        <v>201733253</v>
      </c>
      <c r="M284" s="165">
        <f t="shared" si="134"/>
        <v>240847266</v>
      </c>
      <c r="N284" s="165">
        <v>488270659</v>
      </c>
      <c r="O284" s="165">
        <f t="shared" si="135"/>
        <v>45690140</v>
      </c>
      <c r="P284" s="165">
        <f t="shared" si="136"/>
        <v>1111729341</v>
      </c>
      <c r="Q284" s="165">
        <f t="shared" si="137"/>
        <v>201733253</v>
      </c>
      <c r="V284" s="149">
        <v>1111729341</v>
      </c>
      <c r="X284" s="167"/>
      <c r="Y284" s="168"/>
    </row>
    <row r="285" spans="1:25" x14ac:dyDescent="0.25">
      <c r="A285" s="163">
        <v>2321104</v>
      </c>
      <c r="B285" s="164" t="s">
        <v>125</v>
      </c>
      <c r="C285" s="165">
        <v>30000000</v>
      </c>
      <c r="D285" s="165">
        <v>0</v>
      </c>
      <c r="E285" s="165">
        <v>0</v>
      </c>
      <c r="F285" s="165">
        <v>45000000</v>
      </c>
      <c r="G285" s="165">
        <f t="shared" si="139"/>
        <v>75000000</v>
      </c>
      <c r="H285" s="165">
        <v>424409</v>
      </c>
      <c r="I285" s="165">
        <v>13099442</v>
      </c>
      <c r="J285" s="165">
        <f t="shared" si="133"/>
        <v>61900558</v>
      </c>
      <c r="K285" s="165">
        <v>0</v>
      </c>
      <c r="L285" s="165">
        <v>12675001</v>
      </c>
      <c r="M285" s="165">
        <f t="shared" si="134"/>
        <v>424441</v>
      </c>
      <c r="N285" s="165">
        <v>13099442</v>
      </c>
      <c r="O285" s="165">
        <f t="shared" si="135"/>
        <v>0</v>
      </c>
      <c r="P285" s="165">
        <f t="shared" si="136"/>
        <v>61900558</v>
      </c>
      <c r="Q285" s="165">
        <f t="shared" si="137"/>
        <v>12675001</v>
      </c>
      <c r="V285" s="149">
        <v>61900558</v>
      </c>
      <c r="X285" s="167"/>
      <c r="Y285" s="168"/>
    </row>
    <row r="286" spans="1:25" x14ac:dyDescent="0.25">
      <c r="A286" s="163">
        <v>2321105</v>
      </c>
      <c r="B286" s="164" t="s">
        <v>126</v>
      </c>
      <c r="C286" s="165">
        <v>128000000</v>
      </c>
      <c r="D286" s="165">
        <v>0</v>
      </c>
      <c r="E286" s="165">
        <v>0</v>
      </c>
      <c r="F286" s="165">
        <v>0</v>
      </c>
      <c r="G286" s="165">
        <f t="shared" si="139"/>
        <v>128000000</v>
      </c>
      <c r="H286" s="165">
        <v>0</v>
      </c>
      <c r="I286" s="165">
        <v>0</v>
      </c>
      <c r="J286" s="165">
        <f t="shared" si="133"/>
        <v>128000000</v>
      </c>
      <c r="K286" s="165">
        <v>0</v>
      </c>
      <c r="L286" s="165">
        <v>0</v>
      </c>
      <c r="M286" s="165">
        <f t="shared" si="134"/>
        <v>0</v>
      </c>
      <c r="N286" s="165">
        <v>0</v>
      </c>
      <c r="O286" s="165">
        <f t="shared" si="135"/>
        <v>0</v>
      </c>
      <c r="P286" s="165">
        <f t="shared" si="136"/>
        <v>128000000</v>
      </c>
      <c r="Q286" s="165">
        <f t="shared" si="137"/>
        <v>0</v>
      </c>
      <c r="V286" s="149">
        <v>128000000</v>
      </c>
      <c r="X286" s="167"/>
      <c r="Y286" s="168"/>
    </row>
    <row r="287" spans="1:25" ht="30" x14ac:dyDescent="0.25">
      <c r="A287" s="163">
        <v>2321106</v>
      </c>
      <c r="B287" s="164" t="s">
        <v>127</v>
      </c>
      <c r="C287" s="165">
        <v>90000000</v>
      </c>
      <c r="D287" s="165">
        <v>0</v>
      </c>
      <c r="E287" s="165">
        <v>54824440</v>
      </c>
      <c r="F287" s="165">
        <v>20000000</v>
      </c>
      <c r="G287" s="165">
        <f t="shared" si="139"/>
        <v>55175560</v>
      </c>
      <c r="H287" s="165">
        <v>0</v>
      </c>
      <c r="I287" s="165">
        <v>351120</v>
      </c>
      <c r="J287" s="165">
        <f t="shared" si="133"/>
        <v>54824440</v>
      </c>
      <c r="K287" s="165">
        <v>0</v>
      </c>
      <c r="L287" s="165">
        <v>351120</v>
      </c>
      <c r="M287" s="165">
        <f t="shared" si="134"/>
        <v>0</v>
      </c>
      <c r="N287" s="165">
        <v>351120</v>
      </c>
      <c r="O287" s="165">
        <f t="shared" si="135"/>
        <v>0</v>
      </c>
      <c r="P287" s="165">
        <f t="shared" si="136"/>
        <v>54824440</v>
      </c>
      <c r="Q287" s="165">
        <f t="shared" si="137"/>
        <v>351120</v>
      </c>
      <c r="V287" s="149">
        <v>54824440</v>
      </c>
      <c r="X287" s="167"/>
      <c r="Y287" s="168"/>
    </row>
    <row r="288" spans="1:25" x14ac:dyDescent="0.25">
      <c r="A288" s="163">
        <v>2321107</v>
      </c>
      <c r="B288" s="164" t="s">
        <v>128</v>
      </c>
      <c r="C288" s="165">
        <v>320000000</v>
      </c>
      <c r="D288" s="165">
        <v>0</v>
      </c>
      <c r="E288" s="165">
        <v>0</v>
      </c>
      <c r="F288" s="165">
        <v>150000000</v>
      </c>
      <c r="G288" s="165">
        <f t="shared" si="139"/>
        <v>470000000</v>
      </c>
      <c r="H288" s="165">
        <v>0</v>
      </c>
      <c r="I288" s="165">
        <v>286887795</v>
      </c>
      <c r="J288" s="165">
        <f t="shared" si="133"/>
        <v>183112205</v>
      </c>
      <c r="K288" s="165">
        <v>0</v>
      </c>
      <c r="L288" s="165">
        <v>0</v>
      </c>
      <c r="M288" s="165">
        <f t="shared" si="134"/>
        <v>286887795</v>
      </c>
      <c r="N288" s="165">
        <v>286887795</v>
      </c>
      <c r="O288" s="165">
        <f t="shared" si="135"/>
        <v>0</v>
      </c>
      <c r="P288" s="165">
        <f t="shared" si="136"/>
        <v>183112205</v>
      </c>
      <c r="Q288" s="165">
        <f t="shared" si="137"/>
        <v>0</v>
      </c>
      <c r="V288" s="149">
        <v>183112205</v>
      </c>
      <c r="X288" s="167"/>
      <c r="Y288" s="168"/>
    </row>
    <row r="289" spans="1:25" x14ac:dyDescent="0.25">
      <c r="A289" s="163">
        <v>2321108</v>
      </c>
      <c r="B289" s="164" t="s">
        <v>129</v>
      </c>
      <c r="C289" s="165">
        <v>16588404</v>
      </c>
      <c r="D289" s="165">
        <v>0</v>
      </c>
      <c r="E289" s="165">
        <v>0</v>
      </c>
      <c r="F289" s="165">
        <v>0</v>
      </c>
      <c r="G289" s="165">
        <f t="shared" si="139"/>
        <v>16588404</v>
      </c>
      <c r="H289" s="165">
        <v>0</v>
      </c>
      <c r="I289" s="165">
        <v>0</v>
      </c>
      <c r="J289" s="165">
        <f t="shared" si="133"/>
        <v>16588404</v>
      </c>
      <c r="K289" s="165">
        <v>0</v>
      </c>
      <c r="L289" s="165">
        <v>0</v>
      </c>
      <c r="M289" s="165">
        <f t="shared" si="134"/>
        <v>0</v>
      </c>
      <c r="N289" s="165">
        <v>0</v>
      </c>
      <c r="O289" s="165">
        <f t="shared" si="135"/>
        <v>0</v>
      </c>
      <c r="P289" s="165">
        <f t="shared" si="136"/>
        <v>16588404</v>
      </c>
      <c r="Q289" s="165">
        <f t="shared" si="137"/>
        <v>0</v>
      </c>
      <c r="V289" s="149">
        <v>16588404</v>
      </c>
      <c r="X289" s="167"/>
      <c r="Y289" s="168"/>
    </row>
    <row r="290" spans="1:25" ht="30" x14ac:dyDescent="0.25">
      <c r="A290" s="163">
        <v>2321109</v>
      </c>
      <c r="B290" s="164" t="s">
        <v>130</v>
      </c>
      <c r="C290" s="165">
        <v>29005798</v>
      </c>
      <c r="D290" s="165">
        <v>0</v>
      </c>
      <c r="E290" s="165">
        <v>0</v>
      </c>
      <c r="F290" s="165">
        <v>0</v>
      </c>
      <c r="G290" s="165">
        <f t="shared" si="139"/>
        <v>29005798</v>
      </c>
      <c r="H290" s="165">
        <v>0</v>
      </c>
      <c r="I290" s="165">
        <v>0</v>
      </c>
      <c r="J290" s="165">
        <f t="shared" si="133"/>
        <v>29005798</v>
      </c>
      <c r="K290" s="165">
        <v>0</v>
      </c>
      <c r="L290" s="165">
        <v>0</v>
      </c>
      <c r="M290" s="165">
        <f t="shared" si="134"/>
        <v>0</v>
      </c>
      <c r="N290" s="165">
        <v>0</v>
      </c>
      <c r="O290" s="165">
        <f t="shared" si="135"/>
        <v>0</v>
      </c>
      <c r="P290" s="165">
        <f t="shared" si="136"/>
        <v>29005798</v>
      </c>
      <c r="Q290" s="165">
        <f t="shared" si="137"/>
        <v>0</v>
      </c>
      <c r="V290" s="149">
        <v>29005798</v>
      </c>
      <c r="X290" s="167"/>
      <c r="Y290" s="168"/>
    </row>
    <row r="291" spans="1:25" x14ac:dyDescent="0.25">
      <c r="A291" s="163">
        <v>2321110</v>
      </c>
      <c r="B291" s="164" t="s">
        <v>131</v>
      </c>
      <c r="C291" s="165">
        <v>25000000</v>
      </c>
      <c r="D291" s="165">
        <v>0</v>
      </c>
      <c r="E291" s="165">
        <v>25000000</v>
      </c>
      <c r="F291" s="165">
        <v>0</v>
      </c>
      <c r="G291" s="165">
        <f t="shared" si="139"/>
        <v>0</v>
      </c>
      <c r="H291" s="165">
        <v>0</v>
      </c>
      <c r="I291" s="165">
        <v>0</v>
      </c>
      <c r="J291" s="165">
        <f t="shared" si="133"/>
        <v>0</v>
      </c>
      <c r="K291" s="165">
        <v>0</v>
      </c>
      <c r="L291" s="165">
        <v>0</v>
      </c>
      <c r="M291" s="165">
        <f t="shared" si="134"/>
        <v>0</v>
      </c>
      <c r="N291" s="165">
        <v>0</v>
      </c>
      <c r="O291" s="165">
        <f t="shared" si="135"/>
        <v>0</v>
      </c>
      <c r="P291" s="165">
        <f t="shared" si="136"/>
        <v>0</v>
      </c>
      <c r="Q291" s="165">
        <f t="shared" si="137"/>
        <v>0</v>
      </c>
      <c r="V291" s="149">
        <v>0</v>
      </c>
      <c r="X291" s="167"/>
      <c r="Y291" s="168"/>
    </row>
    <row r="292" spans="1:25" s="100" customFormat="1" x14ac:dyDescent="0.25">
      <c r="A292" s="163">
        <v>2321112</v>
      </c>
      <c r="B292" s="164" t="s">
        <v>132</v>
      </c>
      <c r="C292" s="165">
        <v>650000000</v>
      </c>
      <c r="D292" s="165">
        <v>0</v>
      </c>
      <c r="E292" s="165">
        <v>200000000</v>
      </c>
      <c r="F292" s="165">
        <v>181000000</v>
      </c>
      <c r="G292" s="165">
        <f t="shared" si="139"/>
        <v>631000000</v>
      </c>
      <c r="H292" s="165">
        <v>32873699.940000001</v>
      </c>
      <c r="I292" s="165">
        <v>121349053.94</v>
      </c>
      <c r="J292" s="165">
        <f t="shared" si="133"/>
        <v>509650946.06</v>
      </c>
      <c r="K292" s="165">
        <v>28354555</v>
      </c>
      <c r="L292" s="165">
        <v>45578080</v>
      </c>
      <c r="M292" s="165">
        <f t="shared" si="134"/>
        <v>75770973.939999998</v>
      </c>
      <c r="N292" s="165">
        <v>505506024.94000006</v>
      </c>
      <c r="O292" s="165">
        <f t="shared" si="135"/>
        <v>384156971.00000006</v>
      </c>
      <c r="P292" s="165">
        <f t="shared" si="136"/>
        <v>125493975.05999994</v>
      </c>
      <c r="Q292" s="165">
        <f t="shared" si="137"/>
        <v>45578080</v>
      </c>
      <c r="V292" s="149">
        <v>125493975.05999994</v>
      </c>
      <c r="X292" s="167"/>
      <c r="Y292" s="168"/>
    </row>
    <row r="293" spans="1:25" x14ac:dyDescent="0.25">
      <c r="A293" s="163">
        <v>2321113</v>
      </c>
      <c r="B293" s="164" t="s">
        <v>133</v>
      </c>
      <c r="C293" s="165">
        <v>255215798</v>
      </c>
      <c r="D293" s="165">
        <v>0</v>
      </c>
      <c r="E293" s="165">
        <v>0</v>
      </c>
      <c r="F293" s="165">
        <v>15000000</v>
      </c>
      <c r="G293" s="165">
        <f t="shared" si="139"/>
        <v>270215798</v>
      </c>
      <c r="H293" s="165">
        <v>1189499.8700000001</v>
      </c>
      <c r="I293" s="165">
        <v>103911112.87</v>
      </c>
      <c r="J293" s="165">
        <f t="shared" si="133"/>
        <v>166304685.13</v>
      </c>
      <c r="K293" s="165">
        <v>38678571</v>
      </c>
      <c r="L293" s="165">
        <v>69815934</v>
      </c>
      <c r="M293" s="165">
        <f t="shared" si="134"/>
        <v>34095178.870000005</v>
      </c>
      <c r="N293" s="165">
        <v>110084413.87</v>
      </c>
      <c r="O293" s="165">
        <f t="shared" si="135"/>
        <v>6173301</v>
      </c>
      <c r="P293" s="165">
        <f t="shared" si="136"/>
        <v>160131384.13</v>
      </c>
      <c r="Q293" s="165">
        <f t="shared" si="137"/>
        <v>69815934</v>
      </c>
      <c r="V293" s="149">
        <v>160131384.13</v>
      </c>
      <c r="X293" s="167"/>
      <c r="Y293" s="168"/>
    </row>
    <row r="294" spans="1:25" x14ac:dyDescent="0.25">
      <c r="A294" s="160">
        <v>23212</v>
      </c>
      <c r="B294" s="161" t="s">
        <v>134</v>
      </c>
      <c r="C294" s="162">
        <f>SUM(C295:C297)</f>
        <v>495000000</v>
      </c>
      <c r="D294" s="162">
        <f t="shared" ref="D294:G294" si="144">SUM(D295:D297)</f>
        <v>0</v>
      </c>
      <c r="E294" s="162">
        <f t="shared" si="144"/>
        <v>143628460</v>
      </c>
      <c r="F294" s="162">
        <f t="shared" si="144"/>
        <v>93000000</v>
      </c>
      <c r="G294" s="162">
        <f t="shared" si="144"/>
        <v>444371540</v>
      </c>
      <c r="H294" s="162">
        <v>9378510</v>
      </c>
      <c r="I294" s="162">
        <v>333510170</v>
      </c>
      <c r="J294" s="162">
        <f t="shared" si="133"/>
        <v>110861370</v>
      </c>
      <c r="K294" s="162">
        <v>14747100</v>
      </c>
      <c r="L294" s="162">
        <v>181128681</v>
      </c>
      <c r="M294" s="162">
        <f t="shared" si="134"/>
        <v>152381489</v>
      </c>
      <c r="N294" s="162">
        <v>394037060</v>
      </c>
      <c r="O294" s="162">
        <f t="shared" si="135"/>
        <v>60526890</v>
      </c>
      <c r="P294" s="162">
        <f t="shared" si="136"/>
        <v>50334480</v>
      </c>
      <c r="Q294" s="162">
        <f t="shared" si="137"/>
        <v>181128681</v>
      </c>
      <c r="V294" s="149">
        <v>50334480</v>
      </c>
      <c r="X294" s="167"/>
      <c r="Y294" s="168"/>
    </row>
    <row r="295" spans="1:25" ht="30" x14ac:dyDescent="0.25">
      <c r="A295" s="163">
        <v>232121</v>
      </c>
      <c r="B295" s="164" t="s">
        <v>135</v>
      </c>
      <c r="C295" s="165">
        <v>380000000</v>
      </c>
      <c r="D295" s="165">
        <v>0</v>
      </c>
      <c r="E295" s="165">
        <v>100000000</v>
      </c>
      <c r="F295" s="165">
        <v>93000000</v>
      </c>
      <c r="G295" s="165">
        <f t="shared" si="139"/>
        <v>373000000</v>
      </c>
      <c r="H295" s="165">
        <v>9378510</v>
      </c>
      <c r="I295" s="165">
        <v>297477954</v>
      </c>
      <c r="J295" s="165">
        <f t="shared" si="133"/>
        <v>75522046</v>
      </c>
      <c r="K295" s="165">
        <v>14747100</v>
      </c>
      <c r="L295" s="165">
        <v>167528681</v>
      </c>
      <c r="M295" s="165">
        <f t="shared" si="134"/>
        <v>129949273</v>
      </c>
      <c r="N295" s="165">
        <v>357804844</v>
      </c>
      <c r="O295" s="165">
        <f t="shared" si="135"/>
        <v>60326890</v>
      </c>
      <c r="P295" s="165">
        <f t="shared" si="136"/>
        <v>15195156</v>
      </c>
      <c r="Q295" s="165">
        <f t="shared" si="137"/>
        <v>167528681</v>
      </c>
      <c r="V295" s="149">
        <v>15195156</v>
      </c>
      <c r="X295" s="167"/>
      <c r="Y295" s="168"/>
    </row>
    <row r="296" spans="1:25" s="100" customFormat="1" x14ac:dyDescent="0.25">
      <c r="A296" s="163">
        <v>232122</v>
      </c>
      <c r="B296" s="164" t="s">
        <v>136</v>
      </c>
      <c r="C296" s="165">
        <v>100000000</v>
      </c>
      <c r="D296" s="165">
        <v>0</v>
      </c>
      <c r="E296" s="165">
        <v>43628460</v>
      </c>
      <c r="F296" s="165">
        <v>0</v>
      </c>
      <c r="G296" s="165">
        <f>+C296+D296-E296+F296</f>
        <v>56371540</v>
      </c>
      <c r="H296" s="165">
        <v>0</v>
      </c>
      <c r="I296" s="165">
        <v>34813888</v>
      </c>
      <c r="J296" s="165">
        <f t="shared" si="133"/>
        <v>21557652</v>
      </c>
      <c r="K296" s="165">
        <v>0</v>
      </c>
      <c r="L296" s="165">
        <v>13600000</v>
      </c>
      <c r="M296" s="165">
        <f t="shared" si="134"/>
        <v>21213888</v>
      </c>
      <c r="N296" s="165">
        <v>35013888</v>
      </c>
      <c r="O296" s="165">
        <f t="shared" si="135"/>
        <v>200000</v>
      </c>
      <c r="P296" s="165">
        <f t="shared" si="136"/>
        <v>21357652</v>
      </c>
      <c r="Q296" s="165">
        <f t="shared" si="137"/>
        <v>13600000</v>
      </c>
      <c r="V296" s="149">
        <v>21357652</v>
      </c>
      <c r="X296" s="167"/>
      <c r="Y296" s="168"/>
    </row>
    <row r="297" spans="1:25" x14ac:dyDescent="0.25">
      <c r="A297" s="163">
        <v>232123</v>
      </c>
      <c r="B297" s="164" t="s">
        <v>137</v>
      </c>
      <c r="C297" s="165">
        <v>15000000</v>
      </c>
      <c r="D297" s="165">
        <v>0</v>
      </c>
      <c r="E297" s="165">
        <v>0</v>
      </c>
      <c r="F297" s="165">
        <v>0</v>
      </c>
      <c r="G297" s="165">
        <f t="shared" si="139"/>
        <v>15000000</v>
      </c>
      <c r="H297" s="165">
        <v>0</v>
      </c>
      <c r="I297" s="165">
        <v>1218328</v>
      </c>
      <c r="J297" s="165">
        <f t="shared" si="133"/>
        <v>13781672</v>
      </c>
      <c r="K297" s="165">
        <v>0</v>
      </c>
      <c r="L297" s="165">
        <v>0</v>
      </c>
      <c r="M297" s="165">
        <f t="shared" si="134"/>
        <v>1218328</v>
      </c>
      <c r="N297" s="165">
        <v>1218328</v>
      </c>
      <c r="O297" s="165">
        <f t="shared" si="135"/>
        <v>0</v>
      </c>
      <c r="P297" s="165">
        <f t="shared" si="136"/>
        <v>13781672</v>
      </c>
      <c r="Q297" s="165">
        <f t="shared" si="137"/>
        <v>0</v>
      </c>
      <c r="V297" s="149">
        <v>13781672</v>
      </c>
      <c r="X297" s="167"/>
      <c r="Y297" s="168"/>
    </row>
    <row r="298" spans="1:25" x14ac:dyDescent="0.25">
      <c r="A298" s="160">
        <v>23213</v>
      </c>
      <c r="B298" s="161" t="s">
        <v>138</v>
      </c>
      <c r="C298" s="162">
        <f>SUM(C299:C302)</f>
        <v>60000000</v>
      </c>
      <c r="D298" s="162">
        <f t="shared" ref="D298:G298" si="145">SUM(D299:D302)</f>
        <v>0</v>
      </c>
      <c r="E298" s="162">
        <f t="shared" si="145"/>
        <v>0</v>
      </c>
      <c r="F298" s="162">
        <f t="shared" si="145"/>
        <v>0</v>
      </c>
      <c r="G298" s="162">
        <f t="shared" si="145"/>
        <v>60000000</v>
      </c>
      <c r="H298" s="162">
        <v>0</v>
      </c>
      <c r="I298" s="162">
        <v>0</v>
      </c>
      <c r="J298" s="162">
        <f t="shared" si="133"/>
        <v>60000000</v>
      </c>
      <c r="K298" s="162">
        <v>0</v>
      </c>
      <c r="L298" s="162">
        <v>0</v>
      </c>
      <c r="M298" s="162">
        <f t="shared" si="134"/>
        <v>0</v>
      </c>
      <c r="N298" s="162">
        <v>0</v>
      </c>
      <c r="O298" s="162">
        <f t="shared" si="135"/>
        <v>0</v>
      </c>
      <c r="P298" s="162">
        <f t="shared" si="136"/>
        <v>60000000</v>
      </c>
      <c r="Q298" s="162">
        <f t="shared" si="137"/>
        <v>0</v>
      </c>
      <c r="V298" s="149">
        <v>60000000</v>
      </c>
      <c r="X298" s="167"/>
      <c r="Y298" s="168"/>
    </row>
    <row r="299" spans="1:25" x14ac:dyDescent="0.25">
      <c r="A299" s="163">
        <v>232131</v>
      </c>
      <c r="B299" s="164" t="s">
        <v>139</v>
      </c>
      <c r="C299" s="165">
        <v>17000000</v>
      </c>
      <c r="D299" s="165">
        <v>0</v>
      </c>
      <c r="E299" s="165">
        <v>0</v>
      </c>
      <c r="F299" s="165">
        <v>0</v>
      </c>
      <c r="G299" s="165">
        <f t="shared" si="139"/>
        <v>17000000</v>
      </c>
      <c r="H299" s="165">
        <v>0</v>
      </c>
      <c r="I299" s="165">
        <v>0</v>
      </c>
      <c r="J299" s="165">
        <f t="shared" si="133"/>
        <v>17000000</v>
      </c>
      <c r="K299" s="165">
        <v>0</v>
      </c>
      <c r="L299" s="165">
        <v>0</v>
      </c>
      <c r="M299" s="165">
        <f t="shared" si="134"/>
        <v>0</v>
      </c>
      <c r="N299" s="165">
        <v>0</v>
      </c>
      <c r="O299" s="165">
        <f t="shared" si="135"/>
        <v>0</v>
      </c>
      <c r="P299" s="165">
        <f t="shared" si="136"/>
        <v>17000000</v>
      </c>
      <c r="Q299" s="165">
        <f t="shared" si="137"/>
        <v>0</v>
      </c>
      <c r="V299" s="149">
        <v>17000000</v>
      </c>
      <c r="X299" s="167"/>
      <c r="Y299" s="168"/>
    </row>
    <row r="300" spans="1:25" x14ac:dyDescent="0.25">
      <c r="A300" s="163">
        <v>232132</v>
      </c>
      <c r="B300" s="164" t="s">
        <v>140</v>
      </c>
      <c r="C300" s="165">
        <v>15000000</v>
      </c>
      <c r="D300" s="165">
        <v>0</v>
      </c>
      <c r="E300" s="165">
        <v>0</v>
      </c>
      <c r="F300" s="165">
        <v>0</v>
      </c>
      <c r="G300" s="165">
        <f t="shared" si="139"/>
        <v>15000000</v>
      </c>
      <c r="H300" s="165">
        <v>0</v>
      </c>
      <c r="I300" s="165">
        <v>0</v>
      </c>
      <c r="J300" s="165">
        <f t="shared" si="133"/>
        <v>15000000</v>
      </c>
      <c r="K300" s="165">
        <v>0</v>
      </c>
      <c r="L300" s="165">
        <v>0</v>
      </c>
      <c r="M300" s="165">
        <f t="shared" si="134"/>
        <v>0</v>
      </c>
      <c r="N300" s="165">
        <v>0</v>
      </c>
      <c r="O300" s="165">
        <f t="shared" si="135"/>
        <v>0</v>
      </c>
      <c r="P300" s="165">
        <f t="shared" si="136"/>
        <v>15000000</v>
      </c>
      <c r="Q300" s="165">
        <f t="shared" si="137"/>
        <v>0</v>
      </c>
      <c r="V300" s="149">
        <v>15000000</v>
      </c>
      <c r="X300" s="167"/>
      <c r="Y300" s="168"/>
    </row>
    <row r="301" spans="1:25" s="100" customFormat="1" x14ac:dyDescent="0.25">
      <c r="A301" s="163">
        <v>232133</v>
      </c>
      <c r="B301" s="164" t="s">
        <v>141</v>
      </c>
      <c r="C301" s="165">
        <v>18000000</v>
      </c>
      <c r="D301" s="165">
        <v>0</v>
      </c>
      <c r="E301" s="165">
        <v>0</v>
      </c>
      <c r="F301" s="165">
        <v>0</v>
      </c>
      <c r="G301" s="165">
        <f t="shared" si="139"/>
        <v>18000000</v>
      </c>
      <c r="H301" s="165">
        <v>0</v>
      </c>
      <c r="I301" s="165">
        <v>0</v>
      </c>
      <c r="J301" s="165">
        <f t="shared" si="133"/>
        <v>18000000</v>
      </c>
      <c r="K301" s="165">
        <v>0</v>
      </c>
      <c r="L301" s="165">
        <v>0</v>
      </c>
      <c r="M301" s="165">
        <f t="shared" si="134"/>
        <v>0</v>
      </c>
      <c r="N301" s="165">
        <v>0</v>
      </c>
      <c r="O301" s="165">
        <f t="shared" si="135"/>
        <v>0</v>
      </c>
      <c r="P301" s="165">
        <f t="shared" si="136"/>
        <v>18000000</v>
      </c>
      <c r="Q301" s="165">
        <f t="shared" si="137"/>
        <v>0</v>
      </c>
      <c r="V301" s="149">
        <v>18000000</v>
      </c>
      <c r="X301" s="167"/>
      <c r="Y301" s="168"/>
    </row>
    <row r="302" spans="1:25" x14ac:dyDescent="0.25">
      <c r="A302" s="163">
        <v>232134</v>
      </c>
      <c r="B302" s="164" t="s">
        <v>142</v>
      </c>
      <c r="C302" s="165">
        <v>10000000</v>
      </c>
      <c r="D302" s="165">
        <v>0</v>
      </c>
      <c r="E302" s="165">
        <v>0</v>
      </c>
      <c r="F302" s="165">
        <v>0</v>
      </c>
      <c r="G302" s="165">
        <f t="shared" si="139"/>
        <v>10000000</v>
      </c>
      <c r="H302" s="165">
        <v>0</v>
      </c>
      <c r="I302" s="165">
        <v>0</v>
      </c>
      <c r="J302" s="165">
        <f t="shared" si="133"/>
        <v>10000000</v>
      </c>
      <c r="K302" s="165">
        <v>0</v>
      </c>
      <c r="L302" s="165">
        <v>0</v>
      </c>
      <c r="M302" s="165">
        <f t="shared" si="134"/>
        <v>0</v>
      </c>
      <c r="N302" s="165">
        <v>0</v>
      </c>
      <c r="O302" s="165">
        <f t="shared" si="135"/>
        <v>0</v>
      </c>
      <c r="P302" s="165">
        <f t="shared" si="136"/>
        <v>10000000</v>
      </c>
      <c r="Q302" s="165">
        <f t="shared" si="137"/>
        <v>0</v>
      </c>
      <c r="V302" s="149">
        <v>10000000</v>
      </c>
      <c r="X302" s="167"/>
      <c r="Y302" s="168"/>
    </row>
    <row r="303" spans="1:25" x14ac:dyDescent="0.25">
      <c r="A303" s="160">
        <v>23214</v>
      </c>
      <c r="B303" s="161" t="s">
        <v>143</v>
      </c>
      <c r="C303" s="162">
        <f>SUM(C304:C307)</f>
        <v>272994202</v>
      </c>
      <c r="D303" s="162">
        <f t="shared" ref="D303:G303" si="146">SUM(D304:D307)</f>
        <v>0</v>
      </c>
      <c r="E303" s="162">
        <f t="shared" si="146"/>
        <v>0</v>
      </c>
      <c r="F303" s="162">
        <f t="shared" si="146"/>
        <v>80000000</v>
      </c>
      <c r="G303" s="162">
        <f t="shared" si="146"/>
        <v>352994202</v>
      </c>
      <c r="H303" s="162">
        <v>93082233</v>
      </c>
      <c r="I303" s="162">
        <v>284319443</v>
      </c>
      <c r="J303" s="162">
        <f t="shared" si="133"/>
        <v>68674759</v>
      </c>
      <c r="K303" s="162">
        <v>0</v>
      </c>
      <c r="L303" s="162">
        <v>0</v>
      </c>
      <c r="M303" s="162">
        <f t="shared" si="134"/>
        <v>284319443</v>
      </c>
      <c r="N303" s="162">
        <v>284319443</v>
      </c>
      <c r="O303" s="162">
        <f t="shared" si="135"/>
        <v>0</v>
      </c>
      <c r="P303" s="162">
        <f t="shared" si="136"/>
        <v>68674759</v>
      </c>
      <c r="Q303" s="162">
        <f t="shared" si="137"/>
        <v>0</v>
      </c>
      <c r="V303" s="149">
        <v>68674759</v>
      </c>
      <c r="X303" s="167"/>
      <c r="Y303" s="168"/>
    </row>
    <row r="304" spans="1:25" x14ac:dyDescent="0.25">
      <c r="A304" s="163">
        <v>232141</v>
      </c>
      <c r="B304" s="164" t="s">
        <v>144</v>
      </c>
      <c r="C304" s="165">
        <v>100000000</v>
      </c>
      <c r="D304" s="165">
        <v>0</v>
      </c>
      <c r="E304" s="165">
        <v>0</v>
      </c>
      <c r="F304" s="165">
        <v>0</v>
      </c>
      <c r="G304" s="165">
        <f t="shared" si="139"/>
        <v>100000000</v>
      </c>
      <c r="H304" s="165">
        <v>0</v>
      </c>
      <c r="I304" s="165">
        <v>100000000</v>
      </c>
      <c r="J304" s="165">
        <f t="shared" si="133"/>
        <v>0</v>
      </c>
      <c r="K304" s="165">
        <v>0</v>
      </c>
      <c r="L304" s="165">
        <v>0</v>
      </c>
      <c r="M304" s="165">
        <f t="shared" si="134"/>
        <v>100000000</v>
      </c>
      <c r="N304" s="165">
        <v>100000000</v>
      </c>
      <c r="O304" s="165">
        <f t="shared" si="135"/>
        <v>0</v>
      </c>
      <c r="P304" s="165">
        <f t="shared" si="136"/>
        <v>0</v>
      </c>
      <c r="Q304" s="165">
        <f t="shared" si="137"/>
        <v>0</v>
      </c>
      <c r="V304" s="149">
        <v>0</v>
      </c>
      <c r="X304" s="167"/>
      <c r="Y304" s="168"/>
    </row>
    <row r="305" spans="1:25" x14ac:dyDescent="0.25">
      <c r="A305" s="163">
        <v>232142</v>
      </c>
      <c r="B305" s="164" t="s">
        <v>145</v>
      </c>
      <c r="C305" s="165">
        <v>100000000</v>
      </c>
      <c r="D305" s="165">
        <v>0</v>
      </c>
      <c r="E305" s="165">
        <v>0</v>
      </c>
      <c r="F305" s="165">
        <v>0</v>
      </c>
      <c r="G305" s="165">
        <f t="shared" si="139"/>
        <v>100000000</v>
      </c>
      <c r="H305" s="165">
        <v>93082233</v>
      </c>
      <c r="I305" s="165">
        <v>93082233</v>
      </c>
      <c r="J305" s="165">
        <f t="shared" si="133"/>
        <v>6917767</v>
      </c>
      <c r="K305" s="165">
        <v>0</v>
      </c>
      <c r="L305" s="165">
        <v>0</v>
      </c>
      <c r="M305" s="165">
        <f t="shared" si="134"/>
        <v>93082233</v>
      </c>
      <c r="N305" s="165">
        <v>93082233</v>
      </c>
      <c r="O305" s="165">
        <f t="shared" si="135"/>
        <v>0</v>
      </c>
      <c r="P305" s="165">
        <f t="shared" si="136"/>
        <v>6917767</v>
      </c>
      <c r="Q305" s="165">
        <f t="shared" si="137"/>
        <v>0</v>
      </c>
      <c r="V305" s="149">
        <v>6917767</v>
      </c>
      <c r="X305" s="167"/>
      <c r="Y305" s="168"/>
    </row>
    <row r="306" spans="1:25" s="100" customFormat="1" x14ac:dyDescent="0.25">
      <c r="A306" s="163">
        <v>232143</v>
      </c>
      <c r="B306" s="164" t="s">
        <v>146</v>
      </c>
      <c r="C306" s="165">
        <v>48000000</v>
      </c>
      <c r="D306" s="165">
        <v>0</v>
      </c>
      <c r="E306" s="165">
        <v>0</v>
      </c>
      <c r="F306" s="165">
        <v>80000000</v>
      </c>
      <c r="G306" s="165">
        <f t="shared" si="139"/>
        <v>128000000</v>
      </c>
      <c r="H306" s="165">
        <v>0</v>
      </c>
      <c r="I306" s="165">
        <v>91237210</v>
      </c>
      <c r="J306" s="165">
        <f t="shared" si="133"/>
        <v>36762790</v>
      </c>
      <c r="K306" s="165">
        <v>0</v>
      </c>
      <c r="L306" s="165">
        <v>0</v>
      </c>
      <c r="M306" s="165">
        <f t="shared" si="134"/>
        <v>91237210</v>
      </c>
      <c r="N306" s="165">
        <v>91237210</v>
      </c>
      <c r="O306" s="165">
        <f t="shared" si="135"/>
        <v>0</v>
      </c>
      <c r="P306" s="165">
        <f t="shared" si="136"/>
        <v>36762790</v>
      </c>
      <c r="Q306" s="165">
        <f t="shared" si="137"/>
        <v>0</v>
      </c>
      <c r="V306" s="149">
        <v>36762790</v>
      </c>
      <c r="X306" s="167"/>
      <c r="Y306" s="168"/>
    </row>
    <row r="307" spans="1:25" x14ac:dyDescent="0.25">
      <c r="A307" s="163">
        <v>232144</v>
      </c>
      <c r="B307" s="164" t="s">
        <v>147</v>
      </c>
      <c r="C307" s="165">
        <v>24994202</v>
      </c>
      <c r="D307" s="165">
        <v>0</v>
      </c>
      <c r="E307" s="165">
        <v>0</v>
      </c>
      <c r="F307" s="165">
        <v>0</v>
      </c>
      <c r="G307" s="165">
        <f t="shared" si="139"/>
        <v>24994202</v>
      </c>
      <c r="H307" s="165">
        <v>0</v>
      </c>
      <c r="I307" s="165">
        <v>0</v>
      </c>
      <c r="J307" s="165">
        <f t="shared" si="133"/>
        <v>24994202</v>
      </c>
      <c r="K307" s="165">
        <v>0</v>
      </c>
      <c r="L307" s="165">
        <v>0</v>
      </c>
      <c r="M307" s="165">
        <f t="shared" si="134"/>
        <v>0</v>
      </c>
      <c r="N307" s="165">
        <v>0</v>
      </c>
      <c r="O307" s="165">
        <f t="shared" si="135"/>
        <v>0</v>
      </c>
      <c r="P307" s="165">
        <f t="shared" si="136"/>
        <v>24994202</v>
      </c>
      <c r="Q307" s="165">
        <f t="shared" si="137"/>
        <v>0</v>
      </c>
      <c r="V307" s="149">
        <v>24994202</v>
      </c>
      <c r="X307" s="167"/>
      <c r="Y307" s="168"/>
    </row>
    <row r="308" spans="1:25" ht="30" x14ac:dyDescent="0.25">
      <c r="A308" s="160">
        <v>23215</v>
      </c>
      <c r="B308" s="161" t="s">
        <v>893</v>
      </c>
      <c r="C308" s="162">
        <f>SUM(C309:C311)</f>
        <v>0</v>
      </c>
      <c r="D308" s="162">
        <f t="shared" ref="D308:G308" si="147">SUM(D309:D311)</f>
        <v>1000000000</v>
      </c>
      <c r="E308" s="162">
        <f t="shared" si="147"/>
        <v>0</v>
      </c>
      <c r="F308" s="162">
        <f t="shared" si="147"/>
        <v>0</v>
      </c>
      <c r="G308" s="162">
        <f t="shared" si="147"/>
        <v>1000000000</v>
      </c>
      <c r="H308" s="162">
        <v>109090159.05</v>
      </c>
      <c r="I308" s="162">
        <v>580861415.04999995</v>
      </c>
      <c r="J308" s="162">
        <f t="shared" si="133"/>
        <v>419138584.95000005</v>
      </c>
      <c r="K308" s="162">
        <v>5350320</v>
      </c>
      <c r="L308" s="162">
        <v>369845094</v>
      </c>
      <c r="M308" s="162">
        <f t="shared" si="134"/>
        <v>211016321.04999995</v>
      </c>
      <c r="N308" s="162">
        <v>731166876</v>
      </c>
      <c r="O308" s="162">
        <f t="shared" si="135"/>
        <v>150305460.95000005</v>
      </c>
      <c r="P308" s="162">
        <f t="shared" si="136"/>
        <v>268833124</v>
      </c>
      <c r="Q308" s="162">
        <f t="shared" si="137"/>
        <v>369845094</v>
      </c>
      <c r="V308" s="149">
        <v>268833124</v>
      </c>
      <c r="X308" s="167"/>
      <c r="Y308" s="168"/>
    </row>
    <row r="309" spans="1:25" s="100" customFormat="1" x14ac:dyDescent="0.25">
      <c r="A309" s="163">
        <v>2321501</v>
      </c>
      <c r="B309" s="164" t="s">
        <v>894</v>
      </c>
      <c r="C309" s="165"/>
      <c r="D309" s="165">
        <v>800000000</v>
      </c>
      <c r="E309" s="165">
        <v>0</v>
      </c>
      <c r="F309" s="165">
        <v>0</v>
      </c>
      <c r="G309" s="165">
        <f t="shared" si="139"/>
        <v>800000000</v>
      </c>
      <c r="H309" s="165">
        <v>91526659.049999997</v>
      </c>
      <c r="I309" s="165">
        <v>545463515.04999995</v>
      </c>
      <c r="J309" s="165">
        <f t="shared" si="133"/>
        <v>254536484.95000005</v>
      </c>
      <c r="K309" s="165">
        <v>0</v>
      </c>
      <c r="L309" s="165">
        <v>364494774</v>
      </c>
      <c r="M309" s="165">
        <f t="shared" si="134"/>
        <v>180968741.04999995</v>
      </c>
      <c r="N309" s="165">
        <v>691166876</v>
      </c>
      <c r="O309" s="165">
        <f t="shared" si="135"/>
        <v>145703360.95000005</v>
      </c>
      <c r="P309" s="165">
        <f t="shared" si="136"/>
        <v>108833124</v>
      </c>
      <c r="Q309" s="165">
        <f t="shared" si="137"/>
        <v>364494774</v>
      </c>
      <c r="V309" s="149">
        <v>108833124</v>
      </c>
      <c r="X309" s="167"/>
      <c r="Y309" s="168"/>
    </row>
    <row r="310" spans="1:25" x14ac:dyDescent="0.25">
      <c r="A310" s="163">
        <v>2321502</v>
      </c>
      <c r="B310" s="164" t="s">
        <v>895</v>
      </c>
      <c r="C310" s="165"/>
      <c r="D310" s="165">
        <v>100000000</v>
      </c>
      <c r="E310" s="165">
        <v>0</v>
      </c>
      <c r="F310" s="165">
        <v>0</v>
      </c>
      <c r="G310" s="165">
        <f t="shared" si="139"/>
        <v>100000000</v>
      </c>
      <c r="H310" s="165">
        <v>17563500</v>
      </c>
      <c r="I310" s="165">
        <v>35397900</v>
      </c>
      <c r="J310" s="165">
        <f t="shared" si="133"/>
        <v>64602100</v>
      </c>
      <c r="K310" s="165">
        <v>5350320</v>
      </c>
      <c r="L310" s="165">
        <v>5350320</v>
      </c>
      <c r="M310" s="165">
        <f t="shared" si="134"/>
        <v>30047580</v>
      </c>
      <c r="N310" s="165">
        <v>40000000</v>
      </c>
      <c r="O310" s="165">
        <f t="shared" si="135"/>
        <v>4602100</v>
      </c>
      <c r="P310" s="165">
        <f t="shared" si="136"/>
        <v>60000000</v>
      </c>
      <c r="Q310" s="165">
        <f t="shared" si="137"/>
        <v>5350320</v>
      </c>
      <c r="V310" s="149">
        <v>60000000</v>
      </c>
      <c r="X310" s="167"/>
      <c r="Y310" s="168"/>
    </row>
    <row r="311" spans="1:25" s="100" customFormat="1" ht="30" x14ac:dyDescent="0.25">
      <c r="A311" s="163">
        <v>2321503</v>
      </c>
      <c r="B311" s="164" t="s">
        <v>896</v>
      </c>
      <c r="C311" s="165"/>
      <c r="D311" s="165">
        <v>100000000</v>
      </c>
      <c r="E311" s="165">
        <v>0</v>
      </c>
      <c r="F311" s="165">
        <v>0</v>
      </c>
      <c r="G311" s="165">
        <f t="shared" si="139"/>
        <v>100000000</v>
      </c>
      <c r="H311" s="165">
        <v>0</v>
      </c>
      <c r="I311" s="165">
        <v>0</v>
      </c>
      <c r="J311" s="165">
        <f t="shared" si="133"/>
        <v>100000000</v>
      </c>
      <c r="K311" s="165">
        <v>0</v>
      </c>
      <c r="L311" s="165">
        <v>0</v>
      </c>
      <c r="M311" s="165">
        <f t="shared" si="134"/>
        <v>0</v>
      </c>
      <c r="N311" s="165">
        <v>0</v>
      </c>
      <c r="O311" s="165">
        <f t="shared" si="135"/>
        <v>0</v>
      </c>
      <c r="P311" s="165">
        <f t="shared" si="136"/>
        <v>100000000</v>
      </c>
      <c r="Q311" s="165">
        <f t="shared" si="137"/>
        <v>0</v>
      </c>
      <c r="V311" s="149">
        <v>100000000</v>
      </c>
      <c r="X311" s="167"/>
      <c r="Y311" s="168"/>
    </row>
    <row r="312" spans="1:25" s="100" customFormat="1" x14ac:dyDescent="0.25">
      <c r="A312" s="151">
        <v>2322</v>
      </c>
      <c r="B312" s="152" t="s">
        <v>148</v>
      </c>
      <c r="C312" s="153">
        <f>+C313+C314</f>
        <v>120000000</v>
      </c>
      <c r="D312" s="153">
        <f t="shared" ref="D312:G312" si="148">+D313+D314</f>
        <v>0</v>
      </c>
      <c r="E312" s="153">
        <f t="shared" si="148"/>
        <v>0</v>
      </c>
      <c r="F312" s="153">
        <f t="shared" si="148"/>
        <v>0</v>
      </c>
      <c r="G312" s="153">
        <f t="shared" si="148"/>
        <v>120000000</v>
      </c>
      <c r="H312" s="153">
        <v>434990</v>
      </c>
      <c r="I312" s="153">
        <v>3537911</v>
      </c>
      <c r="J312" s="153">
        <f t="shared" si="133"/>
        <v>116462089</v>
      </c>
      <c r="K312" s="153">
        <v>0</v>
      </c>
      <c r="L312" s="153">
        <v>333133</v>
      </c>
      <c r="M312" s="153">
        <f t="shared" si="134"/>
        <v>3204778</v>
      </c>
      <c r="N312" s="153">
        <v>29830269</v>
      </c>
      <c r="O312" s="153">
        <f t="shared" si="135"/>
        <v>26292358</v>
      </c>
      <c r="P312" s="153">
        <f t="shared" si="136"/>
        <v>90169731</v>
      </c>
      <c r="Q312" s="153">
        <f t="shared" si="137"/>
        <v>333133</v>
      </c>
      <c r="V312" s="149">
        <v>90169731</v>
      </c>
      <c r="X312" s="167"/>
      <c r="Y312" s="168"/>
    </row>
    <row r="313" spans="1:25" s="100" customFormat="1" x14ac:dyDescent="0.25">
      <c r="A313" s="163">
        <v>23221</v>
      </c>
      <c r="B313" s="164" t="s">
        <v>626</v>
      </c>
      <c r="C313" s="165">
        <v>80000000</v>
      </c>
      <c r="D313" s="165">
        <v>0</v>
      </c>
      <c r="E313" s="165">
        <v>0</v>
      </c>
      <c r="F313" s="165">
        <v>0</v>
      </c>
      <c r="G313" s="165">
        <f t="shared" si="139"/>
        <v>80000000</v>
      </c>
      <c r="H313" s="165">
        <v>434990</v>
      </c>
      <c r="I313" s="165">
        <v>3537911</v>
      </c>
      <c r="J313" s="165">
        <f t="shared" si="133"/>
        <v>76462089</v>
      </c>
      <c r="K313" s="165">
        <v>0</v>
      </c>
      <c r="L313" s="165">
        <v>333133</v>
      </c>
      <c r="M313" s="165">
        <f t="shared" si="134"/>
        <v>3204778</v>
      </c>
      <c r="N313" s="165">
        <v>28630269</v>
      </c>
      <c r="O313" s="165">
        <f t="shared" si="135"/>
        <v>25092358</v>
      </c>
      <c r="P313" s="165">
        <f t="shared" si="136"/>
        <v>51369731</v>
      </c>
      <c r="Q313" s="165">
        <f t="shared" si="137"/>
        <v>333133</v>
      </c>
      <c r="V313" s="149">
        <v>51369731</v>
      </c>
      <c r="X313" s="167"/>
      <c r="Y313" s="168"/>
    </row>
    <row r="314" spans="1:25" s="100" customFormat="1" x14ac:dyDescent="0.25">
      <c r="A314" s="163">
        <v>23224</v>
      </c>
      <c r="B314" s="164" t="s">
        <v>650</v>
      </c>
      <c r="C314" s="165">
        <v>40000000</v>
      </c>
      <c r="D314" s="165">
        <v>0</v>
      </c>
      <c r="E314" s="165">
        <v>0</v>
      </c>
      <c r="F314" s="165">
        <v>0</v>
      </c>
      <c r="G314" s="165">
        <f t="shared" si="139"/>
        <v>40000000</v>
      </c>
      <c r="H314" s="165">
        <v>0</v>
      </c>
      <c r="I314" s="165">
        <v>0</v>
      </c>
      <c r="J314" s="165">
        <f t="shared" si="133"/>
        <v>40000000</v>
      </c>
      <c r="K314" s="165">
        <v>0</v>
      </c>
      <c r="L314" s="165">
        <v>0</v>
      </c>
      <c r="M314" s="165">
        <f t="shared" si="134"/>
        <v>0</v>
      </c>
      <c r="N314" s="165">
        <v>1200000</v>
      </c>
      <c r="O314" s="165">
        <f t="shared" si="135"/>
        <v>1200000</v>
      </c>
      <c r="P314" s="165">
        <f t="shared" si="136"/>
        <v>38800000</v>
      </c>
      <c r="Q314" s="165">
        <f t="shared" si="137"/>
        <v>0</v>
      </c>
      <c r="V314" s="149">
        <v>38800000</v>
      </c>
      <c r="X314" s="167"/>
      <c r="Y314" s="168"/>
    </row>
    <row r="315" spans="1:25" x14ac:dyDescent="0.25">
      <c r="A315" s="160">
        <v>2323</v>
      </c>
      <c r="B315" s="161" t="s">
        <v>149</v>
      </c>
      <c r="C315" s="162">
        <f>+C316</f>
        <v>100000000</v>
      </c>
      <c r="D315" s="162">
        <f t="shared" ref="D315:G315" si="149">+D316</f>
        <v>0</v>
      </c>
      <c r="E315" s="162">
        <f t="shared" si="149"/>
        <v>0</v>
      </c>
      <c r="F315" s="162">
        <f t="shared" si="149"/>
        <v>0</v>
      </c>
      <c r="G315" s="162">
        <f t="shared" si="149"/>
        <v>100000000</v>
      </c>
      <c r="H315" s="162">
        <v>0</v>
      </c>
      <c r="I315" s="162">
        <v>0</v>
      </c>
      <c r="J315" s="162">
        <f t="shared" si="133"/>
        <v>100000000</v>
      </c>
      <c r="K315" s="162">
        <v>0</v>
      </c>
      <c r="L315" s="162">
        <v>0</v>
      </c>
      <c r="M315" s="162">
        <f t="shared" si="134"/>
        <v>0</v>
      </c>
      <c r="N315" s="162">
        <v>0</v>
      </c>
      <c r="O315" s="162">
        <f t="shared" si="135"/>
        <v>0</v>
      </c>
      <c r="P315" s="162">
        <f t="shared" si="136"/>
        <v>100000000</v>
      </c>
      <c r="Q315" s="162">
        <f t="shared" si="137"/>
        <v>0</v>
      </c>
      <c r="V315" s="149">
        <v>100000000</v>
      </c>
      <c r="X315" s="167"/>
      <c r="Y315" s="168"/>
    </row>
    <row r="316" spans="1:25" s="100" customFormat="1" x14ac:dyDescent="0.25">
      <c r="A316" s="163">
        <v>23231</v>
      </c>
      <c r="B316" s="164" t="s">
        <v>627</v>
      </c>
      <c r="C316" s="165">
        <v>100000000</v>
      </c>
      <c r="D316" s="165">
        <v>0</v>
      </c>
      <c r="E316" s="165">
        <v>0</v>
      </c>
      <c r="F316" s="165">
        <v>0</v>
      </c>
      <c r="G316" s="165">
        <f t="shared" si="139"/>
        <v>100000000</v>
      </c>
      <c r="H316" s="165">
        <v>0</v>
      </c>
      <c r="I316" s="165">
        <v>0</v>
      </c>
      <c r="J316" s="165">
        <f t="shared" si="133"/>
        <v>100000000</v>
      </c>
      <c r="K316" s="165">
        <v>0</v>
      </c>
      <c r="L316" s="165">
        <v>0</v>
      </c>
      <c r="M316" s="165">
        <f t="shared" si="134"/>
        <v>0</v>
      </c>
      <c r="N316" s="165">
        <v>0</v>
      </c>
      <c r="O316" s="165">
        <f t="shared" si="135"/>
        <v>0</v>
      </c>
      <c r="P316" s="165">
        <f t="shared" si="136"/>
        <v>100000000</v>
      </c>
      <c r="Q316" s="165">
        <f t="shared" si="137"/>
        <v>0</v>
      </c>
      <c r="V316" s="149">
        <v>100000000</v>
      </c>
      <c r="X316" s="167"/>
      <c r="Y316" s="168"/>
    </row>
    <row r="317" spans="1:25" s="100" customFormat="1" x14ac:dyDescent="0.25">
      <c r="A317" s="151">
        <v>233</v>
      </c>
      <c r="B317" s="152" t="s">
        <v>150</v>
      </c>
      <c r="C317" s="153">
        <f>+C318+C320</f>
        <v>94200000</v>
      </c>
      <c r="D317" s="153">
        <f t="shared" ref="D317:G317" si="150">+D318+D320</f>
        <v>0</v>
      </c>
      <c r="E317" s="153">
        <f t="shared" si="150"/>
        <v>0</v>
      </c>
      <c r="F317" s="153">
        <f t="shared" si="150"/>
        <v>0</v>
      </c>
      <c r="G317" s="153">
        <f t="shared" si="150"/>
        <v>94200000</v>
      </c>
      <c r="H317" s="153">
        <v>0</v>
      </c>
      <c r="I317" s="153">
        <v>0</v>
      </c>
      <c r="J317" s="153">
        <f t="shared" si="133"/>
        <v>94200000</v>
      </c>
      <c r="K317" s="153">
        <v>0</v>
      </c>
      <c r="L317" s="153">
        <v>0</v>
      </c>
      <c r="M317" s="153">
        <f t="shared" si="134"/>
        <v>0</v>
      </c>
      <c r="N317" s="153">
        <v>0</v>
      </c>
      <c r="O317" s="153">
        <f t="shared" si="135"/>
        <v>0</v>
      </c>
      <c r="P317" s="153">
        <f t="shared" si="136"/>
        <v>94200000</v>
      </c>
      <c r="Q317" s="153">
        <f t="shared" si="137"/>
        <v>0</v>
      </c>
      <c r="V317" s="149">
        <v>94200000</v>
      </c>
      <c r="X317" s="167"/>
      <c r="Y317" s="168"/>
    </row>
    <row r="318" spans="1:25" x14ac:dyDescent="0.25">
      <c r="A318" s="151">
        <v>2331</v>
      </c>
      <c r="B318" s="152" t="s">
        <v>151</v>
      </c>
      <c r="C318" s="153">
        <f>+C319</f>
        <v>80000000</v>
      </c>
      <c r="D318" s="153">
        <f t="shared" ref="D318:G318" si="151">+D319</f>
        <v>0</v>
      </c>
      <c r="E318" s="153">
        <f t="shared" si="151"/>
        <v>0</v>
      </c>
      <c r="F318" s="153">
        <f t="shared" si="151"/>
        <v>0</v>
      </c>
      <c r="G318" s="153">
        <f t="shared" si="151"/>
        <v>80000000</v>
      </c>
      <c r="H318" s="153">
        <v>0</v>
      </c>
      <c r="I318" s="153">
        <v>0</v>
      </c>
      <c r="J318" s="153">
        <f t="shared" si="133"/>
        <v>80000000</v>
      </c>
      <c r="K318" s="153">
        <v>0</v>
      </c>
      <c r="L318" s="153">
        <v>0</v>
      </c>
      <c r="M318" s="153">
        <f t="shared" si="134"/>
        <v>0</v>
      </c>
      <c r="N318" s="153">
        <v>0</v>
      </c>
      <c r="O318" s="153">
        <f t="shared" si="135"/>
        <v>0</v>
      </c>
      <c r="P318" s="153">
        <f t="shared" si="136"/>
        <v>80000000</v>
      </c>
      <c r="Q318" s="153">
        <f t="shared" si="137"/>
        <v>0</v>
      </c>
      <c r="V318" s="149">
        <v>80000000</v>
      </c>
      <c r="X318" s="167"/>
      <c r="Y318" s="168"/>
    </row>
    <row r="319" spans="1:25" x14ac:dyDescent="0.25">
      <c r="A319" s="160">
        <v>23311</v>
      </c>
      <c r="B319" s="161" t="s">
        <v>152</v>
      </c>
      <c r="C319" s="162">
        <v>80000000</v>
      </c>
      <c r="D319" s="162"/>
      <c r="E319" s="162"/>
      <c r="F319" s="162"/>
      <c r="G319" s="162">
        <v>80000000</v>
      </c>
      <c r="H319" s="162">
        <v>0</v>
      </c>
      <c r="I319" s="162">
        <v>0</v>
      </c>
      <c r="J319" s="162">
        <f t="shared" si="133"/>
        <v>80000000</v>
      </c>
      <c r="K319" s="162">
        <v>0</v>
      </c>
      <c r="L319" s="162">
        <v>0</v>
      </c>
      <c r="M319" s="162">
        <f t="shared" si="134"/>
        <v>0</v>
      </c>
      <c r="N319" s="162">
        <v>0</v>
      </c>
      <c r="O319" s="162">
        <f t="shared" si="135"/>
        <v>0</v>
      </c>
      <c r="P319" s="162">
        <f t="shared" si="136"/>
        <v>80000000</v>
      </c>
      <c r="Q319" s="162">
        <f t="shared" si="137"/>
        <v>0</v>
      </c>
      <c r="V319" s="149">
        <v>80000000</v>
      </c>
      <c r="X319" s="167"/>
      <c r="Y319" s="168"/>
    </row>
    <row r="320" spans="1:25" x14ac:dyDescent="0.25">
      <c r="A320" s="151">
        <v>2332</v>
      </c>
      <c r="B320" s="152" t="s">
        <v>153</v>
      </c>
      <c r="C320" s="153">
        <f>+C321</f>
        <v>14200000</v>
      </c>
      <c r="D320" s="153">
        <f t="shared" ref="D320:G320" si="152">+D321</f>
        <v>0</v>
      </c>
      <c r="E320" s="153">
        <f t="shared" si="152"/>
        <v>0</v>
      </c>
      <c r="F320" s="153">
        <f t="shared" si="152"/>
        <v>0</v>
      </c>
      <c r="G320" s="153">
        <f t="shared" si="152"/>
        <v>14200000</v>
      </c>
      <c r="H320" s="153">
        <v>0</v>
      </c>
      <c r="I320" s="153">
        <v>0</v>
      </c>
      <c r="J320" s="153">
        <f t="shared" si="133"/>
        <v>14200000</v>
      </c>
      <c r="K320" s="153">
        <v>0</v>
      </c>
      <c r="L320" s="153">
        <v>0</v>
      </c>
      <c r="M320" s="153">
        <f t="shared" si="134"/>
        <v>0</v>
      </c>
      <c r="N320" s="153">
        <v>0</v>
      </c>
      <c r="O320" s="153">
        <f t="shared" si="135"/>
        <v>0</v>
      </c>
      <c r="P320" s="153">
        <f t="shared" si="136"/>
        <v>14200000</v>
      </c>
      <c r="Q320" s="153">
        <f t="shared" si="137"/>
        <v>0</v>
      </c>
      <c r="V320" s="149">
        <v>14200000</v>
      </c>
      <c r="X320" s="167"/>
      <c r="Y320" s="168"/>
    </row>
    <row r="321" spans="1:25" ht="30" x14ac:dyDescent="0.25">
      <c r="A321" s="163">
        <v>23323</v>
      </c>
      <c r="B321" s="164" t="s">
        <v>628</v>
      </c>
      <c r="C321" s="165">
        <v>14200000</v>
      </c>
      <c r="D321" s="165">
        <v>0</v>
      </c>
      <c r="E321" s="165">
        <v>0</v>
      </c>
      <c r="F321" s="165">
        <v>0</v>
      </c>
      <c r="G321" s="165">
        <f t="shared" si="139"/>
        <v>14200000</v>
      </c>
      <c r="H321" s="165">
        <v>0</v>
      </c>
      <c r="I321" s="165">
        <v>0</v>
      </c>
      <c r="J321" s="165">
        <f t="shared" si="133"/>
        <v>14200000</v>
      </c>
      <c r="K321" s="165">
        <v>0</v>
      </c>
      <c r="L321" s="165">
        <v>0</v>
      </c>
      <c r="M321" s="165">
        <f t="shared" si="134"/>
        <v>0</v>
      </c>
      <c r="N321" s="165">
        <v>0</v>
      </c>
      <c r="O321" s="165">
        <f t="shared" si="135"/>
        <v>0</v>
      </c>
      <c r="P321" s="165">
        <f t="shared" si="136"/>
        <v>14200000</v>
      </c>
      <c r="Q321" s="165">
        <f t="shared" si="137"/>
        <v>0</v>
      </c>
      <c r="V321" s="149">
        <v>14200000</v>
      </c>
      <c r="X321" s="167"/>
      <c r="Y321" s="168"/>
    </row>
    <row r="322" spans="1:25" s="100" customFormat="1" ht="30" x14ac:dyDescent="0.25">
      <c r="A322" s="151">
        <v>234</v>
      </c>
      <c r="B322" s="152" t="s">
        <v>154</v>
      </c>
      <c r="C322" s="153">
        <f>+C323+C332</f>
        <v>2119805038</v>
      </c>
      <c r="D322" s="153">
        <f>+D323+D332</f>
        <v>0</v>
      </c>
      <c r="E322" s="153">
        <f>+E323+E332</f>
        <v>0</v>
      </c>
      <c r="F322" s="153">
        <f>+F323+F332</f>
        <v>343492005.03999996</v>
      </c>
      <c r="G322" s="153">
        <f>+G323+G332</f>
        <v>2463297043.04</v>
      </c>
      <c r="H322" s="153">
        <v>243237164</v>
      </c>
      <c r="I322" s="153">
        <v>454170403</v>
      </c>
      <c r="J322" s="153">
        <f t="shared" si="133"/>
        <v>2009126640.04</v>
      </c>
      <c r="K322" s="153">
        <v>18058128.640000001</v>
      </c>
      <c r="L322" s="153">
        <v>48225018.640000001</v>
      </c>
      <c r="M322" s="153">
        <f t="shared" si="134"/>
        <v>405945384.36000001</v>
      </c>
      <c r="N322" s="153">
        <v>500954991.03999996</v>
      </c>
      <c r="O322" s="153">
        <f t="shared" si="135"/>
        <v>46784588.039999962</v>
      </c>
      <c r="P322" s="153">
        <f t="shared" si="136"/>
        <v>1962342052</v>
      </c>
      <c r="Q322" s="153">
        <f t="shared" si="137"/>
        <v>48225018.640000001</v>
      </c>
      <c r="V322" s="149">
        <v>1962342052</v>
      </c>
      <c r="X322" s="167"/>
      <c r="Y322" s="168"/>
    </row>
    <row r="323" spans="1:25" s="100" customFormat="1" ht="30" x14ac:dyDescent="0.25">
      <c r="A323" s="160">
        <v>2341</v>
      </c>
      <c r="B323" s="161" t="s">
        <v>155</v>
      </c>
      <c r="C323" s="162">
        <f t="shared" ref="C323:E323" si="153">+C324+C325+C326+C327+C328+C329+C330+C331</f>
        <v>753995798</v>
      </c>
      <c r="D323" s="162">
        <f t="shared" si="153"/>
        <v>0</v>
      </c>
      <c r="E323" s="162">
        <f t="shared" si="153"/>
        <v>0</v>
      </c>
      <c r="F323" s="162">
        <f>+F324+F325+F326+F327+F328+F329+F330+F331</f>
        <v>343492005.03999996</v>
      </c>
      <c r="G323" s="162">
        <f t="shared" ref="G323" si="154">+G324+G325+G326+G327+G328+G329+G330+G331</f>
        <v>1097487803.04</v>
      </c>
      <c r="H323" s="162">
        <v>72632860</v>
      </c>
      <c r="I323" s="162">
        <v>173566099</v>
      </c>
      <c r="J323" s="162">
        <f t="shared" si="133"/>
        <v>923921704.03999996</v>
      </c>
      <c r="K323" s="162">
        <v>18058128.640000001</v>
      </c>
      <c r="L323" s="162">
        <v>48225018.640000001</v>
      </c>
      <c r="M323" s="162">
        <f t="shared" si="134"/>
        <v>125341080.36</v>
      </c>
      <c r="N323" s="162">
        <v>219487244.03999999</v>
      </c>
      <c r="O323" s="162">
        <f t="shared" si="135"/>
        <v>45921145.039999992</v>
      </c>
      <c r="P323" s="162">
        <f t="shared" si="136"/>
        <v>878000559</v>
      </c>
      <c r="Q323" s="162">
        <f t="shared" si="137"/>
        <v>48225018.640000001</v>
      </c>
      <c r="V323" s="149">
        <v>559511594</v>
      </c>
      <c r="X323" s="167"/>
      <c r="Y323" s="168"/>
    </row>
    <row r="324" spans="1:25" s="100" customFormat="1" x14ac:dyDescent="0.25">
      <c r="A324" s="163">
        <v>23411</v>
      </c>
      <c r="B324" s="164" t="s">
        <v>629</v>
      </c>
      <c r="C324" s="165">
        <v>15000000</v>
      </c>
      <c r="D324" s="165">
        <v>0</v>
      </c>
      <c r="E324" s="165">
        <v>0</v>
      </c>
      <c r="F324" s="165">
        <v>0</v>
      </c>
      <c r="G324" s="165">
        <f t="shared" si="139"/>
        <v>15000000</v>
      </c>
      <c r="H324" s="165">
        <v>0</v>
      </c>
      <c r="I324" s="165">
        <v>0</v>
      </c>
      <c r="J324" s="165">
        <f t="shared" si="133"/>
        <v>15000000</v>
      </c>
      <c r="K324" s="165">
        <v>0</v>
      </c>
      <c r="L324" s="165">
        <v>0</v>
      </c>
      <c r="M324" s="165">
        <f t="shared" si="134"/>
        <v>0</v>
      </c>
      <c r="N324" s="165">
        <v>0</v>
      </c>
      <c r="O324" s="165">
        <f t="shared" si="135"/>
        <v>0</v>
      </c>
      <c r="P324" s="165">
        <f t="shared" si="136"/>
        <v>15000000</v>
      </c>
      <c r="Q324" s="165">
        <f t="shared" si="137"/>
        <v>0</v>
      </c>
      <c r="V324" s="149">
        <v>15000000</v>
      </c>
      <c r="X324" s="167"/>
      <c r="Y324" s="168"/>
    </row>
    <row r="325" spans="1:25" s="100" customFormat="1" x14ac:dyDescent="0.25">
      <c r="A325" s="163">
        <v>23412</v>
      </c>
      <c r="B325" s="164" t="s">
        <v>630</v>
      </c>
      <c r="C325" s="165">
        <v>180000000</v>
      </c>
      <c r="D325" s="165">
        <v>0</v>
      </c>
      <c r="E325" s="165">
        <v>0</v>
      </c>
      <c r="F325" s="165">
        <v>0</v>
      </c>
      <c r="G325" s="165">
        <f t="shared" si="139"/>
        <v>180000000</v>
      </c>
      <c r="H325" s="165">
        <v>65433360</v>
      </c>
      <c r="I325" s="165">
        <v>149782395</v>
      </c>
      <c r="J325" s="165">
        <f t="shared" si="133"/>
        <v>30217605</v>
      </c>
      <c r="K325" s="165">
        <v>15958128.640000001</v>
      </c>
      <c r="L325" s="165">
        <v>45351518.640000001</v>
      </c>
      <c r="M325" s="165">
        <f t="shared" si="134"/>
        <v>104430876.36</v>
      </c>
      <c r="N325" s="165">
        <v>180000000</v>
      </c>
      <c r="O325" s="165">
        <f t="shared" si="135"/>
        <v>30217605</v>
      </c>
      <c r="P325" s="165">
        <f t="shared" si="136"/>
        <v>0</v>
      </c>
      <c r="Q325" s="165">
        <f t="shared" si="137"/>
        <v>45351518.640000001</v>
      </c>
      <c r="V325" s="149">
        <v>0</v>
      </c>
      <c r="X325" s="167"/>
      <c r="Y325" s="168"/>
    </row>
    <row r="326" spans="1:25" x14ac:dyDescent="0.25">
      <c r="A326" s="163">
        <v>23413</v>
      </c>
      <c r="B326" s="164" t="s">
        <v>631</v>
      </c>
      <c r="C326" s="165">
        <v>533995798</v>
      </c>
      <c r="D326" s="165">
        <v>0</v>
      </c>
      <c r="E326" s="165">
        <v>0</v>
      </c>
      <c r="F326" s="165">
        <v>0</v>
      </c>
      <c r="G326" s="165">
        <f t="shared" si="139"/>
        <v>533995798</v>
      </c>
      <c r="H326" s="165">
        <v>0</v>
      </c>
      <c r="I326" s="165">
        <v>0</v>
      </c>
      <c r="J326" s="165">
        <f t="shared" si="133"/>
        <v>533995798</v>
      </c>
      <c r="K326" s="165">
        <v>0</v>
      </c>
      <c r="L326" s="165">
        <v>0</v>
      </c>
      <c r="M326" s="165">
        <f t="shared" si="134"/>
        <v>0</v>
      </c>
      <c r="N326" s="165">
        <v>0</v>
      </c>
      <c r="O326" s="165">
        <f t="shared" si="135"/>
        <v>0</v>
      </c>
      <c r="P326" s="165">
        <f t="shared" si="136"/>
        <v>533995798</v>
      </c>
      <c r="Q326" s="165">
        <f t="shared" si="137"/>
        <v>0</v>
      </c>
      <c r="V326" s="149">
        <v>533995798</v>
      </c>
      <c r="X326" s="167"/>
      <c r="Y326" s="168"/>
    </row>
    <row r="327" spans="1:25" x14ac:dyDescent="0.25">
      <c r="A327" s="163">
        <v>23415</v>
      </c>
      <c r="B327" s="164" t="s">
        <v>632</v>
      </c>
      <c r="C327" s="165">
        <v>25000000</v>
      </c>
      <c r="D327" s="165">
        <v>0</v>
      </c>
      <c r="E327" s="165">
        <v>0</v>
      </c>
      <c r="F327" s="165">
        <v>0</v>
      </c>
      <c r="G327" s="165">
        <f t="shared" si="139"/>
        <v>25000000</v>
      </c>
      <c r="H327" s="165">
        <v>0</v>
      </c>
      <c r="I327" s="165">
        <v>14484204</v>
      </c>
      <c r="J327" s="165">
        <f t="shared" ref="J327:J390" si="155">+G327-I327</f>
        <v>10515796</v>
      </c>
      <c r="K327" s="165">
        <v>0</v>
      </c>
      <c r="L327" s="165">
        <v>773500</v>
      </c>
      <c r="M327" s="165">
        <f t="shared" ref="M327:M390" si="156">+I327-L327</f>
        <v>13710704</v>
      </c>
      <c r="N327" s="165">
        <v>14484204</v>
      </c>
      <c r="O327" s="165">
        <f t="shared" ref="O327:O390" si="157">+N327-I327</f>
        <v>0</v>
      </c>
      <c r="P327" s="165">
        <f t="shared" ref="P327:P390" si="158">+G327-N327</f>
        <v>10515796</v>
      </c>
      <c r="Q327" s="165">
        <f t="shared" ref="Q327:Q390" si="159">+L327</f>
        <v>773500</v>
      </c>
      <c r="V327" s="149">
        <v>10515796</v>
      </c>
      <c r="X327" s="167"/>
      <c r="Y327" s="168"/>
    </row>
    <row r="328" spans="1:25" ht="30" x14ac:dyDescent="0.25">
      <c r="A328" s="163">
        <v>23416</v>
      </c>
      <c r="B328" s="164" t="s">
        <v>897</v>
      </c>
      <c r="C328" s="165"/>
      <c r="D328" s="165"/>
      <c r="E328" s="165"/>
      <c r="F328" s="165">
        <v>25003040.039999999</v>
      </c>
      <c r="G328" s="165">
        <f t="shared" si="139"/>
        <v>25003040.039999999</v>
      </c>
      <c r="H328" s="165">
        <v>7199500</v>
      </c>
      <c r="I328" s="165">
        <v>9299500</v>
      </c>
      <c r="J328" s="165">
        <f t="shared" si="155"/>
        <v>15703540.039999999</v>
      </c>
      <c r="K328" s="165">
        <v>2100000</v>
      </c>
      <c r="L328" s="165">
        <v>2100000</v>
      </c>
      <c r="M328" s="165">
        <f t="shared" si="156"/>
        <v>7199500</v>
      </c>
      <c r="N328" s="165">
        <v>25003040.039999999</v>
      </c>
      <c r="O328" s="165">
        <f t="shared" si="157"/>
        <v>15703540.039999999</v>
      </c>
      <c r="P328" s="165">
        <f t="shared" si="158"/>
        <v>0</v>
      </c>
      <c r="Q328" s="165">
        <f t="shared" si="159"/>
        <v>2100000</v>
      </c>
      <c r="V328" s="149">
        <v>0</v>
      </c>
      <c r="X328" s="167"/>
      <c r="Y328" s="168"/>
    </row>
    <row r="329" spans="1:25" x14ac:dyDescent="0.25">
      <c r="A329" s="163">
        <v>23417</v>
      </c>
      <c r="B329" s="164" t="s">
        <v>898</v>
      </c>
      <c r="C329" s="165"/>
      <c r="D329" s="165"/>
      <c r="E329" s="165"/>
      <c r="F329" s="165">
        <v>165542747</v>
      </c>
      <c r="G329" s="165">
        <f t="shared" si="139"/>
        <v>165542747</v>
      </c>
      <c r="H329" s="165">
        <v>165542747</v>
      </c>
      <c r="I329" s="165">
        <v>165542747</v>
      </c>
      <c r="J329" s="165">
        <f t="shared" si="155"/>
        <v>0</v>
      </c>
      <c r="K329" s="165">
        <v>0</v>
      </c>
      <c r="L329" s="165">
        <v>0</v>
      </c>
      <c r="M329" s="165">
        <f t="shared" si="156"/>
        <v>165542747</v>
      </c>
      <c r="N329" s="165">
        <v>165542747</v>
      </c>
      <c r="O329" s="165">
        <f t="shared" si="157"/>
        <v>0</v>
      </c>
      <c r="P329" s="165">
        <f t="shared" si="158"/>
        <v>0</v>
      </c>
      <c r="Q329" s="165">
        <f t="shared" si="159"/>
        <v>0</v>
      </c>
      <c r="V329" s="149">
        <v>0</v>
      </c>
      <c r="X329" s="167"/>
      <c r="Y329" s="168"/>
    </row>
    <row r="330" spans="1:25" x14ac:dyDescent="0.25">
      <c r="A330" s="163">
        <v>23418</v>
      </c>
      <c r="B330" s="164" t="s">
        <v>899</v>
      </c>
      <c r="C330" s="165"/>
      <c r="D330" s="165"/>
      <c r="E330" s="165"/>
      <c r="F330" s="165">
        <v>110000000</v>
      </c>
      <c r="G330" s="165">
        <f t="shared" si="139"/>
        <v>110000000</v>
      </c>
      <c r="H330" s="165">
        <v>0</v>
      </c>
      <c r="I330" s="165">
        <v>110000000</v>
      </c>
      <c r="J330" s="165">
        <f t="shared" si="155"/>
        <v>0</v>
      </c>
      <c r="K330" s="165">
        <v>0</v>
      </c>
      <c r="L330" s="165">
        <v>0</v>
      </c>
      <c r="M330" s="165">
        <f t="shared" si="156"/>
        <v>110000000</v>
      </c>
      <c r="N330" s="165">
        <v>110000000</v>
      </c>
      <c r="O330" s="165">
        <f t="shared" si="157"/>
        <v>0</v>
      </c>
      <c r="P330" s="165">
        <f t="shared" si="158"/>
        <v>0</v>
      </c>
      <c r="Q330" s="165">
        <f t="shared" si="159"/>
        <v>0</v>
      </c>
      <c r="V330" s="149">
        <v>0</v>
      </c>
      <c r="X330" s="167"/>
      <c r="Y330" s="168"/>
    </row>
    <row r="331" spans="1:25" x14ac:dyDescent="0.25">
      <c r="A331" s="163">
        <v>23419</v>
      </c>
      <c r="B331" s="164" t="s">
        <v>900</v>
      </c>
      <c r="C331" s="165"/>
      <c r="D331" s="165"/>
      <c r="E331" s="165"/>
      <c r="F331" s="165">
        <v>42946218</v>
      </c>
      <c r="G331" s="165">
        <f t="shared" si="139"/>
        <v>42946218</v>
      </c>
      <c r="H331" s="165">
        <v>5061557</v>
      </c>
      <c r="I331" s="165">
        <v>5061557</v>
      </c>
      <c r="J331" s="165">
        <f t="shared" si="155"/>
        <v>37884661</v>
      </c>
      <c r="K331" s="165">
        <v>0</v>
      </c>
      <c r="L331" s="165">
        <v>0</v>
      </c>
      <c r="M331" s="165">
        <f t="shared" si="156"/>
        <v>5061557</v>
      </c>
      <c r="N331" s="165">
        <v>5925000</v>
      </c>
      <c r="O331" s="165">
        <f t="shared" si="157"/>
        <v>863443</v>
      </c>
      <c r="P331" s="165">
        <f t="shared" si="158"/>
        <v>37021218</v>
      </c>
      <c r="Q331" s="165">
        <f t="shared" si="159"/>
        <v>0</v>
      </c>
      <c r="V331" s="149">
        <v>37021218</v>
      </c>
      <c r="X331" s="167"/>
      <c r="Y331" s="168"/>
    </row>
    <row r="332" spans="1:25" x14ac:dyDescent="0.25">
      <c r="A332" s="151">
        <v>2344</v>
      </c>
      <c r="B332" s="152" t="s">
        <v>156</v>
      </c>
      <c r="C332" s="153">
        <f>+C333</f>
        <v>1365809240</v>
      </c>
      <c r="D332" s="153">
        <f t="shared" ref="D332:G332" si="160">+D333</f>
        <v>0</v>
      </c>
      <c r="E332" s="153">
        <f t="shared" si="160"/>
        <v>0</v>
      </c>
      <c r="F332" s="153">
        <f t="shared" si="160"/>
        <v>0</v>
      </c>
      <c r="G332" s="153">
        <f t="shared" si="160"/>
        <v>1365809240</v>
      </c>
      <c r="H332" s="153">
        <v>0</v>
      </c>
      <c r="I332" s="153">
        <v>0</v>
      </c>
      <c r="J332" s="153">
        <f t="shared" si="155"/>
        <v>1365809240</v>
      </c>
      <c r="K332" s="153">
        <v>0</v>
      </c>
      <c r="L332" s="153">
        <v>0</v>
      </c>
      <c r="M332" s="153">
        <f t="shared" si="156"/>
        <v>0</v>
      </c>
      <c r="N332" s="153">
        <v>0</v>
      </c>
      <c r="O332" s="153">
        <f t="shared" si="157"/>
        <v>0</v>
      </c>
      <c r="P332" s="153">
        <f t="shared" si="158"/>
        <v>1365809240</v>
      </c>
      <c r="Q332" s="153">
        <f t="shared" si="159"/>
        <v>0</v>
      </c>
      <c r="V332" s="149">
        <v>1365809240</v>
      </c>
      <c r="X332" s="167"/>
      <c r="Y332" s="168"/>
    </row>
    <row r="333" spans="1:25" ht="30" x14ac:dyDescent="0.25">
      <c r="A333" s="160">
        <v>23442</v>
      </c>
      <c r="B333" s="161" t="s">
        <v>157</v>
      </c>
      <c r="C333" s="162">
        <v>1365809240</v>
      </c>
      <c r="D333" s="162"/>
      <c r="E333" s="162"/>
      <c r="F333" s="162"/>
      <c r="G333" s="162">
        <v>1365809240</v>
      </c>
      <c r="H333" s="162">
        <v>0</v>
      </c>
      <c r="I333" s="162">
        <v>0</v>
      </c>
      <c r="J333" s="162">
        <f t="shared" si="155"/>
        <v>1365809240</v>
      </c>
      <c r="K333" s="162">
        <v>0</v>
      </c>
      <c r="L333" s="162">
        <v>0</v>
      </c>
      <c r="M333" s="162">
        <f t="shared" si="156"/>
        <v>0</v>
      </c>
      <c r="N333" s="162">
        <v>0</v>
      </c>
      <c r="O333" s="162">
        <f t="shared" si="157"/>
        <v>0</v>
      </c>
      <c r="P333" s="162">
        <f t="shared" si="158"/>
        <v>1365809240</v>
      </c>
      <c r="Q333" s="162">
        <f t="shared" si="159"/>
        <v>0</v>
      </c>
      <c r="V333" s="149">
        <v>1365809240</v>
      </c>
      <c r="X333" s="167"/>
      <c r="Y333" s="168"/>
    </row>
    <row r="334" spans="1:25" x14ac:dyDescent="0.25">
      <c r="A334" s="151">
        <v>235</v>
      </c>
      <c r="B334" s="152" t="s">
        <v>158</v>
      </c>
      <c r="C334" s="153">
        <f>+C335+C347+C364+C376+C384+C386+C387+C388+C389+C390+C391+C392+C393+C394+C395+C396+C397+C398+C399+C400+C401+C402+C403+C404+C405+C406+C407+C408+C352</f>
        <v>0</v>
      </c>
      <c r="D334" s="153">
        <f>+D335+D347+D364+D376+D384+D386+D387+D388+D389+D390+D391+D392+D393+D394+D395+D396+D397+D398+D399+D400+D401+D402+D403+D404+D405+D406+D407+D408+D352</f>
        <v>5597351420</v>
      </c>
      <c r="E334" s="153">
        <f>+E335+E347+E364+E376+E384+E386+E387+E388+E389+E390+E391+E392+E393+E394+E395+E396+E397+E398+E399+E400+E401+E402+E403+E404+E405+E406+E407+E408+E352</f>
        <v>5597351420</v>
      </c>
      <c r="F334" s="153">
        <f>+F335+F347+F364+F376+F384+F386+F387+F388+F389+F390+F391+F392+F393+F394+F395+F396+F397+F398+F399+F400+F401+F402+F403+F404+F405+F406+F407+F408+F352</f>
        <v>12971246597.469999</v>
      </c>
      <c r="G334" s="153">
        <f>+G335+G347+G364+G376+G384+G386+G387+G388+G389+G390+G391+G392+G393+G394+G395+G396+G397+G398+G399+G400+G401+G402+G403+G404+G405+G406+G407+G408+G352</f>
        <v>12971246597.470001</v>
      </c>
      <c r="H334" s="153">
        <v>455455750.20999998</v>
      </c>
      <c r="I334" s="153">
        <v>2548242478.1500001</v>
      </c>
      <c r="J334" s="153">
        <f t="shared" si="155"/>
        <v>10423004119.320002</v>
      </c>
      <c r="K334" s="153">
        <v>718162014.94000006</v>
      </c>
      <c r="L334" s="153">
        <v>1295642771.74</v>
      </c>
      <c r="M334" s="153">
        <f t="shared" si="156"/>
        <v>1252599706.4100001</v>
      </c>
      <c r="N334" s="153">
        <v>3736845924.5999999</v>
      </c>
      <c r="O334" s="153">
        <f t="shared" si="157"/>
        <v>1188603446.4499998</v>
      </c>
      <c r="P334" s="153">
        <f t="shared" si="158"/>
        <v>9234400672.8700008</v>
      </c>
      <c r="Q334" s="153">
        <f t="shared" si="159"/>
        <v>1295642771.74</v>
      </c>
      <c r="V334" s="149">
        <v>7019372583.869997</v>
      </c>
      <c r="X334" s="167"/>
      <c r="Y334" s="168"/>
    </row>
    <row r="335" spans="1:25" x14ac:dyDescent="0.25">
      <c r="A335" s="160">
        <v>23501</v>
      </c>
      <c r="B335" s="161" t="s">
        <v>830</v>
      </c>
      <c r="C335" s="162">
        <f t="shared" ref="C335" si="161">SUM(C336:C346)</f>
        <v>0</v>
      </c>
      <c r="D335" s="162">
        <f>SUM(D336:D346)</f>
        <v>730629974</v>
      </c>
      <c r="E335" s="162">
        <f t="shared" ref="E335:N335" si="162">SUM(E336:E346)</f>
        <v>730629974</v>
      </c>
      <c r="F335" s="162">
        <f t="shared" si="162"/>
        <v>1441367799</v>
      </c>
      <c r="G335" s="162">
        <f t="shared" si="162"/>
        <v>1441367799</v>
      </c>
      <c r="H335" s="162">
        <f t="shared" si="162"/>
        <v>143115933</v>
      </c>
      <c r="I335" s="162">
        <f t="shared" si="162"/>
        <v>309371224</v>
      </c>
      <c r="J335" s="162">
        <f t="shared" si="155"/>
        <v>1131996575</v>
      </c>
      <c r="K335" s="162">
        <f t="shared" si="162"/>
        <v>70357693</v>
      </c>
      <c r="L335" s="162">
        <f t="shared" si="162"/>
        <v>114192767</v>
      </c>
      <c r="M335" s="162">
        <f t="shared" si="156"/>
        <v>195178457</v>
      </c>
      <c r="N335" s="162">
        <f t="shared" si="162"/>
        <v>950721198</v>
      </c>
      <c r="O335" s="162">
        <f t="shared" si="157"/>
        <v>641349974</v>
      </c>
      <c r="P335" s="162">
        <f t="shared" si="158"/>
        <v>490646601</v>
      </c>
      <c r="Q335" s="162">
        <f t="shared" si="159"/>
        <v>114192767</v>
      </c>
      <c r="V335" s="149">
        <v>490646601</v>
      </c>
      <c r="X335" s="167"/>
      <c r="Y335" s="168"/>
    </row>
    <row r="336" spans="1:25" x14ac:dyDescent="0.25">
      <c r="A336" s="163">
        <v>2350101</v>
      </c>
      <c r="B336" s="164" t="s">
        <v>160</v>
      </c>
      <c r="C336" s="165">
        <v>0</v>
      </c>
      <c r="D336" s="165">
        <v>0</v>
      </c>
      <c r="E336" s="165">
        <v>237229972</v>
      </c>
      <c r="F336" s="165">
        <v>237229972</v>
      </c>
      <c r="G336" s="165">
        <f t="shared" si="139"/>
        <v>0</v>
      </c>
      <c r="H336" s="165">
        <v>0</v>
      </c>
      <c r="I336" s="165">
        <v>0</v>
      </c>
      <c r="J336" s="165">
        <f t="shared" si="155"/>
        <v>0</v>
      </c>
      <c r="K336" s="165">
        <v>0</v>
      </c>
      <c r="L336" s="165">
        <v>0</v>
      </c>
      <c r="M336" s="165">
        <f t="shared" si="156"/>
        <v>0</v>
      </c>
      <c r="N336" s="165">
        <v>0</v>
      </c>
      <c r="O336" s="165">
        <f t="shared" si="157"/>
        <v>0</v>
      </c>
      <c r="P336" s="165">
        <f t="shared" si="158"/>
        <v>0</v>
      </c>
      <c r="Q336" s="165">
        <f t="shared" si="159"/>
        <v>0</v>
      </c>
      <c r="V336" s="149">
        <v>0</v>
      </c>
      <c r="X336" s="167"/>
      <c r="Y336" s="168"/>
    </row>
    <row r="337" spans="1:25" s="100" customFormat="1" x14ac:dyDescent="0.25">
      <c r="A337" s="163">
        <v>2350102</v>
      </c>
      <c r="B337" s="164" t="s">
        <v>161</v>
      </c>
      <c r="C337" s="165">
        <v>0</v>
      </c>
      <c r="D337" s="165">
        <v>0</v>
      </c>
      <c r="E337" s="165">
        <v>0</v>
      </c>
      <c r="F337" s="165">
        <v>47959207</v>
      </c>
      <c r="G337" s="165">
        <f t="shared" si="139"/>
        <v>47959207</v>
      </c>
      <c r="H337" s="165">
        <v>4124133</v>
      </c>
      <c r="I337" s="165">
        <v>47959207</v>
      </c>
      <c r="J337" s="165">
        <f t="shared" si="155"/>
        <v>0</v>
      </c>
      <c r="K337" s="165">
        <v>4124133</v>
      </c>
      <c r="L337" s="165">
        <v>47959207</v>
      </c>
      <c r="M337" s="165">
        <f t="shared" si="156"/>
        <v>0</v>
      </c>
      <c r="N337" s="165">
        <v>47959207</v>
      </c>
      <c r="O337" s="165">
        <f t="shared" si="157"/>
        <v>0</v>
      </c>
      <c r="P337" s="165">
        <f t="shared" si="158"/>
        <v>0</v>
      </c>
      <c r="Q337" s="165">
        <f t="shared" si="159"/>
        <v>47959207</v>
      </c>
      <c r="R337" s="84"/>
      <c r="S337" s="84"/>
      <c r="T337" s="84"/>
      <c r="U337" s="84"/>
      <c r="V337" s="149">
        <v>0</v>
      </c>
      <c r="X337" s="167"/>
      <c r="Y337" s="168"/>
    </row>
    <row r="338" spans="1:25" x14ac:dyDescent="0.25">
      <c r="A338" s="163">
        <v>2350103</v>
      </c>
      <c r="B338" s="164" t="s">
        <v>162</v>
      </c>
      <c r="C338" s="165">
        <v>0</v>
      </c>
      <c r="D338" s="165">
        <v>0</v>
      </c>
      <c r="E338" s="165">
        <v>0</v>
      </c>
      <c r="F338" s="165">
        <v>47959208</v>
      </c>
      <c r="G338" s="165">
        <f t="shared" si="139"/>
        <v>47959208</v>
      </c>
      <c r="H338" s="165">
        <v>20491800</v>
      </c>
      <c r="I338" s="165">
        <v>20491800</v>
      </c>
      <c r="J338" s="165">
        <f t="shared" si="155"/>
        <v>27467408</v>
      </c>
      <c r="K338" s="165">
        <v>20491800</v>
      </c>
      <c r="L338" s="165">
        <v>20491800</v>
      </c>
      <c r="M338" s="165">
        <f t="shared" si="156"/>
        <v>0</v>
      </c>
      <c r="N338" s="165">
        <v>20491800</v>
      </c>
      <c r="O338" s="165">
        <f t="shared" si="157"/>
        <v>0</v>
      </c>
      <c r="P338" s="165">
        <f t="shared" si="158"/>
        <v>27467408</v>
      </c>
      <c r="Q338" s="165">
        <f t="shared" si="159"/>
        <v>20491800</v>
      </c>
      <c r="V338" s="149">
        <v>27467408</v>
      </c>
      <c r="X338" s="167"/>
      <c r="Y338" s="168"/>
    </row>
    <row r="339" spans="1:25" x14ac:dyDescent="0.25">
      <c r="A339" s="163">
        <v>2350104</v>
      </c>
      <c r="B339" s="164" t="s">
        <v>163</v>
      </c>
      <c r="C339" s="165">
        <v>0</v>
      </c>
      <c r="D339" s="165">
        <v>0</v>
      </c>
      <c r="E339" s="165">
        <v>0</v>
      </c>
      <c r="F339" s="165">
        <v>189144644</v>
      </c>
      <c r="G339" s="165">
        <f t="shared" si="139"/>
        <v>189144644</v>
      </c>
      <c r="H339" s="165">
        <v>0</v>
      </c>
      <c r="I339" s="165">
        <v>0</v>
      </c>
      <c r="J339" s="165">
        <f t="shared" si="155"/>
        <v>189144644</v>
      </c>
      <c r="K339" s="165">
        <v>0</v>
      </c>
      <c r="L339" s="165">
        <v>0</v>
      </c>
      <c r="M339" s="165">
        <f t="shared" si="156"/>
        <v>0</v>
      </c>
      <c r="N339" s="165">
        <v>0</v>
      </c>
      <c r="O339" s="165">
        <f t="shared" si="157"/>
        <v>0</v>
      </c>
      <c r="P339" s="165">
        <f t="shared" si="158"/>
        <v>189144644</v>
      </c>
      <c r="Q339" s="165">
        <f t="shared" si="159"/>
        <v>0</v>
      </c>
      <c r="R339" s="100"/>
      <c r="S339" s="100"/>
      <c r="T339" s="100"/>
      <c r="U339" s="100"/>
      <c r="V339" s="149">
        <v>189144644</v>
      </c>
      <c r="X339" s="167"/>
      <c r="Y339" s="168"/>
    </row>
    <row r="340" spans="1:25" x14ac:dyDescent="0.25">
      <c r="A340" s="163">
        <v>2350105</v>
      </c>
      <c r="B340" s="164" t="s">
        <v>164</v>
      </c>
      <c r="C340" s="165">
        <v>0</v>
      </c>
      <c r="D340" s="165">
        <v>0</v>
      </c>
      <c r="E340" s="165">
        <v>0</v>
      </c>
      <c r="F340" s="165">
        <v>135472173</v>
      </c>
      <c r="G340" s="165">
        <f t="shared" si="139"/>
        <v>135472173</v>
      </c>
      <c r="H340" s="165">
        <v>0</v>
      </c>
      <c r="I340" s="165">
        <v>34671822</v>
      </c>
      <c r="J340" s="165">
        <f t="shared" si="155"/>
        <v>100800351</v>
      </c>
      <c r="K340" s="165">
        <v>0</v>
      </c>
      <c r="L340" s="165">
        <v>0</v>
      </c>
      <c r="M340" s="165">
        <f t="shared" si="156"/>
        <v>34671822</v>
      </c>
      <c r="N340" s="165">
        <v>34671822</v>
      </c>
      <c r="O340" s="165">
        <f t="shared" si="157"/>
        <v>0</v>
      </c>
      <c r="P340" s="165">
        <f t="shared" si="158"/>
        <v>100800351</v>
      </c>
      <c r="Q340" s="165">
        <f t="shared" si="159"/>
        <v>0</v>
      </c>
      <c r="V340" s="149">
        <v>100800351</v>
      </c>
      <c r="X340" s="167"/>
      <c r="Y340" s="168"/>
    </row>
    <row r="341" spans="1:25" x14ac:dyDescent="0.25">
      <c r="A341" s="163">
        <v>2350106</v>
      </c>
      <c r="B341" s="164" t="s">
        <v>165</v>
      </c>
      <c r="C341" s="165">
        <v>0</v>
      </c>
      <c r="D341" s="165">
        <v>0</v>
      </c>
      <c r="E341" s="165"/>
      <c r="F341" s="165">
        <v>157808831</v>
      </c>
      <c r="G341" s="165">
        <f t="shared" si="139"/>
        <v>157808831</v>
      </c>
      <c r="H341" s="165">
        <v>0</v>
      </c>
      <c r="I341" s="165">
        <v>87748395</v>
      </c>
      <c r="J341" s="165">
        <f t="shared" si="155"/>
        <v>70060436</v>
      </c>
      <c r="K341" s="165">
        <v>0</v>
      </c>
      <c r="L341" s="165">
        <v>0</v>
      </c>
      <c r="M341" s="165">
        <f t="shared" si="156"/>
        <v>87748395</v>
      </c>
      <c r="N341" s="165">
        <v>116968395</v>
      </c>
      <c r="O341" s="165">
        <f t="shared" si="157"/>
        <v>29220000</v>
      </c>
      <c r="P341" s="165">
        <f t="shared" si="158"/>
        <v>40840436</v>
      </c>
      <c r="Q341" s="165">
        <f t="shared" si="159"/>
        <v>0</v>
      </c>
      <c r="V341" s="149">
        <v>40840436</v>
      </c>
      <c r="X341" s="167"/>
      <c r="Y341" s="168"/>
    </row>
    <row r="342" spans="1:25" s="100" customFormat="1" x14ac:dyDescent="0.25">
      <c r="A342" s="163">
        <v>2350107</v>
      </c>
      <c r="B342" s="164" t="s">
        <v>166</v>
      </c>
      <c r="C342" s="165">
        <v>0</v>
      </c>
      <c r="D342" s="165">
        <v>0</v>
      </c>
      <c r="E342" s="165">
        <v>0</v>
      </c>
      <c r="F342" s="165">
        <v>30000027</v>
      </c>
      <c r="G342" s="165">
        <f t="shared" si="139"/>
        <v>30000027</v>
      </c>
      <c r="H342" s="165">
        <v>0</v>
      </c>
      <c r="I342" s="165">
        <v>0</v>
      </c>
      <c r="J342" s="165">
        <f t="shared" si="155"/>
        <v>30000027</v>
      </c>
      <c r="K342" s="165">
        <v>0</v>
      </c>
      <c r="L342" s="165">
        <v>0</v>
      </c>
      <c r="M342" s="165">
        <f t="shared" si="156"/>
        <v>0</v>
      </c>
      <c r="N342" s="165">
        <v>0</v>
      </c>
      <c r="O342" s="165">
        <f t="shared" si="157"/>
        <v>0</v>
      </c>
      <c r="P342" s="165">
        <f t="shared" si="158"/>
        <v>30000027</v>
      </c>
      <c r="Q342" s="165">
        <f t="shared" si="159"/>
        <v>0</v>
      </c>
      <c r="R342" s="84"/>
      <c r="S342" s="84"/>
      <c r="T342" s="84"/>
      <c r="U342" s="84"/>
      <c r="V342" s="149">
        <v>30000027</v>
      </c>
      <c r="X342" s="167"/>
      <c r="Y342" s="168"/>
    </row>
    <row r="343" spans="1:25" x14ac:dyDescent="0.25">
      <c r="A343" s="163">
        <v>2350108</v>
      </c>
      <c r="B343" s="164" t="s">
        <v>167</v>
      </c>
      <c r="C343" s="165">
        <v>0</v>
      </c>
      <c r="D343" s="165">
        <v>0</v>
      </c>
      <c r="E343" s="165">
        <v>0</v>
      </c>
      <c r="F343" s="165">
        <v>102393735</v>
      </c>
      <c r="G343" s="165">
        <f t="shared" si="139"/>
        <v>102393735</v>
      </c>
      <c r="H343" s="165">
        <v>0</v>
      </c>
      <c r="I343" s="165">
        <v>0</v>
      </c>
      <c r="J343" s="165">
        <f t="shared" si="155"/>
        <v>102393735</v>
      </c>
      <c r="K343" s="165">
        <v>0</v>
      </c>
      <c r="L343" s="165">
        <v>0</v>
      </c>
      <c r="M343" s="165">
        <f t="shared" si="156"/>
        <v>0</v>
      </c>
      <c r="N343" s="165">
        <v>0</v>
      </c>
      <c r="O343" s="165">
        <f t="shared" si="157"/>
        <v>0</v>
      </c>
      <c r="P343" s="165">
        <f t="shared" si="158"/>
        <v>102393735</v>
      </c>
      <c r="Q343" s="165">
        <f t="shared" si="159"/>
        <v>0</v>
      </c>
      <c r="V343" s="149">
        <v>102393735</v>
      </c>
      <c r="X343" s="167"/>
      <c r="Y343" s="168"/>
    </row>
    <row r="344" spans="1:25" ht="30" x14ac:dyDescent="0.25">
      <c r="A344" s="163">
        <v>2350109</v>
      </c>
      <c r="B344" s="164" t="s">
        <v>168</v>
      </c>
      <c r="C344" s="165">
        <v>0</v>
      </c>
      <c r="D344" s="165">
        <v>0</v>
      </c>
      <c r="E344" s="165">
        <v>493400002</v>
      </c>
      <c r="F344" s="165">
        <v>493400002</v>
      </c>
      <c r="G344" s="165">
        <f t="shared" si="139"/>
        <v>0</v>
      </c>
      <c r="H344" s="165">
        <v>0</v>
      </c>
      <c r="I344" s="165">
        <v>0</v>
      </c>
      <c r="J344" s="165">
        <f t="shared" si="155"/>
        <v>0</v>
      </c>
      <c r="K344" s="165">
        <v>0</v>
      </c>
      <c r="L344" s="165">
        <v>0</v>
      </c>
      <c r="M344" s="165">
        <f t="shared" si="156"/>
        <v>0</v>
      </c>
      <c r="N344" s="165">
        <v>0</v>
      </c>
      <c r="O344" s="165">
        <f t="shared" si="157"/>
        <v>0</v>
      </c>
      <c r="P344" s="165">
        <f t="shared" si="158"/>
        <v>0</v>
      </c>
      <c r="Q344" s="165">
        <f t="shared" si="159"/>
        <v>0</v>
      </c>
      <c r="R344" s="100"/>
      <c r="S344" s="100"/>
      <c r="T344" s="100"/>
      <c r="U344" s="100"/>
      <c r="V344" s="149">
        <v>0</v>
      </c>
      <c r="X344" s="167"/>
      <c r="Y344" s="168"/>
    </row>
    <row r="345" spans="1:25" ht="30" x14ac:dyDescent="0.25">
      <c r="A345" s="163">
        <v>2350110</v>
      </c>
      <c r="B345" s="164" t="s">
        <v>901</v>
      </c>
      <c r="C345" s="165"/>
      <c r="D345" s="165">
        <v>237229972</v>
      </c>
      <c r="E345" s="165"/>
      <c r="F345" s="165"/>
      <c r="G345" s="165">
        <f t="shared" ref="G345:G346" si="163">+C345+D345-E345+F345</f>
        <v>237229972</v>
      </c>
      <c r="H345" s="165">
        <v>0</v>
      </c>
      <c r="I345" s="165">
        <v>0</v>
      </c>
      <c r="J345" s="165">
        <f t="shared" si="155"/>
        <v>237229972</v>
      </c>
      <c r="K345" s="165">
        <v>0</v>
      </c>
      <c r="L345" s="165">
        <v>0</v>
      </c>
      <c r="M345" s="165">
        <f t="shared" si="156"/>
        <v>0</v>
      </c>
      <c r="N345" s="165">
        <v>237229972</v>
      </c>
      <c r="O345" s="165">
        <f t="shared" si="157"/>
        <v>237229972</v>
      </c>
      <c r="P345" s="165">
        <f t="shared" si="158"/>
        <v>0</v>
      </c>
      <c r="Q345" s="165">
        <f t="shared" si="159"/>
        <v>0</v>
      </c>
      <c r="R345" s="100"/>
      <c r="S345" s="100"/>
      <c r="T345" s="100"/>
      <c r="V345" s="149">
        <v>0</v>
      </c>
      <c r="X345" s="167"/>
      <c r="Y345" s="168"/>
    </row>
    <row r="346" spans="1:25" ht="30" x14ac:dyDescent="0.25">
      <c r="A346" s="163">
        <v>2350111</v>
      </c>
      <c r="B346" s="164" t="s">
        <v>902</v>
      </c>
      <c r="C346" s="165"/>
      <c r="D346" s="165">
        <v>493400002</v>
      </c>
      <c r="E346" s="165"/>
      <c r="F346" s="165"/>
      <c r="G346" s="165">
        <f t="shared" si="163"/>
        <v>493400002</v>
      </c>
      <c r="H346" s="165">
        <v>118500000</v>
      </c>
      <c r="I346" s="165">
        <v>118500000</v>
      </c>
      <c r="J346" s="165">
        <f t="shared" si="155"/>
        <v>374900002</v>
      </c>
      <c r="K346" s="165">
        <v>45741760</v>
      </c>
      <c r="L346" s="165">
        <v>45741760</v>
      </c>
      <c r="M346" s="165">
        <f t="shared" si="156"/>
        <v>72758240</v>
      </c>
      <c r="N346" s="165">
        <v>493400002</v>
      </c>
      <c r="O346" s="165">
        <f t="shared" si="157"/>
        <v>374900002</v>
      </c>
      <c r="P346" s="165">
        <f t="shared" si="158"/>
        <v>0</v>
      </c>
      <c r="Q346" s="165">
        <f t="shared" si="159"/>
        <v>45741760</v>
      </c>
      <c r="R346" s="100"/>
      <c r="S346" s="100"/>
      <c r="T346" s="100"/>
      <c r="V346" s="149">
        <v>0</v>
      </c>
      <c r="X346" s="167"/>
      <c r="Y346" s="168"/>
    </row>
    <row r="347" spans="1:25" x14ac:dyDescent="0.25">
      <c r="A347" s="160">
        <v>23502</v>
      </c>
      <c r="B347" s="161" t="s">
        <v>173</v>
      </c>
      <c r="C347" s="162">
        <f>SUM(C348:C351)</f>
        <v>0</v>
      </c>
      <c r="D347" s="162">
        <f t="shared" ref="D347:G347" si="164">SUM(D348:D351)</f>
        <v>0</v>
      </c>
      <c r="E347" s="162">
        <f t="shared" si="164"/>
        <v>2684152425</v>
      </c>
      <c r="F347" s="162">
        <f t="shared" si="164"/>
        <v>4899180514</v>
      </c>
      <c r="G347" s="162">
        <f t="shared" si="164"/>
        <v>2215028089</v>
      </c>
      <c r="H347" s="162">
        <v>27500000</v>
      </c>
      <c r="I347" s="162">
        <v>27500000</v>
      </c>
      <c r="J347" s="162">
        <f t="shared" si="155"/>
        <v>2187528089</v>
      </c>
      <c r="K347" s="162">
        <v>0</v>
      </c>
      <c r="L347" s="162">
        <v>0</v>
      </c>
      <c r="M347" s="162">
        <f t="shared" si="156"/>
        <v>27500000</v>
      </c>
      <c r="N347" s="162">
        <v>27500000</v>
      </c>
      <c r="O347" s="162">
        <f t="shared" si="157"/>
        <v>0</v>
      </c>
      <c r="P347" s="162">
        <f t="shared" si="158"/>
        <v>2187528089</v>
      </c>
      <c r="Q347" s="162">
        <f t="shared" si="159"/>
        <v>0</v>
      </c>
      <c r="V347" s="149">
        <v>2187528089</v>
      </c>
    </row>
    <row r="348" spans="1:25" x14ac:dyDescent="0.25">
      <c r="A348" s="163">
        <v>2350201</v>
      </c>
      <c r="B348" s="164" t="s">
        <v>169</v>
      </c>
      <c r="C348" s="165">
        <v>0</v>
      </c>
      <c r="D348" s="165">
        <v>0</v>
      </c>
      <c r="E348" s="165">
        <v>0</v>
      </c>
      <c r="F348" s="165">
        <v>60001</v>
      </c>
      <c r="G348" s="165">
        <f t="shared" ref="G348:G408" si="165">+C348+D348-E348+F348</f>
        <v>60001</v>
      </c>
      <c r="H348" s="165">
        <v>0</v>
      </c>
      <c r="I348" s="165">
        <v>0</v>
      </c>
      <c r="J348" s="165">
        <f t="shared" si="155"/>
        <v>60001</v>
      </c>
      <c r="K348" s="165">
        <v>0</v>
      </c>
      <c r="L348" s="165">
        <v>0</v>
      </c>
      <c r="M348" s="165">
        <f t="shared" si="156"/>
        <v>0</v>
      </c>
      <c r="N348" s="165">
        <v>0</v>
      </c>
      <c r="O348" s="165">
        <f t="shared" si="157"/>
        <v>0</v>
      </c>
      <c r="P348" s="165">
        <f t="shared" si="158"/>
        <v>60001</v>
      </c>
      <c r="Q348" s="165">
        <f t="shared" si="159"/>
        <v>0</v>
      </c>
      <c r="V348" s="149">
        <v>60001</v>
      </c>
    </row>
    <row r="349" spans="1:25" x14ac:dyDescent="0.25">
      <c r="A349" s="163">
        <v>2350202</v>
      </c>
      <c r="B349" s="164" t="s">
        <v>170</v>
      </c>
      <c r="C349" s="165">
        <v>0</v>
      </c>
      <c r="D349" s="165">
        <v>0</v>
      </c>
      <c r="E349" s="165">
        <v>0</v>
      </c>
      <c r="F349" s="165">
        <v>1301315</v>
      </c>
      <c r="G349" s="165">
        <f t="shared" si="165"/>
        <v>1301315</v>
      </c>
      <c r="H349" s="165">
        <v>0</v>
      </c>
      <c r="I349" s="165">
        <v>0</v>
      </c>
      <c r="J349" s="165">
        <f t="shared" si="155"/>
        <v>1301315</v>
      </c>
      <c r="K349" s="165">
        <v>0</v>
      </c>
      <c r="L349" s="165">
        <v>0</v>
      </c>
      <c r="M349" s="165">
        <f t="shared" si="156"/>
        <v>0</v>
      </c>
      <c r="N349" s="165">
        <v>0</v>
      </c>
      <c r="O349" s="165">
        <f t="shared" si="157"/>
        <v>0</v>
      </c>
      <c r="P349" s="165">
        <f t="shared" si="158"/>
        <v>1301315</v>
      </c>
      <c r="Q349" s="165">
        <f t="shared" si="159"/>
        <v>0</v>
      </c>
      <c r="V349" s="149">
        <v>1301315</v>
      </c>
    </row>
    <row r="350" spans="1:25" ht="30" x14ac:dyDescent="0.25">
      <c r="A350" s="163">
        <v>2350203</v>
      </c>
      <c r="B350" s="164" t="s">
        <v>171</v>
      </c>
      <c r="C350" s="165">
        <v>0</v>
      </c>
      <c r="D350" s="165">
        <v>0</v>
      </c>
      <c r="E350" s="165">
        <v>2684152425</v>
      </c>
      <c r="F350" s="165">
        <v>2684152425</v>
      </c>
      <c r="G350" s="165">
        <f t="shared" si="165"/>
        <v>0</v>
      </c>
      <c r="H350" s="165">
        <v>0</v>
      </c>
      <c r="I350" s="165">
        <v>0</v>
      </c>
      <c r="J350" s="165">
        <f t="shared" si="155"/>
        <v>0</v>
      </c>
      <c r="K350" s="165">
        <v>0</v>
      </c>
      <c r="L350" s="165">
        <v>0</v>
      </c>
      <c r="M350" s="165">
        <f t="shared" si="156"/>
        <v>0</v>
      </c>
      <c r="N350" s="165">
        <v>0</v>
      </c>
      <c r="O350" s="165">
        <f t="shared" si="157"/>
        <v>0</v>
      </c>
      <c r="P350" s="165">
        <f t="shared" si="158"/>
        <v>0</v>
      </c>
      <c r="Q350" s="165">
        <f t="shared" si="159"/>
        <v>0</v>
      </c>
      <c r="V350" s="149">
        <v>0</v>
      </c>
    </row>
    <row r="351" spans="1:25" x14ac:dyDescent="0.25">
      <c r="A351" s="163">
        <v>2350204</v>
      </c>
      <c r="B351" s="164" t="s">
        <v>172</v>
      </c>
      <c r="C351" s="165">
        <v>0</v>
      </c>
      <c r="D351" s="165">
        <v>0</v>
      </c>
      <c r="E351" s="165">
        <v>0</v>
      </c>
      <c r="F351" s="165">
        <v>2213666773</v>
      </c>
      <c r="G351" s="165">
        <f t="shared" si="165"/>
        <v>2213666773</v>
      </c>
      <c r="H351" s="165">
        <v>27500000</v>
      </c>
      <c r="I351" s="165">
        <v>27500000</v>
      </c>
      <c r="J351" s="165">
        <f t="shared" si="155"/>
        <v>2186166773</v>
      </c>
      <c r="K351" s="165">
        <v>0</v>
      </c>
      <c r="L351" s="165">
        <v>0</v>
      </c>
      <c r="M351" s="165">
        <f t="shared" si="156"/>
        <v>27500000</v>
      </c>
      <c r="N351" s="165">
        <v>27500000</v>
      </c>
      <c r="O351" s="165">
        <f t="shared" si="157"/>
        <v>0</v>
      </c>
      <c r="P351" s="165">
        <f t="shared" si="158"/>
        <v>2186166773</v>
      </c>
      <c r="Q351" s="165">
        <f t="shared" si="159"/>
        <v>0</v>
      </c>
      <c r="V351" s="149">
        <v>2186166773</v>
      </c>
    </row>
    <row r="352" spans="1:25" x14ac:dyDescent="0.25">
      <c r="A352" s="160">
        <v>23503</v>
      </c>
      <c r="B352" s="161" t="s">
        <v>795</v>
      </c>
      <c r="C352" s="162">
        <f>SUM(C353:C363)</f>
        <v>0</v>
      </c>
      <c r="D352" s="162">
        <f t="shared" ref="D352:G352" si="166">SUM(D353:D363)</f>
        <v>0</v>
      </c>
      <c r="E352" s="162">
        <f t="shared" si="166"/>
        <v>2182569021</v>
      </c>
      <c r="F352" s="162">
        <f t="shared" si="166"/>
        <v>3325715838</v>
      </c>
      <c r="G352" s="162">
        <f t="shared" si="166"/>
        <v>1143146817</v>
      </c>
      <c r="H352" s="162">
        <v>19604744.5</v>
      </c>
      <c r="I352" s="162">
        <v>46214203.5</v>
      </c>
      <c r="J352" s="162">
        <f t="shared" si="155"/>
        <v>1096932613.5</v>
      </c>
      <c r="K352" s="162">
        <v>8044203.5</v>
      </c>
      <c r="L352" s="162">
        <v>22357352.5</v>
      </c>
      <c r="M352" s="162">
        <f t="shared" si="156"/>
        <v>23856851</v>
      </c>
      <c r="N352" s="162">
        <v>46990752.5</v>
      </c>
      <c r="O352" s="162">
        <f t="shared" si="157"/>
        <v>776549</v>
      </c>
      <c r="P352" s="162">
        <f t="shared" si="158"/>
        <v>1096156064.5</v>
      </c>
      <c r="Q352" s="162">
        <f t="shared" si="159"/>
        <v>22357352.5</v>
      </c>
      <c r="V352" s="149">
        <v>1096156064.5</v>
      </c>
    </row>
    <row r="353" spans="1:25" x14ac:dyDescent="0.25">
      <c r="A353" s="163">
        <v>2350301</v>
      </c>
      <c r="B353" s="164" t="s">
        <v>174</v>
      </c>
      <c r="C353" s="165">
        <v>0</v>
      </c>
      <c r="D353" s="165">
        <v>0</v>
      </c>
      <c r="E353" s="165">
        <v>0</v>
      </c>
      <c r="F353" s="165">
        <v>35022827</v>
      </c>
      <c r="G353" s="165">
        <f t="shared" si="165"/>
        <v>35022827</v>
      </c>
      <c r="H353" s="165">
        <v>14447193.5</v>
      </c>
      <c r="I353" s="165">
        <v>26447193.5</v>
      </c>
      <c r="J353" s="165">
        <f t="shared" si="155"/>
        <v>8575633.5</v>
      </c>
      <c r="K353" s="165">
        <v>2886652.5</v>
      </c>
      <c r="L353" s="165">
        <v>2886652.5</v>
      </c>
      <c r="M353" s="165">
        <f t="shared" si="156"/>
        <v>23560541</v>
      </c>
      <c r="N353" s="165">
        <v>27223742.5</v>
      </c>
      <c r="O353" s="165">
        <f t="shared" si="157"/>
        <v>776549</v>
      </c>
      <c r="P353" s="165">
        <f t="shared" si="158"/>
        <v>7799084.5</v>
      </c>
      <c r="Q353" s="165">
        <f t="shared" si="159"/>
        <v>2886652.5</v>
      </c>
      <c r="V353" s="149">
        <v>7799084.5</v>
      </c>
    </row>
    <row r="354" spans="1:25" s="100" customFormat="1" x14ac:dyDescent="0.25">
      <c r="A354" s="163">
        <v>2350302</v>
      </c>
      <c r="B354" s="164" t="s">
        <v>175</v>
      </c>
      <c r="C354" s="165">
        <v>0</v>
      </c>
      <c r="D354" s="165">
        <v>0</v>
      </c>
      <c r="E354" s="165">
        <v>0</v>
      </c>
      <c r="F354" s="165">
        <v>70423765</v>
      </c>
      <c r="G354" s="165">
        <f t="shared" si="165"/>
        <v>70423765</v>
      </c>
      <c r="H354" s="165">
        <v>0</v>
      </c>
      <c r="I354" s="165">
        <v>0</v>
      </c>
      <c r="J354" s="165">
        <f t="shared" si="155"/>
        <v>70423765</v>
      </c>
      <c r="K354" s="165">
        <v>0</v>
      </c>
      <c r="L354" s="165">
        <v>0</v>
      </c>
      <c r="M354" s="165">
        <f t="shared" si="156"/>
        <v>0</v>
      </c>
      <c r="N354" s="165">
        <v>0</v>
      </c>
      <c r="O354" s="165">
        <f t="shared" si="157"/>
        <v>0</v>
      </c>
      <c r="P354" s="165">
        <f t="shared" si="158"/>
        <v>70423765</v>
      </c>
      <c r="Q354" s="165">
        <f t="shared" si="159"/>
        <v>0</v>
      </c>
      <c r="R354" s="84"/>
      <c r="S354" s="84"/>
      <c r="T354" s="84"/>
      <c r="U354" s="84"/>
      <c r="V354" s="149">
        <v>70423765</v>
      </c>
      <c r="X354" s="84"/>
      <c r="Y354" s="84"/>
    </row>
    <row r="355" spans="1:25" ht="30" x14ac:dyDescent="0.25">
      <c r="A355" s="163">
        <v>2350303</v>
      </c>
      <c r="B355" s="164" t="s">
        <v>176</v>
      </c>
      <c r="C355" s="165">
        <v>0</v>
      </c>
      <c r="D355" s="165">
        <v>0</v>
      </c>
      <c r="E355" s="165">
        <v>0</v>
      </c>
      <c r="F355" s="165">
        <v>749700000</v>
      </c>
      <c r="G355" s="165">
        <f t="shared" si="165"/>
        <v>749700000</v>
      </c>
      <c r="H355" s="165">
        <v>0</v>
      </c>
      <c r="I355" s="165">
        <v>0</v>
      </c>
      <c r="J355" s="165">
        <f t="shared" si="155"/>
        <v>749700000</v>
      </c>
      <c r="K355" s="165">
        <v>0</v>
      </c>
      <c r="L355" s="165">
        <v>0</v>
      </c>
      <c r="M355" s="165">
        <f t="shared" si="156"/>
        <v>0</v>
      </c>
      <c r="N355" s="165">
        <v>0</v>
      </c>
      <c r="O355" s="165">
        <f t="shared" si="157"/>
        <v>0</v>
      </c>
      <c r="P355" s="165">
        <f t="shared" si="158"/>
        <v>749700000</v>
      </c>
      <c r="Q355" s="165">
        <f t="shared" si="159"/>
        <v>0</v>
      </c>
      <c r="V355" s="149">
        <v>749700000</v>
      </c>
    </row>
    <row r="356" spans="1:25" ht="30" x14ac:dyDescent="0.25">
      <c r="A356" s="163">
        <v>2350309</v>
      </c>
      <c r="B356" s="164" t="s">
        <v>177</v>
      </c>
      <c r="C356" s="165">
        <v>0</v>
      </c>
      <c r="D356" s="165">
        <v>0</v>
      </c>
      <c r="E356" s="165">
        <v>0</v>
      </c>
      <c r="F356" s="165">
        <v>31916686</v>
      </c>
      <c r="G356" s="165">
        <f t="shared" si="165"/>
        <v>31916686</v>
      </c>
      <c r="H356" s="165">
        <v>0</v>
      </c>
      <c r="I356" s="165">
        <v>0</v>
      </c>
      <c r="J356" s="165">
        <f t="shared" si="155"/>
        <v>31916686</v>
      </c>
      <c r="K356" s="165">
        <v>0</v>
      </c>
      <c r="L356" s="165">
        <v>0</v>
      </c>
      <c r="M356" s="165">
        <f t="shared" si="156"/>
        <v>0</v>
      </c>
      <c r="N356" s="165">
        <v>0</v>
      </c>
      <c r="O356" s="165">
        <f t="shared" si="157"/>
        <v>0</v>
      </c>
      <c r="P356" s="165">
        <f t="shared" si="158"/>
        <v>31916686</v>
      </c>
      <c r="Q356" s="165">
        <f t="shared" si="159"/>
        <v>0</v>
      </c>
      <c r="V356" s="149">
        <v>31916686</v>
      </c>
    </row>
    <row r="357" spans="1:25" x14ac:dyDescent="0.25">
      <c r="A357" s="163">
        <v>2350315</v>
      </c>
      <c r="B357" s="164" t="s">
        <v>178</v>
      </c>
      <c r="C357" s="165">
        <v>0</v>
      </c>
      <c r="D357" s="165">
        <v>0</v>
      </c>
      <c r="E357" s="165">
        <v>0</v>
      </c>
      <c r="F357" s="165">
        <v>2892728</v>
      </c>
      <c r="G357" s="165">
        <f t="shared" si="165"/>
        <v>2892728</v>
      </c>
      <c r="H357" s="165">
        <v>0</v>
      </c>
      <c r="I357" s="165">
        <v>296310</v>
      </c>
      <c r="J357" s="165">
        <f t="shared" si="155"/>
        <v>2596418</v>
      </c>
      <c r="K357" s="165">
        <v>0</v>
      </c>
      <c r="L357" s="165">
        <v>0</v>
      </c>
      <c r="M357" s="165">
        <f t="shared" si="156"/>
        <v>296310</v>
      </c>
      <c r="N357" s="165">
        <v>296310</v>
      </c>
      <c r="O357" s="165">
        <f t="shared" si="157"/>
        <v>0</v>
      </c>
      <c r="P357" s="165">
        <f t="shared" si="158"/>
        <v>2596418</v>
      </c>
      <c r="Q357" s="165">
        <f t="shared" si="159"/>
        <v>0</v>
      </c>
      <c r="U357" s="100"/>
      <c r="V357" s="149">
        <v>2596418</v>
      </c>
    </row>
    <row r="358" spans="1:25" ht="30" x14ac:dyDescent="0.25">
      <c r="A358" s="163">
        <v>2350321</v>
      </c>
      <c r="B358" s="164" t="s">
        <v>179</v>
      </c>
      <c r="C358" s="165">
        <v>0</v>
      </c>
      <c r="D358" s="165">
        <v>0</v>
      </c>
      <c r="E358" s="165">
        <v>0</v>
      </c>
      <c r="F358" s="165">
        <v>19873160</v>
      </c>
      <c r="G358" s="165">
        <f t="shared" si="165"/>
        <v>19873160</v>
      </c>
      <c r="H358" s="165">
        <v>0</v>
      </c>
      <c r="I358" s="165">
        <v>0</v>
      </c>
      <c r="J358" s="165">
        <f t="shared" si="155"/>
        <v>19873160</v>
      </c>
      <c r="K358" s="165">
        <v>0</v>
      </c>
      <c r="L358" s="165">
        <v>0</v>
      </c>
      <c r="M358" s="165">
        <f t="shared" si="156"/>
        <v>0</v>
      </c>
      <c r="N358" s="165">
        <v>0</v>
      </c>
      <c r="O358" s="165">
        <f t="shared" si="157"/>
        <v>0</v>
      </c>
      <c r="P358" s="165">
        <f t="shared" si="158"/>
        <v>19873160</v>
      </c>
      <c r="Q358" s="165">
        <f t="shared" si="159"/>
        <v>0</v>
      </c>
      <c r="R358" s="100"/>
      <c r="S358" s="100"/>
      <c r="T358" s="100"/>
      <c r="V358" s="149">
        <v>19873160</v>
      </c>
    </row>
    <row r="359" spans="1:25" ht="30" x14ac:dyDescent="0.25">
      <c r="A359" s="163">
        <v>2350324</v>
      </c>
      <c r="B359" s="164" t="s">
        <v>180</v>
      </c>
      <c r="C359" s="165">
        <v>0</v>
      </c>
      <c r="D359" s="165">
        <v>0</v>
      </c>
      <c r="E359" s="165">
        <v>0</v>
      </c>
      <c r="F359" s="165">
        <v>40398042</v>
      </c>
      <c r="G359" s="165">
        <f t="shared" si="165"/>
        <v>40398042</v>
      </c>
      <c r="H359" s="165">
        <v>0</v>
      </c>
      <c r="I359" s="165">
        <v>0</v>
      </c>
      <c r="J359" s="165">
        <f t="shared" si="155"/>
        <v>40398042</v>
      </c>
      <c r="K359" s="165">
        <v>0</v>
      </c>
      <c r="L359" s="165">
        <v>0</v>
      </c>
      <c r="M359" s="165">
        <f t="shared" si="156"/>
        <v>0</v>
      </c>
      <c r="N359" s="165">
        <v>0</v>
      </c>
      <c r="O359" s="165">
        <f t="shared" si="157"/>
        <v>0</v>
      </c>
      <c r="P359" s="165">
        <f t="shared" si="158"/>
        <v>40398042</v>
      </c>
      <c r="Q359" s="165">
        <f t="shared" si="159"/>
        <v>0</v>
      </c>
      <c r="V359" s="149">
        <v>40398042</v>
      </c>
    </row>
    <row r="360" spans="1:25" ht="30" x14ac:dyDescent="0.25">
      <c r="A360" s="163">
        <v>2350325</v>
      </c>
      <c r="B360" s="164" t="s">
        <v>181</v>
      </c>
      <c r="C360" s="165">
        <v>0</v>
      </c>
      <c r="D360" s="165">
        <v>0</v>
      </c>
      <c r="E360" s="165">
        <v>2182569021</v>
      </c>
      <c r="F360" s="165">
        <v>2182569021</v>
      </c>
      <c r="G360" s="165">
        <f t="shared" si="165"/>
        <v>0</v>
      </c>
      <c r="H360" s="165">
        <v>0</v>
      </c>
      <c r="I360" s="165">
        <v>0</v>
      </c>
      <c r="J360" s="165">
        <f t="shared" si="155"/>
        <v>0</v>
      </c>
      <c r="K360" s="165">
        <v>0</v>
      </c>
      <c r="L360" s="165">
        <v>0</v>
      </c>
      <c r="M360" s="165">
        <f t="shared" si="156"/>
        <v>0</v>
      </c>
      <c r="N360" s="165">
        <v>0</v>
      </c>
      <c r="O360" s="165">
        <f t="shared" si="157"/>
        <v>0</v>
      </c>
      <c r="P360" s="165">
        <f t="shared" si="158"/>
        <v>0</v>
      </c>
      <c r="Q360" s="165">
        <f t="shared" si="159"/>
        <v>0</v>
      </c>
      <c r="V360" s="149">
        <v>0</v>
      </c>
    </row>
    <row r="361" spans="1:25" x14ac:dyDescent="0.25">
      <c r="A361" s="163">
        <v>2350326</v>
      </c>
      <c r="B361" s="164" t="s">
        <v>182</v>
      </c>
      <c r="C361" s="165">
        <v>0</v>
      </c>
      <c r="D361" s="165">
        <v>0</v>
      </c>
      <c r="E361" s="165">
        <v>0</v>
      </c>
      <c r="F361" s="165">
        <v>19470700</v>
      </c>
      <c r="G361" s="165">
        <f t="shared" si="165"/>
        <v>19470700</v>
      </c>
      <c r="H361" s="165">
        <v>5157551</v>
      </c>
      <c r="I361" s="165">
        <v>19470700</v>
      </c>
      <c r="J361" s="165">
        <f t="shared" si="155"/>
        <v>0</v>
      </c>
      <c r="K361" s="165">
        <v>5157551</v>
      </c>
      <c r="L361" s="165">
        <v>19470700</v>
      </c>
      <c r="M361" s="165">
        <f t="shared" si="156"/>
        <v>0</v>
      </c>
      <c r="N361" s="165">
        <v>19470700</v>
      </c>
      <c r="O361" s="165">
        <f t="shared" si="157"/>
        <v>0</v>
      </c>
      <c r="P361" s="165">
        <f t="shared" si="158"/>
        <v>0</v>
      </c>
      <c r="Q361" s="165">
        <f t="shared" si="159"/>
        <v>19470700</v>
      </c>
      <c r="V361" s="149">
        <v>0</v>
      </c>
    </row>
    <row r="362" spans="1:25" ht="30" x14ac:dyDescent="0.25">
      <c r="A362" s="163">
        <v>2350328</v>
      </c>
      <c r="B362" s="164" t="s">
        <v>183</v>
      </c>
      <c r="C362" s="165">
        <v>0</v>
      </c>
      <c r="D362" s="165">
        <v>0</v>
      </c>
      <c r="E362" s="165">
        <v>0</v>
      </c>
      <c r="F362" s="165">
        <v>91883149</v>
      </c>
      <c r="G362" s="165">
        <f t="shared" si="165"/>
        <v>91883149</v>
      </c>
      <c r="H362" s="165">
        <v>0</v>
      </c>
      <c r="I362" s="165">
        <v>0</v>
      </c>
      <c r="J362" s="165">
        <f t="shared" si="155"/>
        <v>91883149</v>
      </c>
      <c r="K362" s="165">
        <v>0</v>
      </c>
      <c r="L362" s="165">
        <v>0</v>
      </c>
      <c r="M362" s="165">
        <f t="shared" si="156"/>
        <v>0</v>
      </c>
      <c r="N362" s="165">
        <v>0</v>
      </c>
      <c r="O362" s="165">
        <f t="shared" si="157"/>
        <v>0</v>
      </c>
      <c r="P362" s="165">
        <f t="shared" si="158"/>
        <v>91883149</v>
      </c>
      <c r="Q362" s="165">
        <f t="shared" si="159"/>
        <v>0</v>
      </c>
      <c r="V362" s="149">
        <v>91883149</v>
      </c>
    </row>
    <row r="363" spans="1:25" ht="30" x14ac:dyDescent="0.25">
      <c r="A363" s="163">
        <v>2350330</v>
      </c>
      <c r="B363" s="164" t="s">
        <v>184</v>
      </c>
      <c r="C363" s="165">
        <v>0</v>
      </c>
      <c r="D363" s="165">
        <v>0</v>
      </c>
      <c r="E363" s="165">
        <v>0</v>
      </c>
      <c r="F363" s="165">
        <v>81565760</v>
      </c>
      <c r="G363" s="165">
        <f t="shared" si="165"/>
        <v>81565760</v>
      </c>
      <c r="H363" s="165">
        <v>0</v>
      </c>
      <c r="I363" s="165">
        <v>0</v>
      </c>
      <c r="J363" s="165">
        <f t="shared" si="155"/>
        <v>81565760</v>
      </c>
      <c r="K363" s="165">
        <v>0</v>
      </c>
      <c r="L363" s="165">
        <v>0</v>
      </c>
      <c r="M363" s="165">
        <f t="shared" si="156"/>
        <v>0</v>
      </c>
      <c r="N363" s="165">
        <v>0</v>
      </c>
      <c r="O363" s="165">
        <f t="shared" si="157"/>
        <v>0</v>
      </c>
      <c r="P363" s="165">
        <f t="shared" si="158"/>
        <v>81565760</v>
      </c>
      <c r="Q363" s="165">
        <f t="shared" si="159"/>
        <v>0</v>
      </c>
      <c r="V363" s="149">
        <v>81565760</v>
      </c>
    </row>
    <row r="364" spans="1:25" x14ac:dyDescent="0.25">
      <c r="A364" s="160">
        <v>23504</v>
      </c>
      <c r="B364" s="161" t="s">
        <v>185</v>
      </c>
      <c r="C364" s="162">
        <f>SUM(C365:C375)</f>
        <v>0</v>
      </c>
      <c r="D364" s="162">
        <f t="shared" ref="D364:G364" si="167">SUM(D365:D375)</f>
        <v>0</v>
      </c>
      <c r="E364" s="162">
        <f t="shared" si="167"/>
        <v>0</v>
      </c>
      <c r="F364" s="162">
        <f t="shared" si="167"/>
        <v>161960107</v>
      </c>
      <c r="G364" s="162">
        <f t="shared" si="167"/>
        <v>161960107</v>
      </c>
      <c r="H364" s="162">
        <v>6243463</v>
      </c>
      <c r="I364" s="162">
        <v>65845522</v>
      </c>
      <c r="J364" s="162">
        <f t="shared" si="155"/>
        <v>96114585</v>
      </c>
      <c r="K364" s="162">
        <v>47964904.299999997</v>
      </c>
      <c r="L364" s="162">
        <v>65845522</v>
      </c>
      <c r="M364" s="162">
        <f t="shared" si="156"/>
        <v>0</v>
      </c>
      <c r="N364" s="162">
        <v>65846122</v>
      </c>
      <c r="O364" s="162">
        <f t="shared" si="157"/>
        <v>600</v>
      </c>
      <c r="P364" s="162">
        <f t="shared" si="158"/>
        <v>96113985</v>
      </c>
      <c r="Q364" s="162">
        <f t="shared" si="159"/>
        <v>65845522</v>
      </c>
      <c r="V364" s="149">
        <v>96113985</v>
      </c>
    </row>
    <row r="365" spans="1:25" x14ac:dyDescent="0.25">
      <c r="A365" s="163">
        <v>2350401</v>
      </c>
      <c r="B365" s="164" t="s">
        <v>186</v>
      </c>
      <c r="C365" s="165">
        <v>0</v>
      </c>
      <c r="D365" s="165">
        <v>0</v>
      </c>
      <c r="E365" s="165">
        <v>0</v>
      </c>
      <c r="F365" s="165">
        <v>8521352</v>
      </c>
      <c r="G365" s="165">
        <f t="shared" si="165"/>
        <v>8521352</v>
      </c>
      <c r="H365" s="165">
        <v>0</v>
      </c>
      <c r="I365" s="165">
        <v>0</v>
      </c>
      <c r="J365" s="165">
        <f t="shared" si="155"/>
        <v>8521352</v>
      </c>
      <c r="K365" s="165">
        <v>0</v>
      </c>
      <c r="L365" s="165">
        <v>0</v>
      </c>
      <c r="M365" s="165">
        <f t="shared" si="156"/>
        <v>0</v>
      </c>
      <c r="N365" s="165">
        <v>0</v>
      </c>
      <c r="O365" s="165">
        <f t="shared" si="157"/>
        <v>0</v>
      </c>
      <c r="P365" s="165">
        <f t="shared" si="158"/>
        <v>8521352</v>
      </c>
      <c r="Q365" s="165">
        <f t="shared" si="159"/>
        <v>0</v>
      </c>
      <c r="V365" s="149">
        <v>8521352</v>
      </c>
    </row>
    <row r="366" spans="1:25" s="100" customFormat="1" ht="30" x14ac:dyDescent="0.25">
      <c r="A366" s="163">
        <v>2350402</v>
      </c>
      <c r="B366" s="164" t="s">
        <v>187</v>
      </c>
      <c r="C366" s="165">
        <v>0</v>
      </c>
      <c r="D366" s="165">
        <v>0</v>
      </c>
      <c r="E366" s="165">
        <v>0</v>
      </c>
      <c r="F366" s="165">
        <v>1126955</v>
      </c>
      <c r="G366" s="165">
        <f t="shared" si="165"/>
        <v>1126955</v>
      </c>
      <c r="H366" s="165">
        <v>1126955</v>
      </c>
      <c r="I366" s="165">
        <v>1126955</v>
      </c>
      <c r="J366" s="165">
        <f t="shared" si="155"/>
        <v>0</v>
      </c>
      <c r="K366" s="165">
        <v>1126955</v>
      </c>
      <c r="L366" s="165">
        <v>1126955</v>
      </c>
      <c r="M366" s="165">
        <f t="shared" si="156"/>
        <v>0</v>
      </c>
      <c r="N366" s="165">
        <v>1126955</v>
      </c>
      <c r="O366" s="165">
        <f t="shared" si="157"/>
        <v>0</v>
      </c>
      <c r="P366" s="165">
        <f t="shared" si="158"/>
        <v>0</v>
      </c>
      <c r="Q366" s="165">
        <f t="shared" si="159"/>
        <v>1126955</v>
      </c>
      <c r="R366" s="84"/>
      <c r="S366" s="84"/>
      <c r="T366" s="84"/>
      <c r="U366" s="84"/>
      <c r="V366" s="149">
        <v>0</v>
      </c>
      <c r="X366" s="84"/>
      <c r="Y366" s="84"/>
    </row>
    <row r="367" spans="1:25" x14ac:dyDescent="0.25">
      <c r="A367" s="163">
        <v>2350403</v>
      </c>
      <c r="B367" s="164" t="s">
        <v>188</v>
      </c>
      <c r="C367" s="165">
        <v>0</v>
      </c>
      <c r="D367" s="165">
        <v>0</v>
      </c>
      <c r="E367" s="165">
        <v>0</v>
      </c>
      <c r="F367" s="165">
        <v>4977319</v>
      </c>
      <c r="G367" s="165">
        <f t="shared" si="165"/>
        <v>4977319</v>
      </c>
      <c r="H367" s="165">
        <v>4977319</v>
      </c>
      <c r="I367" s="165">
        <v>4977319</v>
      </c>
      <c r="J367" s="165">
        <f t="shared" si="155"/>
        <v>0</v>
      </c>
      <c r="K367" s="165">
        <v>4977319</v>
      </c>
      <c r="L367" s="165">
        <v>4977319</v>
      </c>
      <c r="M367" s="165">
        <f t="shared" si="156"/>
        <v>0</v>
      </c>
      <c r="N367" s="165">
        <v>4977319</v>
      </c>
      <c r="O367" s="165">
        <f t="shared" si="157"/>
        <v>0</v>
      </c>
      <c r="P367" s="165">
        <f t="shared" si="158"/>
        <v>0</v>
      </c>
      <c r="Q367" s="165">
        <f t="shared" si="159"/>
        <v>4977319</v>
      </c>
      <c r="V367" s="149">
        <v>0</v>
      </c>
    </row>
    <row r="368" spans="1:25" x14ac:dyDescent="0.25">
      <c r="A368" s="163">
        <v>2350404</v>
      </c>
      <c r="B368" s="164" t="s">
        <v>189</v>
      </c>
      <c r="C368" s="165">
        <v>0</v>
      </c>
      <c r="D368" s="165">
        <v>0</v>
      </c>
      <c r="E368" s="165">
        <v>0</v>
      </c>
      <c r="F368" s="165">
        <v>5000</v>
      </c>
      <c r="G368" s="165">
        <f t="shared" si="165"/>
        <v>5000</v>
      </c>
      <c r="H368" s="165">
        <v>0</v>
      </c>
      <c r="I368" s="165">
        <v>0</v>
      </c>
      <c r="J368" s="165">
        <f t="shared" si="155"/>
        <v>5000</v>
      </c>
      <c r="K368" s="165">
        <v>0</v>
      </c>
      <c r="L368" s="165">
        <v>0</v>
      </c>
      <c r="M368" s="165">
        <f t="shared" si="156"/>
        <v>0</v>
      </c>
      <c r="N368" s="165">
        <v>0</v>
      </c>
      <c r="O368" s="165">
        <f t="shared" si="157"/>
        <v>0</v>
      </c>
      <c r="P368" s="165">
        <f t="shared" si="158"/>
        <v>5000</v>
      </c>
      <c r="Q368" s="165">
        <f t="shared" si="159"/>
        <v>0</v>
      </c>
      <c r="V368" s="149">
        <v>5000</v>
      </c>
    </row>
    <row r="369" spans="1:25" x14ac:dyDescent="0.25">
      <c r="A369" s="163">
        <v>2350405</v>
      </c>
      <c r="B369" s="164" t="s">
        <v>190</v>
      </c>
      <c r="C369" s="165">
        <v>0</v>
      </c>
      <c r="D369" s="165">
        <v>0</v>
      </c>
      <c r="E369" s="165">
        <v>0</v>
      </c>
      <c r="F369" s="165">
        <v>1462335</v>
      </c>
      <c r="G369" s="165">
        <f t="shared" si="165"/>
        <v>1462335</v>
      </c>
      <c r="H369" s="165">
        <v>0</v>
      </c>
      <c r="I369" s="165">
        <v>0</v>
      </c>
      <c r="J369" s="165">
        <f t="shared" si="155"/>
        <v>1462335</v>
      </c>
      <c r="K369" s="165">
        <v>0</v>
      </c>
      <c r="L369" s="165">
        <v>0</v>
      </c>
      <c r="M369" s="165">
        <f t="shared" si="156"/>
        <v>0</v>
      </c>
      <c r="N369" s="165">
        <v>0</v>
      </c>
      <c r="O369" s="165">
        <f t="shared" si="157"/>
        <v>0</v>
      </c>
      <c r="P369" s="165">
        <f t="shared" si="158"/>
        <v>1462335</v>
      </c>
      <c r="Q369" s="165">
        <f t="shared" si="159"/>
        <v>0</v>
      </c>
      <c r="U369" s="100"/>
      <c r="V369" s="149">
        <v>1462335</v>
      </c>
    </row>
    <row r="370" spans="1:25" ht="30" x14ac:dyDescent="0.25">
      <c r="A370" s="163">
        <v>2350406</v>
      </c>
      <c r="B370" s="164" t="s">
        <v>191</v>
      </c>
      <c r="C370" s="165">
        <v>0</v>
      </c>
      <c r="D370" s="165">
        <v>0</v>
      </c>
      <c r="E370" s="165">
        <v>0</v>
      </c>
      <c r="F370" s="165">
        <v>60139189</v>
      </c>
      <c r="G370" s="165">
        <f t="shared" si="165"/>
        <v>60139189</v>
      </c>
      <c r="H370" s="165">
        <v>139189</v>
      </c>
      <c r="I370" s="165">
        <v>59741248</v>
      </c>
      <c r="J370" s="165">
        <f t="shared" si="155"/>
        <v>397941</v>
      </c>
      <c r="K370" s="165">
        <v>41860630.299999997</v>
      </c>
      <c r="L370" s="165">
        <v>59741248</v>
      </c>
      <c r="M370" s="165">
        <f t="shared" si="156"/>
        <v>0</v>
      </c>
      <c r="N370" s="165">
        <v>59741848</v>
      </c>
      <c r="O370" s="165">
        <f t="shared" si="157"/>
        <v>600</v>
      </c>
      <c r="P370" s="165">
        <f t="shared" si="158"/>
        <v>397341</v>
      </c>
      <c r="Q370" s="165">
        <f t="shared" si="159"/>
        <v>59741248</v>
      </c>
      <c r="R370" s="100"/>
      <c r="S370" s="100"/>
      <c r="T370" s="100"/>
      <c r="V370" s="149">
        <v>397341</v>
      </c>
    </row>
    <row r="371" spans="1:25" ht="30" x14ac:dyDescent="0.25">
      <c r="A371" s="163">
        <v>2350407</v>
      </c>
      <c r="B371" s="164" t="s">
        <v>192</v>
      </c>
      <c r="C371" s="165">
        <v>0</v>
      </c>
      <c r="D371" s="165">
        <v>0</v>
      </c>
      <c r="E371" s="165">
        <v>0</v>
      </c>
      <c r="F371" s="165">
        <v>282815</v>
      </c>
      <c r="G371" s="165">
        <f t="shared" si="165"/>
        <v>282815</v>
      </c>
      <c r="H371" s="165">
        <v>0</v>
      </c>
      <c r="I371" s="165">
        <v>0</v>
      </c>
      <c r="J371" s="165">
        <f t="shared" si="155"/>
        <v>282815</v>
      </c>
      <c r="K371" s="165">
        <v>0</v>
      </c>
      <c r="L371" s="165">
        <v>0</v>
      </c>
      <c r="M371" s="165">
        <f t="shared" si="156"/>
        <v>0</v>
      </c>
      <c r="N371" s="165">
        <v>0</v>
      </c>
      <c r="O371" s="165">
        <f t="shared" si="157"/>
        <v>0</v>
      </c>
      <c r="P371" s="165">
        <f t="shared" si="158"/>
        <v>282815</v>
      </c>
      <c r="Q371" s="165">
        <f t="shared" si="159"/>
        <v>0</v>
      </c>
      <c r="V371" s="149">
        <v>282815</v>
      </c>
    </row>
    <row r="372" spans="1:25" ht="30" x14ac:dyDescent="0.25">
      <c r="A372" s="163">
        <v>2350408</v>
      </c>
      <c r="B372" s="164" t="s">
        <v>193</v>
      </c>
      <c r="C372" s="165">
        <v>0</v>
      </c>
      <c r="D372" s="165">
        <v>0</v>
      </c>
      <c r="E372" s="165">
        <v>0</v>
      </c>
      <c r="F372" s="165">
        <v>3015215</v>
      </c>
      <c r="G372" s="165">
        <f t="shared" si="165"/>
        <v>3015215</v>
      </c>
      <c r="H372" s="165">
        <v>0</v>
      </c>
      <c r="I372" s="165">
        <v>0</v>
      </c>
      <c r="J372" s="165">
        <f t="shared" si="155"/>
        <v>3015215</v>
      </c>
      <c r="K372" s="165">
        <v>0</v>
      </c>
      <c r="L372" s="165">
        <v>0</v>
      </c>
      <c r="M372" s="165">
        <f t="shared" si="156"/>
        <v>0</v>
      </c>
      <c r="N372" s="165">
        <v>0</v>
      </c>
      <c r="O372" s="165">
        <f t="shared" si="157"/>
        <v>0</v>
      </c>
      <c r="P372" s="165">
        <f t="shared" si="158"/>
        <v>3015215</v>
      </c>
      <c r="Q372" s="165">
        <f t="shared" si="159"/>
        <v>0</v>
      </c>
      <c r="V372" s="149">
        <v>3015215</v>
      </c>
    </row>
    <row r="373" spans="1:25" ht="30" x14ac:dyDescent="0.25">
      <c r="A373" s="163">
        <v>2350409</v>
      </c>
      <c r="B373" s="164" t="s">
        <v>194</v>
      </c>
      <c r="C373" s="165">
        <v>0</v>
      </c>
      <c r="D373" s="165">
        <v>0</v>
      </c>
      <c r="E373" s="165">
        <v>0</v>
      </c>
      <c r="F373" s="165">
        <v>9705246</v>
      </c>
      <c r="G373" s="165">
        <f t="shared" si="165"/>
        <v>9705246</v>
      </c>
      <c r="H373" s="165">
        <v>0</v>
      </c>
      <c r="I373" s="165">
        <v>0</v>
      </c>
      <c r="J373" s="165">
        <f t="shared" si="155"/>
        <v>9705246</v>
      </c>
      <c r="K373" s="165">
        <v>0</v>
      </c>
      <c r="L373" s="165">
        <v>0</v>
      </c>
      <c r="M373" s="165">
        <f t="shared" si="156"/>
        <v>0</v>
      </c>
      <c r="N373" s="165">
        <v>0</v>
      </c>
      <c r="O373" s="165">
        <f t="shared" si="157"/>
        <v>0</v>
      </c>
      <c r="P373" s="165">
        <f t="shared" si="158"/>
        <v>9705246</v>
      </c>
      <c r="Q373" s="165">
        <f t="shared" si="159"/>
        <v>0</v>
      </c>
      <c r="V373" s="149">
        <v>9705246</v>
      </c>
    </row>
    <row r="374" spans="1:25" s="100" customFormat="1" ht="30" x14ac:dyDescent="0.25">
      <c r="A374" s="163">
        <v>2350410</v>
      </c>
      <c r="B374" s="164" t="s">
        <v>195</v>
      </c>
      <c r="C374" s="165">
        <v>0</v>
      </c>
      <c r="D374" s="165">
        <v>0</v>
      </c>
      <c r="E374" s="165">
        <v>0</v>
      </c>
      <c r="F374" s="165">
        <v>3691380</v>
      </c>
      <c r="G374" s="165">
        <f t="shared" si="165"/>
        <v>3691380</v>
      </c>
      <c r="H374" s="165">
        <v>0</v>
      </c>
      <c r="I374" s="165">
        <v>0</v>
      </c>
      <c r="J374" s="165">
        <f t="shared" si="155"/>
        <v>3691380</v>
      </c>
      <c r="K374" s="165">
        <v>0</v>
      </c>
      <c r="L374" s="165">
        <v>0</v>
      </c>
      <c r="M374" s="165">
        <f t="shared" si="156"/>
        <v>0</v>
      </c>
      <c r="N374" s="165">
        <v>0</v>
      </c>
      <c r="O374" s="165">
        <f t="shared" si="157"/>
        <v>0</v>
      </c>
      <c r="P374" s="165">
        <f t="shared" si="158"/>
        <v>3691380</v>
      </c>
      <c r="Q374" s="165">
        <f t="shared" si="159"/>
        <v>0</v>
      </c>
      <c r="R374" s="84"/>
      <c r="S374" s="84"/>
      <c r="T374" s="84"/>
      <c r="U374" s="84"/>
      <c r="V374" s="149">
        <v>3691380</v>
      </c>
      <c r="X374" s="84"/>
      <c r="Y374" s="84"/>
    </row>
    <row r="375" spans="1:25" x14ac:dyDescent="0.25">
      <c r="A375" s="163">
        <v>2350411</v>
      </c>
      <c r="B375" s="164" t="s">
        <v>185</v>
      </c>
      <c r="C375" s="165">
        <v>0</v>
      </c>
      <c r="D375" s="165">
        <v>0</v>
      </c>
      <c r="E375" s="165">
        <v>0</v>
      </c>
      <c r="F375" s="165">
        <v>69033301</v>
      </c>
      <c r="G375" s="165">
        <f t="shared" si="165"/>
        <v>69033301</v>
      </c>
      <c r="H375" s="165">
        <v>0</v>
      </c>
      <c r="I375" s="165">
        <v>0</v>
      </c>
      <c r="J375" s="165">
        <f t="shared" si="155"/>
        <v>69033301</v>
      </c>
      <c r="K375" s="165">
        <v>0</v>
      </c>
      <c r="L375" s="165">
        <v>0</v>
      </c>
      <c r="M375" s="165">
        <f t="shared" si="156"/>
        <v>0</v>
      </c>
      <c r="N375" s="165">
        <v>0</v>
      </c>
      <c r="O375" s="165">
        <f t="shared" si="157"/>
        <v>0</v>
      </c>
      <c r="P375" s="165">
        <f t="shared" si="158"/>
        <v>69033301</v>
      </c>
      <c r="Q375" s="165">
        <f t="shared" si="159"/>
        <v>0</v>
      </c>
      <c r="V375" s="149">
        <v>69033301</v>
      </c>
    </row>
    <row r="376" spans="1:25" x14ac:dyDescent="0.25">
      <c r="A376" s="160">
        <v>23505</v>
      </c>
      <c r="B376" s="161" t="s">
        <v>196</v>
      </c>
      <c r="C376" s="162">
        <f>SUM(C377:C383)</f>
        <v>0</v>
      </c>
      <c r="D376" s="162">
        <f t="shared" ref="D376:G376" si="168">SUM(D377:D383)</f>
        <v>0</v>
      </c>
      <c r="E376" s="162">
        <f t="shared" si="168"/>
        <v>0</v>
      </c>
      <c r="F376" s="162">
        <f t="shared" si="168"/>
        <v>87402263</v>
      </c>
      <c r="G376" s="162">
        <f t="shared" si="168"/>
        <v>87402263</v>
      </c>
      <c r="H376" s="162">
        <v>750000</v>
      </c>
      <c r="I376" s="162">
        <v>53460290</v>
      </c>
      <c r="J376" s="162">
        <f t="shared" si="155"/>
        <v>33941973</v>
      </c>
      <c r="K376" s="162">
        <v>750000</v>
      </c>
      <c r="L376" s="162">
        <v>51378207</v>
      </c>
      <c r="M376" s="162">
        <f t="shared" si="156"/>
        <v>2082083</v>
      </c>
      <c r="N376" s="162">
        <v>54035017</v>
      </c>
      <c r="O376" s="162">
        <f t="shared" si="157"/>
        <v>574727</v>
      </c>
      <c r="P376" s="162">
        <f t="shared" si="158"/>
        <v>33367246</v>
      </c>
      <c r="Q376" s="162">
        <f t="shared" si="159"/>
        <v>51378207</v>
      </c>
      <c r="V376" s="149">
        <v>33367246</v>
      </c>
    </row>
    <row r="377" spans="1:25" ht="30" x14ac:dyDescent="0.25">
      <c r="A377" s="163">
        <v>2350501</v>
      </c>
      <c r="B377" s="164" t="s">
        <v>197</v>
      </c>
      <c r="C377" s="165">
        <v>0</v>
      </c>
      <c r="D377" s="165">
        <v>0</v>
      </c>
      <c r="E377" s="165">
        <v>0</v>
      </c>
      <c r="F377" s="165">
        <v>3375956</v>
      </c>
      <c r="G377" s="165">
        <f t="shared" si="165"/>
        <v>3375956</v>
      </c>
      <c r="H377" s="165">
        <v>0</v>
      </c>
      <c r="I377" s="165">
        <v>0</v>
      </c>
      <c r="J377" s="165">
        <f t="shared" si="155"/>
        <v>3375956</v>
      </c>
      <c r="K377" s="165">
        <v>0</v>
      </c>
      <c r="L377" s="165">
        <v>0</v>
      </c>
      <c r="M377" s="165">
        <f t="shared" si="156"/>
        <v>0</v>
      </c>
      <c r="N377" s="165">
        <v>0</v>
      </c>
      <c r="O377" s="165">
        <f t="shared" si="157"/>
        <v>0</v>
      </c>
      <c r="P377" s="165">
        <f t="shared" si="158"/>
        <v>3375956</v>
      </c>
      <c r="Q377" s="165">
        <f t="shared" si="159"/>
        <v>0</v>
      </c>
      <c r="U377" s="100"/>
      <c r="V377" s="149">
        <v>3375956</v>
      </c>
    </row>
    <row r="378" spans="1:25" ht="30" x14ac:dyDescent="0.25">
      <c r="A378" s="163">
        <v>2350502</v>
      </c>
      <c r="B378" s="164" t="s">
        <v>198</v>
      </c>
      <c r="C378" s="165">
        <v>0</v>
      </c>
      <c r="D378" s="165">
        <v>0</v>
      </c>
      <c r="E378" s="165">
        <v>0</v>
      </c>
      <c r="F378" s="165">
        <v>898908</v>
      </c>
      <c r="G378" s="165">
        <f t="shared" si="165"/>
        <v>898908</v>
      </c>
      <c r="H378" s="165">
        <v>0</v>
      </c>
      <c r="I378" s="165">
        <v>0</v>
      </c>
      <c r="J378" s="165">
        <f t="shared" si="155"/>
        <v>898908</v>
      </c>
      <c r="K378" s="165">
        <v>0</v>
      </c>
      <c r="L378" s="165">
        <v>0</v>
      </c>
      <c r="M378" s="165">
        <f t="shared" si="156"/>
        <v>0</v>
      </c>
      <c r="N378" s="165">
        <v>0</v>
      </c>
      <c r="O378" s="165">
        <f t="shared" si="157"/>
        <v>0</v>
      </c>
      <c r="P378" s="165">
        <f t="shared" si="158"/>
        <v>898908</v>
      </c>
      <c r="Q378" s="165">
        <f t="shared" si="159"/>
        <v>0</v>
      </c>
      <c r="R378" s="100"/>
      <c r="S378" s="100"/>
      <c r="T378" s="100"/>
      <c r="V378" s="149">
        <v>898908</v>
      </c>
    </row>
    <row r="379" spans="1:25" ht="30" x14ac:dyDescent="0.25">
      <c r="A379" s="163">
        <v>2350503</v>
      </c>
      <c r="B379" s="164" t="s">
        <v>199</v>
      </c>
      <c r="C379" s="165">
        <v>0</v>
      </c>
      <c r="D379" s="165">
        <v>0</v>
      </c>
      <c r="E379" s="165">
        <v>0</v>
      </c>
      <c r="F379" s="165">
        <v>1181670</v>
      </c>
      <c r="G379" s="165">
        <f t="shared" si="165"/>
        <v>1181670</v>
      </c>
      <c r="H379" s="165">
        <v>0</v>
      </c>
      <c r="I379" s="165">
        <v>0</v>
      </c>
      <c r="J379" s="165">
        <f t="shared" si="155"/>
        <v>1181670</v>
      </c>
      <c r="K379" s="165">
        <v>0</v>
      </c>
      <c r="L379" s="165">
        <v>0</v>
      </c>
      <c r="M379" s="165">
        <f t="shared" si="156"/>
        <v>0</v>
      </c>
      <c r="N379" s="165">
        <v>0</v>
      </c>
      <c r="O379" s="165">
        <f t="shared" si="157"/>
        <v>0</v>
      </c>
      <c r="P379" s="165">
        <f t="shared" si="158"/>
        <v>1181670</v>
      </c>
      <c r="Q379" s="165">
        <f t="shared" si="159"/>
        <v>0</v>
      </c>
      <c r="V379" s="149">
        <v>1181670</v>
      </c>
    </row>
    <row r="380" spans="1:25" ht="30" x14ac:dyDescent="0.25">
      <c r="A380" s="163">
        <v>2350504</v>
      </c>
      <c r="B380" s="164" t="s">
        <v>200</v>
      </c>
      <c r="C380" s="165">
        <v>0</v>
      </c>
      <c r="D380" s="165">
        <v>0</v>
      </c>
      <c r="E380" s="165">
        <v>0</v>
      </c>
      <c r="F380" s="165">
        <v>4180583</v>
      </c>
      <c r="G380" s="165">
        <f t="shared" si="165"/>
        <v>4180583</v>
      </c>
      <c r="H380" s="165">
        <v>0</v>
      </c>
      <c r="I380" s="165">
        <v>2082083</v>
      </c>
      <c r="J380" s="165">
        <f t="shared" si="155"/>
        <v>2098500</v>
      </c>
      <c r="K380" s="165">
        <v>0</v>
      </c>
      <c r="L380" s="165">
        <v>0</v>
      </c>
      <c r="M380" s="165">
        <f t="shared" si="156"/>
        <v>2082083</v>
      </c>
      <c r="N380" s="165">
        <v>2082083</v>
      </c>
      <c r="O380" s="165">
        <f t="shared" si="157"/>
        <v>0</v>
      </c>
      <c r="P380" s="165">
        <f t="shared" si="158"/>
        <v>2098500</v>
      </c>
      <c r="Q380" s="165">
        <f t="shared" si="159"/>
        <v>0</v>
      </c>
      <c r="V380" s="149">
        <v>2098500</v>
      </c>
    </row>
    <row r="381" spans="1:25" ht="30" x14ac:dyDescent="0.25">
      <c r="A381" s="163">
        <v>2350505</v>
      </c>
      <c r="B381" s="164" t="s">
        <v>201</v>
      </c>
      <c r="C381" s="165">
        <v>0</v>
      </c>
      <c r="D381" s="165">
        <v>0</v>
      </c>
      <c r="E381" s="165">
        <v>0</v>
      </c>
      <c r="F381" s="165">
        <v>2074727</v>
      </c>
      <c r="G381" s="165">
        <f t="shared" si="165"/>
        <v>2074727</v>
      </c>
      <c r="H381" s="165">
        <v>750000</v>
      </c>
      <c r="I381" s="165">
        <v>1500000</v>
      </c>
      <c r="J381" s="165">
        <f t="shared" si="155"/>
        <v>574727</v>
      </c>
      <c r="K381" s="165">
        <v>750000</v>
      </c>
      <c r="L381" s="165">
        <v>1500000</v>
      </c>
      <c r="M381" s="165">
        <f t="shared" si="156"/>
        <v>0</v>
      </c>
      <c r="N381" s="165">
        <v>2074727</v>
      </c>
      <c r="O381" s="165">
        <f t="shared" si="157"/>
        <v>574727</v>
      </c>
      <c r="P381" s="165">
        <f t="shared" si="158"/>
        <v>0</v>
      </c>
      <c r="Q381" s="165">
        <f t="shared" si="159"/>
        <v>1500000</v>
      </c>
      <c r="V381" s="149">
        <v>0</v>
      </c>
    </row>
    <row r="382" spans="1:25" ht="30" x14ac:dyDescent="0.25">
      <c r="A382" s="163">
        <v>2350506</v>
      </c>
      <c r="B382" s="164" t="s">
        <v>202</v>
      </c>
      <c r="C382" s="165">
        <v>0</v>
      </c>
      <c r="D382" s="165">
        <v>0</v>
      </c>
      <c r="E382" s="165">
        <v>0</v>
      </c>
      <c r="F382" s="165">
        <v>49878207</v>
      </c>
      <c r="G382" s="165">
        <f t="shared" si="165"/>
        <v>49878207</v>
      </c>
      <c r="H382" s="165">
        <v>0</v>
      </c>
      <c r="I382" s="165">
        <v>49878207</v>
      </c>
      <c r="J382" s="165">
        <f t="shared" si="155"/>
        <v>0</v>
      </c>
      <c r="K382" s="165">
        <v>0</v>
      </c>
      <c r="L382" s="165">
        <v>49878207</v>
      </c>
      <c r="M382" s="165">
        <f t="shared" si="156"/>
        <v>0</v>
      </c>
      <c r="N382" s="165">
        <v>49878207</v>
      </c>
      <c r="O382" s="165">
        <f t="shared" si="157"/>
        <v>0</v>
      </c>
      <c r="P382" s="165">
        <f t="shared" si="158"/>
        <v>0</v>
      </c>
      <c r="Q382" s="165">
        <f t="shared" si="159"/>
        <v>49878207</v>
      </c>
      <c r="V382" s="149">
        <v>0</v>
      </c>
    </row>
    <row r="383" spans="1:25" ht="30" x14ac:dyDescent="0.25">
      <c r="A383" s="163">
        <v>2350507</v>
      </c>
      <c r="B383" s="164" t="s">
        <v>203</v>
      </c>
      <c r="C383" s="165">
        <v>0</v>
      </c>
      <c r="D383" s="165">
        <v>0</v>
      </c>
      <c r="E383" s="165">
        <v>0</v>
      </c>
      <c r="F383" s="165">
        <v>25812212</v>
      </c>
      <c r="G383" s="165">
        <f t="shared" si="165"/>
        <v>25812212</v>
      </c>
      <c r="H383" s="165">
        <v>0</v>
      </c>
      <c r="I383" s="165">
        <v>0</v>
      </c>
      <c r="J383" s="165">
        <f t="shared" si="155"/>
        <v>25812212</v>
      </c>
      <c r="K383" s="165">
        <v>0</v>
      </c>
      <c r="L383" s="165">
        <v>0</v>
      </c>
      <c r="M383" s="165">
        <f t="shared" si="156"/>
        <v>0</v>
      </c>
      <c r="N383" s="165">
        <v>0</v>
      </c>
      <c r="O383" s="165">
        <f t="shared" si="157"/>
        <v>0</v>
      </c>
      <c r="P383" s="165">
        <f t="shared" si="158"/>
        <v>25812212</v>
      </c>
      <c r="Q383" s="165">
        <f t="shared" si="159"/>
        <v>0</v>
      </c>
      <c r="V383" s="149">
        <v>25812212</v>
      </c>
    </row>
    <row r="384" spans="1:25" x14ac:dyDescent="0.25">
      <c r="A384" s="160">
        <v>23506</v>
      </c>
      <c r="B384" s="161" t="s">
        <v>204</v>
      </c>
      <c r="C384" s="162">
        <f>+C385</f>
        <v>0</v>
      </c>
      <c r="D384" s="162">
        <f t="shared" ref="D384:G384" si="169">+D385</f>
        <v>0</v>
      </c>
      <c r="E384" s="162">
        <f t="shared" si="169"/>
        <v>0</v>
      </c>
      <c r="F384" s="162">
        <f t="shared" si="169"/>
        <v>81175164</v>
      </c>
      <c r="G384" s="162">
        <f t="shared" si="169"/>
        <v>81175164</v>
      </c>
      <c r="H384" s="162">
        <v>0</v>
      </c>
      <c r="I384" s="162">
        <v>41843530</v>
      </c>
      <c r="J384" s="162">
        <f t="shared" si="155"/>
        <v>39331634</v>
      </c>
      <c r="K384" s="162">
        <v>626059</v>
      </c>
      <c r="L384" s="162">
        <v>41843530</v>
      </c>
      <c r="M384" s="162">
        <f t="shared" si="156"/>
        <v>0</v>
      </c>
      <c r="N384" s="162">
        <v>81175164</v>
      </c>
      <c r="O384" s="162">
        <f t="shared" si="157"/>
        <v>39331634</v>
      </c>
      <c r="P384" s="162">
        <f t="shared" si="158"/>
        <v>0</v>
      </c>
      <c r="Q384" s="162">
        <f t="shared" si="159"/>
        <v>41843530</v>
      </c>
      <c r="V384" s="149">
        <v>0</v>
      </c>
    </row>
    <row r="385" spans="1:25" ht="30" x14ac:dyDescent="0.25">
      <c r="A385" s="163">
        <v>2350601</v>
      </c>
      <c r="B385" s="164" t="s">
        <v>205</v>
      </c>
      <c r="C385" s="165">
        <v>0</v>
      </c>
      <c r="D385" s="165">
        <v>0</v>
      </c>
      <c r="E385" s="165">
        <v>0</v>
      </c>
      <c r="F385" s="165">
        <v>81175164</v>
      </c>
      <c r="G385" s="165">
        <f t="shared" si="165"/>
        <v>81175164</v>
      </c>
      <c r="H385" s="165">
        <v>0</v>
      </c>
      <c r="I385" s="165">
        <v>41843530</v>
      </c>
      <c r="J385" s="165">
        <f t="shared" si="155"/>
        <v>39331634</v>
      </c>
      <c r="K385" s="165">
        <v>626059</v>
      </c>
      <c r="L385" s="165">
        <v>41843530</v>
      </c>
      <c r="M385" s="165">
        <f t="shared" si="156"/>
        <v>0</v>
      </c>
      <c r="N385" s="165">
        <v>81175164</v>
      </c>
      <c r="O385" s="165">
        <f t="shared" si="157"/>
        <v>39331634</v>
      </c>
      <c r="P385" s="165">
        <f t="shared" si="158"/>
        <v>0</v>
      </c>
      <c r="Q385" s="165">
        <f t="shared" si="159"/>
        <v>41843530</v>
      </c>
      <c r="V385" s="149">
        <v>0</v>
      </c>
    </row>
    <row r="386" spans="1:25" ht="30" x14ac:dyDescent="0.25">
      <c r="A386" s="163">
        <v>23507</v>
      </c>
      <c r="B386" s="164" t="s">
        <v>206</v>
      </c>
      <c r="C386" s="165">
        <v>0</v>
      </c>
      <c r="D386" s="165">
        <v>0</v>
      </c>
      <c r="E386" s="165">
        <v>0</v>
      </c>
      <c r="F386" s="165">
        <v>605226612</v>
      </c>
      <c r="G386" s="165">
        <f t="shared" si="165"/>
        <v>605226612</v>
      </c>
      <c r="H386" s="165">
        <v>0</v>
      </c>
      <c r="I386" s="165">
        <v>133597541</v>
      </c>
      <c r="J386" s="165">
        <f t="shared" si="155"/>
        <v>471629071</v>
      </c>
      <c r="K386" s="165">
        <v>0</v>
      </c>
      <c r="L386" s="165">
        <v>0</v>
      </c>
      <c r="M386" s="165">
        <f t="shared" si="156"/>
        <v>133597541</v>
      </c>
      <c r="N386" s="165">
        <v>177013541</v>
      </c>
      <c r="O386" s="165">
        <f t="shared" si="157"/>
        <v>43416000</v>
      </c>
      <c r="P386" s="165">
        <f t="shared" si="158"/>
        <v>428213071</v>
      </c>
      <c r="Q386" s="165">
        <f t="shared" si="159"/>
        <v>0</v>
      </c>
      <c r="V386" s="149">
        <v>428213071</v>
      </c>
    </row>
    <row r="387" spans="1:25" ht="30" x14ac:dyDescent="0.25">
      <c r="A387" s="163">
        <v>23508</v>
      </c>
      <c r="B387" s="164" t="s">
        <v>207</v>
      </c>
      <c r="C387" s="165">
        <v>0</v>
      </c>
      <c r="D387" s="165">
        <v>0</v>
      </c>
      <c r="E387" s="165">
        <v>0</v>
      </c>
      <c r="F387" s="165">
        <v>658324932</v>
      </c>
      <c r="G387" s="165">
        <f t="shared" si="165"/>
        <v>658324932</v>
      </c>
      <c r="H387" s="165">
        <v>77973054</v>
      </c>
      <c r="I387" s="165">
        <v>119812595</v>
      </c>
      <c r="J387" s="165">
        <f t="shared" si="155"/>
        <v>538512337</v>
      </c>
      <c r="K387" s="165">
        <v>0</v>
      </c>
      <c r="L387" s="165">
        <v>31039541</v>
      </c>
      <c r="M387" s="165">
        <f t="shared" si="156"/>
        <v>88773054</v>
      </c>
      <c r="N387" s="165">
        <v>147043195</v>
      </c>
      <c r="O387" s="165">
        <f t="shared" si="157"/>
        <v>27230600</v>
      </c>
      <c r="P387" s="165">
        <f t="shared" si="158"/>
        <v>511281737</v>
      </c>
      <c r="Q387" s="165">
        <f t="shared" si="159"/>
        <v>31039541</v>
      </c>
      <c r="V387" s="149">
        <v>511281737</v>
      </c>
    </row>
    <row r="388" spans="1:25" x14ac:dyDescent="0.25">
      <c r="A388" s="163">
        <v>23509</v>
      </c>
      <c r="B388" s="164" t="s">
        <v>208</v>
      </c>
      <c r="C388" s="165">
        <v>0</v>
      </c>
      <c r="D388" s="165">
        <v>0</v>
      </c>
      <c r="E388" s="165">
        <v>0</v>
      </c>
      <c r="F388" s="165">
        <v>29204681</v>
      </c>
      <c r="G388" s="165">
        <f t="shared" si="165"/>
        <v>29204681</v>
      </c>
      <c r="H388" s="165">
        <v>0</v>
      </c>
      <c r="I388" s="165">
        <v>25652211</v>
      </c>
      <c r="J388" s="165">
        <f t="shared" si="155"/>
        <v>3552470</v>
      </c>
      <c r="K388" s="165">
        <v>0</v>
      </c>
      <c r="L388" s="165">
        <v>25652211</v>
      </c>
      <c r="M388" s="165">
        <f t="shared" si="156"/>
        <v>0</v>
      </c>
      <c r="N388" s="165">
        <v>25652215</v>
      </c>
      <c r="O388" s="165">
        <f t="shared" si="157"/>
        <v>4</v>
      </c>
      <c r="P388" s="165">
        <f t="shared" si="158"/>
        <v>3552466</v>
      </c>
      <c r="Q388" s="165">
        <f t="shared" si="159"/>
        <v>25652211</v>
      </c>
      <c r="V388" s="149">
        <v>3552466</v>
      </c>
    </row>
    <row r="389" spans="1:25" ht="30" x14ac:dyDescent="0.25">
      <c r="A389" s="163">
        <v>23510</v>
      </c>
      <c r="B389" s="164" t="s">
        <v>209</v>
      </c>
      <c r="C389" s="165">
        <v>0</v>
      </c>
      <c r="D389" s="165">
        <v>0</v>
      </c>
      <c r="E389" s="165">
        <v>0</v>
      </c>
      <c r="F389" s="165">
        <v>66900000</v>
      </c>
      <c r="G389" s="165">
        <f t="shared" si="165"/>
        <v>66900000</v>
      </c>
      <c r="H389" s="165">
        <v>0</v>
      </c>
      <c r="I389" s="165">
        <v>30527191</v>
      </c>
      <c r="J389" s="165">
        <f t="shared" si="155"/>
        <v>36372809</v>
      </c>
      <c r="K389" s="165">
        <v>0</v>
      </c>
      <c r="L389" s="165">
        <v>11127191</v>
      </c>
      <c r="M389" s="165">
        <f t="shared" si="156"/>
        <v>19400000</v>
      </c>
      <c r="N389" s="165">
        <v>58527191</v>
      </c>
      <c r="O389" s="165">
        <f t="shared" si="157"/>
        <v>28000000</v>
      </c>
      <c r="P389" s="165">
        <f t="shared" si="158"/>
        <v>8372809</v>
      </c>
      <c r="Q389" s="165">
        <f t="shared" si="159"/>
        <v>11127191</v>
      </c>
      <c r="V389" s="149">
        <v>8372809</v>
      </c>
    </row>
    <row r="390" spans="1:25" x14ac:dyDescent="0.25">
      <c r="A390" s="163">
        <v>23511</v>
      </c>
      <c r="B390" s="164" t="s">
        <v>210</v>
      </c>
      <c r="C390" s="165">
        <v>0</v>
      </c>
      <c r="D390" s="165">
        <v>0</v>
      </c>
      <c r="E390" s="165">
        <v>0</v>
      </c>
      <c r="F390" s="165">
        <v>264556855</v>
      </c>
      <c r="G390" s="165">
        <f t="shared" si="165"/>
        <v>264556855</v>
      </c>
      <c r="H390" s="165">
        <v>1509337</v>
      </c>
      <c r="I390" s="165">
        <v>256840380</v>
      </c>
      <c r="J390" s="165">
        <f t="shared" si="155"/>
        <v>7716475</v>
      </c>
      <c r="K390" s="165">
        <v>18614051</v>
      </c>
      <c r="L390" s="165">
        <v>200909730</v>
      </c>
      <c r="M390" s="165">
        <f t="shared" si="156"/>
        <v>55930650</v>
      </c>
      <c r="N390" s="165">
        <v>264556855</v>
      </c>
      <c r="O390" s="165">
        <f t="shared" si="157"/>
        <v>7716475</v>
      </c>
      <c r="P390" s="165">
        <f t="shared" si="158"/>
        <v>0</v>
      </c>
      <c r="Q390" s="165">
        <f t="shared" si="159"/>
        <v>200909730</v>
      </c>
      <c r="V390" s="149">
        <v>0</v>
      </c>
    </row>
    <row r="391" spans="1:25" ht="30" x14ac:dyDescent="0.25">
      <c r="A391" s="163">
        <v>23512</v>
      </c>
      <c r="B391" s="164" t="s">
        <v>211</v>
      </c>
      <c r="C391" s="165">
        <v>0</v>
      </c>
      <c r="D391" s="165">
        <v>0</v>
      </c>
      <c r="E391" s="165">
        <v>0</v>
      </c>
      <c r="F391" s="165">
        <v>33500000</v>
      </c>
      <c r="G391" s="165">
        <f t="shared" si="165"/>
        <v>33500000</v>
      </c>
      <c r="H391" s="165">
        <v>0</v>
      </c>
      <c r="I391" s="165">
        <v>0</v>
      </c>
      <c r="J391" s="165">
        <f t="shared" ref="J391:J408" si="170">+G391-I391</f>
        <v>33500000</v>
      </c>
      <c r="K391" s="165">
        <v>0</v>
      </c>
      <c r="L391" s="165">
        <v>0</v>
      </c>
      <c r="M391" s="165">
        <f t="shared" ref="M391:M408" si="171">+I391-L391</f>
        <v>0</v>
      </c>
      <c r="N391" s="165">
        <v>0</v>
      </c>
      <c r="O391" s="165">
        <f t="shared" ref="O391:O408" si="172">+N391-I391</f>
        <v>0</v>
      </c>
      <c r="P391" s="165">
        <f t="shared" ref="P391:P408" si="173">+G391-N391</f>
        <v>33500000</v>
      </c>
      <c r="Q391" s="165">
        <f t="shared" ref="Q391:Q408" si="174">+L391</f>
        <v>0</v>
      </c>
      <c r="V391" s="149">
        <v>33500000</v>
      </c>
    </row>
    <row r="392" spans="1:25" x14ac:dyDescent="0.25">
      <c r="A392" s="163">
        <v>23513</v>
      </c>
      <c r="B392" s="164" t="s">
        <v>212</v>
      </c>
      <c r="C392" s="165">
        <v>0</v>
      </c>
      <c r="D392" s="165">
        <v>0</v>
      </c>
      <c r="E392" s="165">
        <v>0</v>
      </c>
      <c r="F392" s="165">
        <v>26965898</v>
      </c>
      <c r="G392" s="165">
        <f t="shared" si="165"/>
        <v>26965898</v>
      </c>
      <c r="H392" s="165">
        <v>0</v>
      </c>
      <c r="I392" s="165">
        <v>10465248</v>
      </c>
      <c r="J392" s="165">
        <f t="shared" si="170"/>
        <v>16500650</v>
      </c>
      <c r="K392" s="165">
        <v>0</v>
      </c>
      <c r="L392" s="165">
        <v>0</v>
      </c>
      <c r="M392" s="165">
        <f t="shared" si="171"/>
        <v>10465248</v>
      </c>
      <c r="N392" s="165">
        <v>10465248</v>
      </c>
      <c r="O392" s="165">
        <f t="shared" si="172"/>
        <v>0</v>
      </c>
      <c r="P392" s="165">
        <f t="shared" si="173"/>
        <v>16500650</v>
      </c>
      <c r="Q392" s="165">
        <f t="shared" si="174"/>
        <v>0</v>
      </c>
      <c r="V392" s="149">
        <v>16500650</v>
      </c>
    </row>
    <row r="393" spans="1:25" x14ac:dyDescent="0.25">
      <c r="A393" s="163">
        <v>23514</v>
      </c>
      <c r="B393" s="164" t="s">
        <v>831</v>
      </c>
      <c r="C393" s="165"/>
      <c r="D393" s="165">
        <v>0</v>
      </c>
      <c r="E393" s="165">
        <v>0</v>
      </c>
      <c r="F393" s="165">
        <v>21144451</v>
      </c>
      <c r="G393" s="165">
        <f t="shared" si="165"/>
        <v>21144451</v>
      </c>
      <c r="H393" s="165">
        <v>0</v>
      </c>
      <c r="I393" s="165">
        <v>0</v>
      </c>
      <c r="J393" s="165">
        <f t="shared" si="170"/>
        <v>21144451</v>
      </c>
      <c r="K393" s="165">
        <v>0</v>
      </c>
      <c r="L393" s="165">
        <v>0</v>
      </c>
      <c r="M393" s="165">
        <f t="shared" si="171"/>
        <v>0</v>
      </c>
      <c r="N393" s="165">
        <v>0</v>
      </c>
      <c r="O393" s="165">
        <f t="shared" si="172"/>
        <v>0</v>
      </c>
      <c r="P393" s="165">
        <f t="shared" si="173"/>
        <v>21144451</v>
      </c>
      <c r="Q393" s="165">
        <f t="shared" si="174"/>
        <v>0</v>
      </c>
      <c r="V393" s="149">
        <v>21144451</v>
      </c>
    </row>
    <row r="394" spans="1:25" x14ac:dyDescent="0.25">
      <c r="A394" s="163">
        <v>23517</v>
      </c>
      <c r="B394" s="164" t="s">
        <v>841</v>
      </c>
      <c r="C394" s="165">
        <v>0</v>
      </c>
      <c r="D394" s="165">
        <v>821400131</v>
      </c>
      <c r="E394" s="165">
        <v>0</v>
      </c>
      <c r="F394" s="165">
        <v>0</v>
      </c>
      <c r="G394" s="165">
        <f t="shared" si="165"/>
        <v>821400131</v>
      </c>
      <c r="H394" s="165">
        <v>0</v>
      </c>
      <c r="I394" s="165">
        <v>0</v>
      </c>
      <c r="J394" s="165">
        <f t="shared" si="170"/>
        <v>821400131</v>
      </c>
      <c r="K394" s="165">
        <v>0</v>
      </c>
      <c r="L394" s="165">
        <v>0</v>
      </c>
      <c r="M394" s="165">
        <f t="shared" si="171"/>
        <v>0</v>
      </c>
      <c r="N394" s="165">
        <v>0</v>
      </c>
      <c r="O394" s="165">
        <f t="shared" si="172"/>
        <v>0</v>
      </c>
      <c r="P394" s="165">
        <f t="shared" si="173"/>
        <v>821400131</v>
      </c>
      <c r="Q394" s="165">
        <f t="shared" si="174"/>
        <v>0</v>
      </c>
      <c r="V394" s="149">
        <v>821400131</v>
      </c>
      <c r="X394" s="167"/>
      <c r="Y394" s="168"/>
    </row>
    <row r="395" spans="1:25" x14ac:dyDescent="0.25">
      <c r="A395" s="163">
        <v>23518</v>
      </c>
      <c r="B395" s="164" t="s">
        <v>840</v>
      </c>
      <c r="C395" s="165">
        <v>0</v>
      </c>
      <c r="D395" s="165">
        <v>712412336.89999998</v>
      </c>
      <c r="E395" s="165">
        <v>0</v>
      </c>
      <c r="F395" s="165">
        <v>0</v>
      </c>
      <c r="G395" s="165">
        <f t="shared" si="165"/>
        <v>712412336.89999998</v>
      </c>
      <c r="H395" s="165">
        <v>0</v>
      </c>
      <c r="I395" s="165">
        <v>703757378</v>
      </c>
      <c r="J395" s="165">
        <f t="shared" si="170"/>
        <v>8654958.8999999762</v>
      </c>
      <c r="K395" s="165">
        <v>238029528.30000001</v>
      </c>
      <c r="L395" s="165">
        <v>238029528.30000001</v>
      </c>
      <c r="M395" s="165">
        <f t="shared" si="171"/>
        <v>465727849.69999999</v>
      </c>
      <c r="N395" s="165">
        <v>711325617</v>
      </c>
      <c r="O395" s="165">
        <f t="shared" si="172"/>
        <v>7568239</v>
      </c>
      <c r="P395" s="165">
        <f t="shared" si="173"/>
        <v>1086719.8999999762</v>
      </c>
      <c r="Q395" s="165">
        <f t="shared" si="174"/>
        <v>238029528.30000001</v>
      </c>
      <c r="V395" s="149">
        <v>1086719.8999999762</v>
      </c>
      <c r="X395" s="167"/>
      <c r="Y395" s="168"/>
    </row>
    <row r="396" spans="1:25" x14ac:dyDescent="0.25">
      <c r="A396" s="163">
        <v>23519</v>
      </c>
      <c r="B396" s="164" t="s">
        <v>842</v>
      </c>
      <c r="C396" s="165">
        <v>0</v>
      </c>
      <c r="D396" s="165">
        <v>200000000</v>
      </c>
      <c r="E396" s="165">
        <v>0</v>
      </c>
      <c r="F396" s="165">
        <v>0</v>
      </c>
      <c r="G396" s="165">
        <f t="shared" si="165"/>
        <v>200000000</v>
      </c>
      <c r="H396" s="165">
        <v>195657841</v>
      </c>
      <c r="I396" s="165">
        <v>199657841</v>
      </c>
      <c r="J396" s="165">
        <f t="shared" si="170"/>
        <v>342159</v>
      </c>
      <c r="K396" s="165">
        <v>0</v>
      </c>
      <c r="L396" s="165">
        <v>4000000</v>
      </c>
      <c r="M396" s="165">
        <f t="shared" si="171"/>
        <v>195657841</v>
      </c>
      <c r="N396" s="165">
        <v>200000000</v>
      </c>
      <c r="O396" s="165">
        <f t="shared" si="172"/>
        <v>342159</v>
      </c>
      <c r="P396" s="165">
        <f t="shared" si="173"/>
        <v>0</v>
      </c>
      <c r="Q396" s="165">
        <f t="shared" si="174"/>
        <v>4000000</v>
      </c>
      <c r="V396" s="149">
        <v>0</v>
      </c>
      <c r="X396" s="167"/>
      <c r="Y396" s="168"/>
    </row>
    <row r="397" spans="1:25" ht="30" x14ac:dyDescent="0.25">
      <c r="A397" s="163">
        <v>23520</v>
      </c>
      <c r="B397" s="164" t="s">
        <v>843</v>
      </c>
      <c r="C397" s="165">
        <v>0</v>
      </c>
      <c r="D397" s="165">
        <v>48756553.100000001</v>
      </c>
      <c r="E397" s="165">
        <v>0</v>
      </c>
      <c r="F397" s="165">
        <v>0</v>
      </c>
      <c r="G397" s="165">
        <f t="shared" si="165"/>
        <v>48756553.100000001</v>
      </c>
      <c r="H397" s="165">
        <v>0</v>
      </c>
      <c r="I397" s="165">
        <v>48756553.100000001</v>
      </c>
      <c r="J397" s="165">
        <f t="shared" si="170"/>
        <v>0</v>
      </c>
      <c r="K397" s="165">
        <v>0</v>
      </c>
      <c r="L397" s="165">
        <v>48756553.100000001</v>
      </c>
      <c r="M397" s="165">
        <f t="shared" si="171"/>
        <v>0</v>
      </c>
      <c r="N397" s="165">
        <v>48756553.100000001</v>
      </c>
      <c r="O397" s="165">
        <f t="shared" si="172"/>
        <v>0</v>
      </c>
      <c r="P397" s="165">
        <f t="shared" si="173"/>
        <v>0</v>
      </c>
      <c r="Q397" s="165">
        <f t="shared" si="174"/>
        <v>48756553.100000001</v>
      </c>
      <c r="V397" s="149">
        <v>0</v>
      </c>
      <c r="X397" s="167"/>
      <c r="Y397" s="168"/>
    </row>
    <row r="398" spans="1:25" x14ac:dyDescent="0.25">
      <c r="A398" s="163">
        <v>23521</v>
      </c>
      <c r="B398" s="164" t="s">
        <v>844</v>
      </c>
      <c r="C398" s="165">
        <v>0</v>
      </c>
      <c r="D398" s="165">
        <v>400000000</v>
      </c>
      <c r="E398" s="165">
        <v>0</v>
      </c>
      <c r="F398" s="165">
        <v>0</v>
      </c>
      <c r="G398" s="165">
        <f t="shared" si="165"/>
        <v>400000000</v>
      </c>
      <c r="H398" s="165">
        <v>0</v>
      </c>
      <c r="I398" s="165">
        <v>318998061.83999997</v>
      </c>
      <c r="J398" s="165">
        <f t="shared" si="170"/>
        <v>81001938.160000026</v>
      </c>
      <c r="K398" s="165">
        <v>318998061.83999997</v>
      </c>
      <c r="L398" s="165">
        <v>318998061.83999997</v>
      </c>
      <c r="M398" s="165">
        <f t="shared" si="171"/>
        <v>0</v>
      </c>
      <c r="N398" s="165">
        <v>400000000</v>
      </c>
      <c r="O398" s="165">
        <f t="shared" si="172"/>
        <v>81001938.160000026</v>
      </c>
      <c r="P398" s="165">
        <f t="shared" si="173"/>
        <v>0</v>
      </c>
      <c r="Q398" s="165">
        <f t="shared" si="174"/>
        <v>318998061.83999997</v>
      </c>
      <c r="V398" s="149">
        <v>0</v>
      </c>
      <c r="X398" s="167"/>
      <c r="Y398" s="168"/>
    </row>
    <row r="399" spans="1:25" ht="30" x14ac:dyDescent="0.25">
      <c r="A399" s="163">
        <v>23522</v>
      </c>
      <c r="B399" s="164" t="s">
        <v>845</v>
      </c>
      <c r="C399" s="165">
        <v>0</v>
      </c>
      <c r="D399" s="165">
        <v>2505552556</v>
      </c>
      <c r="E399" s="165">
        <v>0</v>
      </c>
      <c r="F399" s="165">
        <v>0</v>
      </c>
      <c r="G399" s="165">
        <f t="shared" si="165"/>
        <v>2505552556</v>
      </c>
      <c r="H399" s="165">
        <v>0</v>
      </c>
      <c r="I399" s="165">
        <v>0</v>
      </c>
      <c r="J399" s="165">
        <f t="shared" si="170"/>
        <v>2505552556</v>
      </c>
      <c r="K399" s="165">
        <v>0</v>
      </c>
      <c r="L399" s="165">
        <v>0</v>
      </c>
      <c r="M399" s="165">
        <f t="shared" si="171"/>
        <v>0</v>
      </c>
      <c r="N399" s="165">
        <v>0</v>
      </c>
      <c r="O399" s="165">
        <f t="shared" si="172"/>
        <v>0</v>
      </c>
      <c r="P399" s="165">
        <f t="shared" si="173"/>
        <v>2505552556</v>
      </c>
      <c r="Q399" s="165">
        <f t="shared" si="174"/>
        <v>0</v>
      </c>
      <c r="V399" s="149">
        <v>2505552556</v>
      </c>
      <c r="X399" s="167"/>
      <c r="Y399" s="168"/>
    </row>
    <row r="400" spans="1:25" x14ac:dyDescent="0.25">
      <c r="A400" s="163">
        <v>23523</v>
      </c>
      <c r="B400" s="164" t="s">
        <v>846</v>
      </c>
      <c r="C400" s="165">
        <v>0</v>
      </c>
      <c r="D400" s="165">
        <v>178599869</v>
      </c>
      <c r="E400" s="165">
        <v>0</v>
      </c>
      <c r="F400" s="165">
        <v>0</v>
      </c>
      <c r="G400" s="165">
        <f t="shared" si="165"/>
        <v>178599869</v>
      </c>
      <c r="H400" s="165">
        <v>0</v>
      </c>
      <c r="I400" s="165">
        <v>0</v>
      </c>
      <c r="J400" s="165">
        <f t="shared" si="170"/>
        <v>178599869</v>
      </c>
      <c r="K400" s="165">
        <v>0</v>
      </c>
      <c r="L400" s="165">
        <v>0</v>
      </c>
      <c r="M400" s="165">
        <f t="shared" si="171"/>
        <v>0</v>
      </c>
      <c r="N400" s="165">
        <v>0</v>
      </c>
      <c r="O400" s="165">
        <f t="shared" si="172"/>
        <v>0</v>
      </c>
      <c r="P400" s="165">
        <f t="shared" si="173"/>
        <v>178599869</v>
      </c>
      <c r="Q400" s="165">
        <f t="shared" si="174"/>
        <v>0</v>
      </c>
      <c r="V400" s="149">
        <v>178599869</v>
      </c>
      <c r="X400" s="167"/>
      <c r="Y400" s="168"/>
    </row>
    <row r="401" spans="1:25" ht="30" x14ac:dyDescent="0.25">
      <c r="A401" s="163">
        <v>23524</v>
      </c>
      <c r="B401" s="164" t="s">
        <v>832</v>
      </c>
      <c r="C401" s="165"/>
      <c r="D401" s="165">
        <v>0</v>
      </c>
      <c r="E401" s="165">
        <v>0</v>
      </c>
      <c r="F401" s="165">
        <v>38594282.009999998</v>
      </c>
      <c r="G401" s="165">
        <f t="shared" si="165"/>
        <v>38594282.009999998</v>
      </c>
      <c r="H401" s="165">
        <v>0</v>
      </c>
      <c r="I401" s="165">
        <v>0</v>
      </c>
      <c r="J401" s="165">
        <f t="shared" si="170"/>
        <v>38594282.009999998</v>
      </c>
      <c r="K401" s="165">
        <v>0</v>
      </c>
      <c r="L401" s="165">
        <v>0</v>
      </c>
      <c r="M401" s="165">
        <f t="shared" si="171"/>
        <v>0</v>
      </c>
      <c r="N401" s="165">
        <v>0</v>
      </c>
      <c r="O401" s="165">
        <f t="shared" si="172"/>
        <v>0</v>
      </c>
      <c r="P401" s="165">
        <f t="shared" si="173"/>
        <v>38594282.009999998</v>
      </c>
      <c r="Q401" s="165">
        <f t="shared" si="174"/>
        <v>0</v>
      </c>
      <c r="V401" s="149">
        <v>38594282.009999998</v>
      </c>
    </row>
    <row r="402" spans="1:25" x14ac:dyDescent="0.25">
      <c r="A402" s="163">
        <v>23525</v>
      </c>
      <c r="B402" s="164" t="s">
        <v>833</v>
      </c>
      <c r="C402" s="165"/>
      <c r="D402" s="165">
        <v>0</v>
      </c>
      <c r="E402" s="165">
        <v>0</v>
      </c>
      <c r="F402" s="165">
        <v>118102197.2</v>
      </c>
      <c r="G402" s="165">
        <f t="shared" si="165"/>
        <v>118102197.2</v>
      </c>
      <c r="H402" s="165">
        <v>0</v>
      </c>
      <c r="I402" s="165">
        <v>3511000</v>
      </c>
      <c r="J402" s="165">
        <f t="shared" si="170"/>
        <v>114591197.2</v>
      </c>
      <c r="K402" s="165">
        <v>0</v>
      </c>
      <c r="L402" s="165">
        <v>3511000</v>
      </c>
      <c r="M402" s="165">
        <f t="shared" si="171"/>
        <v>0</v>
      </c>
      <c r="N402" s="165">
        <v>9011000</v>
      </c>
      <c r="O402" s="165">
        <f t="shared" si="172"/>
        <v>5500000</v>
      </c>
      <c r="P402" s="165">
        <f t="shared" si="173"/>
        <v>109091197.2</v>
      </c>
      <c r="Q402" s="165">
        <f t="shared" si="174"/>
        <v>3511000</v>
      </c>
      <c r="V402" s="149">
        <v>109091197.2</v>
      </c>
      <c r="X402" s="167"/>
      <c r="Y402" s="168"/>
    </row>
    <row r="403" spans="1:25" x14ac:dyDescent="0.25">
      <c r="A403" s="163">
        <v>23526</v>
      </c>
      <c r="B403" s="164" t="s">
        <v>834</v>
      </c>
      <c r="C403" s="165"/>
      <c r="D403" s="165">
        <v>0</v>
      </c>
      <c r="E403" s="165">
        <v>0</v>
      </c>
      <c r="F403" s="165">
        <v>41560320.609999999</v>
      </c>
      <c r="G403" s="165">
        <f t="shared" si="165"/>
        <v>41560320.609999999</v>
      </c>
      <c r="H403" s="165">
        <v>1000000</v>
      </c>
      <c r="I403" s="165">
        <v>22276158</v>
      </c>
      <c r="J403" s="165">
        <f t="shared" si="170"/>
        <v>19284162.609999999</v>
      </c>
      <c r="K403" s="165">
        <v>4411500</v>
      </c>
      <c r="L403" s="165">
        <v>4411500</v>
      </c>
      <c r="M403" s="165">
        <f t="shared" si="171"/>
        <v>17864658</v>
      </c>
      <c r="N403" s="165">
        <v>38099240</v>
      </c>
      <c r="O403" s="165">
        <f t="shared" si="172"/>
        <v>15823082</v>
      </c>
      <c r="P403" s="165">
        <f t="shared" si="173"/>
        <v>3461080.6099999994</v>
      </c>
      <c r="Q403" s="165">
        <f t="shared" si="174"/>
        <v>4411500</v>
      </c>
      <c r="V403" s="149">
        <v>3461080.6099999994</v>
      </c>
      <c r="X403" s="167"/>
      <c r="Y403" s="168"/>
    </row>
    <row r="404" spans="1:25" x14ac:dyDescent="0.25">
      <c r="A404" s="163">
        <v>23527</v>
      </c>
      <c r="B404" s="164" t="s">
        <v>835</v>
      </c>
      <c r="C404" s="165"/>
      <c r="D404" s="165">
        <v>0</v>
      </c>
      <c r="E404" s="165">
        <v>0</v>
      </c>
      <c r="F404" s="165">
        <v>114572114.70999999</v>
      </c>
      <c r="G404" s="165">
        <f t="shared" si="165"/>
        <v>114572114.70999999</v>
      </c>
      <c r="H404" s="165">
        <v>0</v>
      </c>
      <c r="I404" s="165">
        <v>1525550</v>
      </c>
      <c r="J404" s="165">
        <f t="shared" si="170"/>
        <v>113046564.70999999</v>
      </c>
      <c r="K404" s="165">
        <v>0</v>
      </c>
      <c r="L404" s="165">
        <v>1525550</v>
      </c>
      <c r="M404" s="165">
        <f t="shared" si="171"/>
        <v>0</v>
      </c>
      <c r="N404" s="165">
        <v>1579650</v>
      </c>
      <c r="O404" s="165">
        <f t="shared" si="172"/>
        <v>54100</v>
      </c>
      <c r="P404" s="165">
        <f t="shared" si="173"/>
        <v>112992464.70999999</v>
      </c>
      <c r="Q404" s="165">
        <f t="shared" si="174"/>
        <v>1525550</v>
      </c>
      <c r="V404" s="149">
        <v>112992464.70999999</v>
      </c>
      <c r="X404" s="167"/>
      <c r="Y404" s="168"/>
    </row>
    <row r="405" spans="1:25" x14ac:dyDescent="0.25">
      <c r="A405" s="163">
        <v>23528</v>
      </c>
      <c r="B405" s="164" t="s">
        <v>836</v>
      </c>
      <c r="C405" s="165"/>
      <c r="D405" s="165">
        <v>0</v>
      </c>
      <c r="E405" s="165">
        <v>0</v>
      </c>
      <c r="F405" s="165">
        <v>132802785.45</v>
      </c>
      <c r="G405" s="165">
        <f t="shared" si="165"/>
        <v>132802785.45</v>
      </c>
      <c r="H405" s="165">
        <v>0</v>
      </c>
      <c r="I405" s="165">
        <v>475490</v>
      </c>
      <c r="J405" s="165">
        <f t="shared" si="170"/>
        <v>132327295.45</v>
      </c>
      <c r="K405" s="165">
        <v>0</v>
      </c>
      <c r="L405" s="165">
        <v>475490</v>
      </c>
      <c r="M405" s="165">
        <f t="shared" si="171"/>
        <v>0</v>
      </c>
      <c r="N405" s="165">
        <v>128307560</v>
      </c>
      <c r="O405" s="165">
        <f t="shared" si="172"/>
        <v>127832070</v>
      </c>
      <c r="P405" s="165">
        <f t="shared" si="173"/>
        <v>4495225.450000003</v>
      </c>
      <c r="Q405" s="165">
        <f t="shared" si="174"/>
        <v>475490</v>
      </c>
      <c r="V405" s="149">
        <v>4495225.450000003</v>
      </c>
      <c r="X405" s="167"/>
      <c r="Y405" s="168"/>
    </row>
    <row r="406" spans="1:25" s="100" customFormat="1" ht="30" x14ac:dyDescent="0.25">
      <c r="A406" s="163">
        <v>23529</v>
      </c>
      <c r="B406" s="164" t="s">
        <v>837</v>
      </c>
      <c r="C406" s="165"/>
      <c r="D406" s="165">
        <v>0</v>
      </c>
      <c r="E406" s="165">
        <v>0</v>
      </c>
      <c r="F406" s="165">
        <v>430578182.44</v>
      </c>
      <c r="G406" s="165">
        <f t="shared" si="165"/>
        <v>430578182.44</v>
      </c>
      <c r="H406" s="165">
        <v>9601377.7100000009</v>
      </c>
      <c r="I406" s="165">
        <v>136363317.71000001</v>
      </c>
      <c r="J406" s="165">
        <f t="shared" si="170"/>
        <v>294214864.73000002</v>
      </c>
      <c r="K406" s="165">
        <v>6480614</v>
      </c>
      <c r="L406" s="165">
        <v>97306637</v>
      </c>
      <c r="M406" s="165">
        <f t="shared" si="171"/>
        <v>39056680.710000008</v>
      </c>
      <c r="N406" s="165">
        <v>265354156</v>
      </c>
      <c r="O406" s="165">
        <f t="shared" si="172"/>
        <v>128990838.28999999</v>
      </c>
      <c r="P406" s="165">
        <f t="shared" si="173"/>
        <v>165224026.44</v>
      </c>
      <c r="Q406" s="165">
        <f t="shared" si="174"/>
        <v>97306637</v>
      </c>
      <c r="R406" s="84"/>
      <c r="S406" s="84"/>
      <c r="T406" s="84"/>
      <c r="U406" s="84"/>
      <c r="V406" s="149">
        <v>165224026.44</v>
      </c>
      <c r="X406" s="167"/>
      <c r="Y406" s="168"/>
    </row>
    <row r="407" spans="1:25" x14ac:dyDescent="0.25">
      <c r="A407" s="163">
        <v>23530</v>
      </c>
      <c r="B407" s="164" t="s">
        <v>838</v>
      </c>
      <c r="C407" s="165"/>
      <c r="D407" s="165">
        <v>0</v>
      </c>
      <c r="E407" s="165">
        <v>0</v>
      </c>
      <c r="F407" s="165">
        <v>177269391.56999999</v>
      </c>
      <c r="G407" s="165">
        <f t="shared" si="165"/>
        <v>177269391.56999999</v>
      </c>
      <c r="H407" s="165">
        <v>0</v>
      </c>
      <c r="I407" s="165">
        <v>0</v>
      </c>
      <c r="J407" s="165">
        <f t="shared" si="170"/>
        <v>177269391.56999999</v>
      </c>
      <c r="K407" s="165">
        <v>0</v>
      </c>
      <c r="L407" s="165">
        <v>0</v>
      </c>
      <c r="M407" s="165">
        <f t="shared" si="171"/>
        <v>0</v>
      </c>
      <c r="N407" s="165">
        <v>4829000</v>
      </c>
      <c r="O407" s="165">
        <f t="shared" si="172"/>
        <v>4829000</v>
      </c>
      <c r="P407" s="165">
        <f t="shared" si="173"/>
        <v>172440391.56999999</v>
      </c>
      <c r="Q407" s="165">
        <f t="shared" si="174"/>
        <v>0</v>
      </c>
      <c r="V407" s="149">
        <v>172440391.56999999</v>
      </c>
      <c r="X407" s="167"/>
      <c r="Y407" s="168"/>
    </row>
    <row r="408" spans="1:25" ht="30" x14ac:dyDescent="0.25">
      <c r="A408" s="163">
        <v>23531</v>
      </c>
      <c r="B408" s="164" t="s">
        <v>839</v>
      </c>
      <c r="C408" s="165"/>
      <c r="D408" s="165">
        <v>0</v>
      </c>
      <c r="E408" s="165">
        <v>0</v>
      </c>
      <c r="F408" s="165">
        <v>215142209.47999999</v>
      </c>
      <c r="G408" s="165">
        <f t="shared" si="165"/>
        <v>215142209.47999999</v>
      </c>
      <c r="H408" s="165">
        <v>0</v>
      </c>
      <c r="I408" s="165">
        <v>19291193</v>
      </c>
      <c r="J408" s="165">
        <f t="shared" si="170"/>
        <v>195851016.47999999</v>
      </c>
      <c r="K408" s="165">
        <v>3885400</v>
      </c>
      <c r="L408" s="165">
        <v>14282400</v>
      </c>
      <c r="M408" s="165">
        <f t="shared" si="171"/>
        <v>5008793</v>
      </c>
      <c r="N408" s="165">
        <v>47556650</v>
      </c>
      <c r="O408" s="165">
        <f t="shared" si="172"/>
        <v>28265457</v>
      </c>
      <c r="P408" s="165">
        <f t="shared" si="173"/>
        <v>167585559.47999999</v>
      </c>
      <c r="Q408" s="165">
        <f t="shared" si="174"/>
        <v>14282400</v>
      </c>
      <c r="V408" s="149">
        <v>167585559.47999999</v>
      </c>
      <c r="X408" s="167"/>
      <c r="Y408" s="168"/>
    </row>
    <row r="409" spans="1:25" x14ac:dyDescent="0.25">
      <c r="U409" s="100"/>
      <c r="X409" s="167"/>
      <c r="Y409" s="168"/>
    </row>
    <row r="410" spans="1:25" x14ac:dyDescent="0.25">
      <c r="X410" s="167"/>
      <c r="Y410" s="168"/>
    </row>
    <row r="411" spans="1:25" x14ac:dyDescent="0.25">
      <c r="X411" s="167"/>
      <c r="Y411" s="168"/>
    </row>
    <row r="412" spans="1:25" x14ac:dyDescent="0.25">
      <c r="X412" s="167"/>
      <c r="Y412" s="168"/>
    </row>
    <row r="413" spans="1:25" x14ac:dyDescent="0.25">
      <c r="X413" s="167"/>
      <c r="Y413" s="168"/>
    </row>
    <row r="414" spans="1:25" x14ac:dyDescent="0.25">
      <c r="X414" s="167"/>
      <c r="Y414" s="168"/>
    </row>
    <row r="415" spans="1:25" x14ac:dyDescent="0.25">
      <c r="X415" s="167"/>
      <c r="Y415" s="168"/>
    </row>
    <row r="416" spans="1:25" x14ac:dyDescent="0.25">
      <c r="X416" s="167"/>
      <c r="Y416" s="168"/>
    </row>
    <row r="417" spans="24:25" x14ac:dyDescent="0.25">
      <c r="X417" s="167"/>
      <c r="Y417" s="168"/>
    </row>
    <row r="418" spans="24:25" x14ac:dyDescent="0.25">
      <c r="X418" s="167"/>
      <c r="Y418" s="168"/>
    </row>
    <row r="419" spans="24:25" x14ac:dyDescent="0.25">
      <c r="X419" s="167"/>
      <c r="Y419" s="168"/>
    </row>
    <row r="420" spans="24:25" x14ac:dyDescent="0.25">
      <c r="X420" s="167"/>
      <c r="Y420" s="168"/>
    </row>
    <row r="421" spans="24:25" x14ac:dyDescent="0.25">
      <c r="X421" s="167"/>
      <c r="Y421" s="168"/>
    </row>
    <row r="422" spans="24:25" x14ac:dyDescent="0.25">
      <c r="X422" s="167"/>
      <c r="Y422" s="168"/>
    </row>
    <row r="423" spans="24:25" x14ac:dyDescent="0.25">
      <c r="X423" s="167"/>
      <c r="Y423" s="168"/>
    </row>
    <row r="424" spans="24:25" x14ac:dyDescent="0.25">
      <c r="X424" s="20"/>
      <c r="Y424" s="168"/>
    </row>
    <row r="425" spans="24:25" x14ac:dyDescent="0.25">
      <c r="X425" s="20"/>
      <c r="Y425" s="168"/>
    </row>
    <row r="426" spans="24:25" x14ac:dyDescent="0.25">
      <c r="X426" s="20"/>
      <c r="Y426" s="168"/>
    </row>
    <row r="427" spans="24:25" x14ac:dyDescent="0.25">
      <c r="X427" s="20"/>
      <c r="Y427" s="168"/>
    </row>
    <row r="428" spans="24:25" x14ac:dyDescent="0.25">
      <c r="X428" s="20"/>
      <c r="Y428" s="168"/>
    </row>
    <row r="429" spans="24:25" x14ac:dyDescent="0.25">
      <c r="X429" s="20"/>
      <c r="Y429" s="168"/>
    </row>
    <row r="430" spans="24:25" x14ac:dyDescent="0.25">
      <c r="X430" s="20"/>
      <c r="Y430" s="168"/>
    </row>
    <row r="431" spans="24:25" x14ac:dyDescent="0.25">
      <c r="X431" s="20"/>
      <c r="Y431" s="168"/>
    </row>
    <row r="432" spans="24:25" x14ac:dyDescent="0.25">
      <c r="X432" s="20"/>
      <c r="Y432" s="168"/>
    </row>
    <row r="433" spans="24:25" x14ac:dyDescent="0.25">
      <c r="X433" s="20"/>
      <c r="Y433" s="168"/>
    </row>
    <row r="434" spans="24:25" x14ac:dyDescent="0.25">
      <c r="X434" s="20"/>
      <c r="Y434" s="168"/>
    </row>
    <row r="435" spans="24:25" x14ac:dyDescent="0.25">
      <c r="X435" s="20"/>
      <c r="Y435" s="168"/>
    </row>
    <row r="436" spans="24:25" x14ac:dyDescent="0.25">
      <c r="X436" s="20"/>
      <c r="Y436" s="168"/>
    </row>
    <row r="437" spans="24:25" x14ac:dyDescent="0.25">
      <c r="X437" s="20"/>
      <c r="Y437" s="168"/>
    </row>
    <row r="438" spans="24:25" x14ac:dyDescent="0.25">
      <c r="X438" s="20"/>
      <c r="Y438" s="168"/>
    </row>
    <row r="439" spans="24:25" x14ac:dyDescent="0.25">
      <c r="X439" s="20"/>
      <c r="Y439" s="168"/>
    </row>
    <row r="440" spans="24:25" x14ac:dyDescent="0.25">
      <c r="X440" s="20"/>
      <c r="Y440" s="168"/>
    </row>
    <row r="441" spans="24:25" x14ac:dyDescent="0.25">
      <c r="X441" s="20"/>
      <c r="Y441" s="168"/>
    </row>
    <row r="442" spans="24:25" x14ac:dyDescent="0.25">
      <c r="X442" s="20"/>
      <c r="Y442" s="168"/>
    </row>
    <row r="443" spans="24:25" x14ac:dyDescent="0.25">
      <c r="X443" s="20"/>
      <c r="Y443" s="168"/>
    </row>
    <row r="444" spans="24:25" x14ac:dyDescent="0.25">
      <c r="X444" s="20"/>
      <c r="Y444" s="168"/>
    </row>
    <row r="445" spans="24:25" x14ac:dyDescent="0.25">
      <c r="X445" s="20"/>
      <c r="Y445" s="168"/>
    </row>
    <row r="446" spans="24:25" x14ac:dyDescent="0.25">
      <c r="X446" s="20"/>
      <c r="Y446" s="168"/>
    </row>
    <row r="447" spans="24:25" x14ac:dyDescent="0.25">
      <c r="X447" s="20"/>
      <c r="Y447" s="168"/>
    </row>
    <row r="448" spans="24:25" x14ac:dyDescent="0.25">
      <c r="X448" s="20"/>
      <c r="Y448" s="168"/>
    </row>
    <row r="449" spans="24:25" x14ac:dyDescent="0.25">
      <c r="X449" s="100"/>
      <c r="Y449" s="167"/>
    </row>
    <row r="450" spans="24:25" x14ac:dyDescent="0.25">
      <c r="X450" s="167"/>
      <c r="Y450" s="168"/>
    </row>
    <row r="451" spans="24:25" x14ac:dyDescent="0.25">
      <c r="X451" s="167"/>
      <c r="Y451" s="168"/>
    </row>
    <row r="452" spans="24:25" x14ac:dyDescent="0.25">
      <c r="X452" s="167"/>
      <c r="Y452" s="168"/>
    </row>
    <row r="453" spans="24:25" x14ac:dyDescent="0.25">
      <c r="X453" s="167"/>
      <c r="Y453" s="168"/>
    </row>
    <row r="454" spans="24:25" x14ac:dyDescent="0.25">
      <c r="X454" s="167"/>
      <c r="Y454" s="168"/>
    </row>
    <row r="455" spans="24:25" x14ac:dyDescent="0.25">
      <c r="X455" s="167"/>
      <c r="Y455" s="168"/>
    </row>
    <row r="456" spans="24:25" x14ac:dyDescent="0.25">
      <c r="X456" s="167"/>
      <c r="Y456" s="168"/>
    </row>
    <row r="457" spans="24:25" x14ac:dyDescent="0.25">
      <c r="X457" s="167"/>
      <c r="Y457" s="168"/>
    </row>
    <row r="459" spans="24:25" x14ac:dyDescent="0.25">
      <c r="X459" s="167"/>
      <c r="Y459" s="168"/>
    </row>
    <row r="460" spans="24:25" x14ac:dyDescent="0.25">
      <c r="X460" s="167"/>
      <c r="Y460" s="168"/>
    </row>
    <row r="461" spans="24:25" x14ac:dyDescent="0.25">
      <c r="X461" s="167"/>
      <c r="Y461" s="168"/>
    </row>
    <row r="462" spans="24:25" x14ac:dyDescent="0.25">
      <c r="X462" s="167"/>
      <c r="Y462" s="168"/>
    </row>
    <row r="463" spans="24:25" x14ac:dyDescent="0.25">
      <c r="X463" s="167"/>
      <c r="Y463" s="168"/>
    </row>
    <row r="464" spans="24:25" x14ac:dyDescent="0.25">
      <c r="X464" s="167"/>
      <c r="Y464" s="168"/>
    </row>
    <row r="465" spans="24:25" x14ac:dyDescent="0.25">
      <c r="X465" s="167"/>
      <c r="Y465" s="168"/>
    </row>
    <row r="466" spans="24:25" x14ac:dyDescent="0.25">
      <c r="X466" s="167"/>
      <c r="Y466" s="168"/>
    </row>
    <row r="467" spans="24:25" x14ac:dyDescent="0.25">
      <c r="X467" s="167"/>
      <c r="Y467" s="168"/>
    </row>
    <row r="468" spans="24:25" x14ac:dyDescent="0.25">
      <c r="X468" s="167"/>
      <c r="Y468" s="168"/>
    </row>
    <row r="469" spans="24:25" x14ac:dyDescent="0.25">
      <c r="X469" s="167"/>
      <c r="Y469" s="168"/>
    </row>
    <row r="470" spans="24:25" x14ac:dyDescent="0.25">
      <c r="X470" s="167"/>
      <c r="Y470" s="168"/>
    </row>
    <row r="471" spans="24:25" x14ac:dyDescent="0.25">
      <c r="X471" s="167"/>
      <c r="Y471" s="168"/>
    </row>
    <row r="472" spans="24:25" x14ac:dyDescent="0.25">
      <c r="X472" s="167"/>
      <c r="Y472" s="168"/>
    </row>
    <row r="473" spans="24:25" x14ac:dyDescent="0.25">
      <c r="X473" s="167"/>
      <c r="Y473" s="168"/>
    </row>
    <row r="474" spans="24:25" x14ac:dyDescent="0.25">
      <c r="X474" s="167"/>
      <c r="Y474" s="168"/>
    </row>
    <row r="475" spans="24:25" x14ac:dyDescent="0.25">
      <c r="X475" s="167"/>
      <c r="Y475" s="168"/>
    </row>
    <row r="476" spans="24:25" x14ac:dyDescent="0.25">
      <c r="X476" s="167"/>
      <c r="Y476" s="168"/>
    </row>
    <row r="477" spans="24:25" x14ac:dyDescent="0.25">
      <c r="X477" s="167"/>
      <c r="Y477" s="168"/>
    </row>
    <row r="478" spans="24:25" x14ac:dyDescent="0.25">
      <c r="X478" s="167"/>
      <c r="Y478" s="168"/>
    </row>
    <row r="479" spans="24:25" x14ac:dyDescent="0.25">
      <c r="X479" s="167"/>
      <c r="Y479" s="168"/>
    </row>
    <row r="480" spans="24:25" x14ac:dyDescent="0.25">
      <c r="X480" s="167"/>
      <c r="Y480" s="168"/>
    </row>
    <row r="481" spans="24:25" x14ac:dyDescent="0.25">
      <c r="X481" s="167"/>
      <c r="Y481" s="168"/>
    </row>
    <row r="482" spans="24:25" x14ac:dyDescent="0.25">
      <c r="X482" s="167"/>
      <c r="Y482" s="168"/>
    </row>
    <row r="483" spans="24:25" x14ac:dyDescent="0.25">
      <c r="X483" s="167"/>
      <c r="Y483" s="168"/>
    </row>
    <row r="484" spans="24:25" x14ac:dyDescent="0.25">
      <c r="X484" s="167"/>
      <c r="Y484" s="168"/>
    </row>
    <row r="485" spans="24:25" x14ac:dyDescent="0.25">
      <c r="X485" s="167"/>
      <c r="Y485" s="168"/>
    </row>
    <row r="486" spans="24:25" x14ac:dyDescent="0.25">
      <c r="X486" s="167"/>
      <c r="Y486" s="168"/>
    </row>
    <row r="487" spans="24:25" x14ac:dyDescent="0.25">
      <c r="X487" s="167"/>
      <c r="Y487" s="168"/>
    </row>
    <row r="488" spans="24:25" x14ac:dyDescent="0.25">
      <c r="X488" s="167"/>
      <c r="Y488" s="168"/>
    </row>
    <row r="489" spans="24:25" x14ac:dyDescent="0.25">
      <c r="X489" s="167"/>
      <c r="Y489" s="168"/>
    </row>
    <row r="490" spans="24:25" x14ac:dyDescent="0.25">
      <c r="X490" s="167"/>
      <c r="Y490" s="168"/>
    </row>
    <row r="491" spans="24:25" x14ac:dyDescent="0.25">
      <c r="X491" s="167"/>
      <c r="Y491" s="168"/>
    </row>
    <row r="492" spans="24:25" x14ac:dyDescent="0.25">
      <c r="X492" s="167"/>
      <c r="Y492" s="168"/>
    </row>
    <row r="493" spans="24:25" x14ac:dyDescent="0.25">
      <c r="X493" s="167"/>
      <c r="Y493" s="168"/>
    </row>
    <row r="494" spans="24:25" x14ac:dyDescent="0.25">
      <c r="X494" s="167"/>
      <c r="Y494" s="168"/>
    </row>
    <row r="495" spans="24:25" x14ac:dyDescent="0.25">
      <c r="X495" s="167"/>
      <c r="Y495" s="168"/>
    </row>
    <row r="496" spans="24:25" x14ac:dyDescent="0.25">
      <c r="X496" s="167"/>
      <c r="Y496" s="168"/>
    </row>
    <row r="497" spans="24:25" x14ac:dyDescent="0.25">
      <c r="X497" s="167"/>
      <c r="Y497" s="168"/>
    </row>
    <row r="498" spans="24:25" x14ac:dyDescent="0.25">
      <c r="X498" s="167"/>
      <c r="Y498" s="168"/>
    </row>
    <row r="499" spans="24:25" x14ac:dyDescent="0.25">
      <c r="X499" s="167"/>
      <c r="Y499" s="168"/>
    </row>
    <row r="500" spans="24:25" x14ac:dyDescent="0.25">
      <c r="X500" s="167"/>
      <c r="Y500" s="168"/>
    </row>
    <row r="501" spans="24:25" x14ac:dyDescent="0.25">
      <c r="X501" s="167"/>
      <c r="Y501" s="168"/>
    </row>
    <row r="502" spans="24:25" x14ac:dyDescent="0.25">
      <c r="X502" s="167"/>
      <c r="Y502" s="168"/>
    </row>
    <row r="503" spans="24:25" x14ac:dyDescent="0.25">
      <c r="X503" s="167"/>
      <c r="Y503" s="168"/>
    </row>
    <row r="504" spans="24:25" x14ac:dyDescent="0.25">
      <c r="X504" s="167"/>
      <c r="Y504" s="168"/>
    </row>
    <row r="505" spans="24:25" x14ac:dyDescent="0.25">
      <c r="X505" s="167"/>
      <c r="Y505" s="168"/>
    </row>
    <row r="506" spans="24:25" x14ac:dyDescent="0.25">
      <c r="X506" s="167"/>
      <c r="Y506" s="168"/>
    </row>
    <row r="507" spans="24:25" x14ac:dyDescent="0.25">
      <c r="X507" s="167"/>
      <c r="Y507" s="168"/>
    </row>
    <row r="508" spans="24:25" x14ac:dyDescent="0.25">
      <c r="X508" s="167"/>
      <c r="Y508" s="168"/>
    </row>
    <row r="509" spans="24:25" x14ac:dyDescent="0.25">
      <c r="X509" s="167"/>
      <c r="Y509" s="168"/>
    </row>
    <row r="510" spans="24:25" x14ac:dyDescent="0.25">
      <c r="X510" s="167"/>
      <c r="Y510" s="168"/>
    </row>
    <row r="511" spans="24:25" x14ac:dyDescent="0.25">
      <c r="X511" s="167"/>
      <c r="Y511" s="168"/>
    </row>
    <row r="512" spans="24:25" x14ac:dyDescent="0.25">
      <c r="X512" s="167"/>
      <c r="Y512" s="168"/>
    </row>
    <row r="513" spans="24:25" x14ac:dyDescent="0.25">
      <c r="X513" s="167"/>
      <c r="Y513" s="168"/>
    </row>
    <row r="514" spans="24:25" x14ac:dyDescent="0.25">
      <c r="X514" s="167"/>
      <c r="Y514" s="168"/>
    </row>
    <row r="515" spans="24:25" x14ac:dyDescent="0.25">
      <c r="X515" s="167"/>
      <c r="Y515" s="168"/>
    </row>
    <row r="516" spans="24:25" x14ac:dyDescent="0.25">
      <c r="X516" s="167"/>
      <c r="Y516" s="168"/>
    </row>
    <row r="517" spans="24:25" x14ac:dyDescent="0.25">
      <c r="X517" s="167"/>
      <c r="Y517" s="168"/>
    </row>
    <row r="518" spans="24:25" x14ac:dyDescent="0.25">
      <c r="X518" s="167"/>
      <c r="Y518" s="168"/>
    </row>
    <row r="519" spans="24:25" x14ac:dyDescent="0.25">
      <c r="X519" s="167"/>
      <c r="Y519" s="168"/>
    </row>
    <row r="520" spans="24:25" x14ac:dyDescent="0.25">
      <c r="X520" s="167"/>
      <c r="Y520" s="168"/>
    </row>
    <row r="521" spans="24:25" x14ac:dyDescent="0.25">
      <c r="X521" s="167"/>
      <c r="Y521" s="168"/>
    </row>
    <row r="522" spans="24:25" x14ac:dyDescent="0.25">
      <c r="X522" s="167"/>
      <c r="Y522" s="168"/>
    </row>
    <row r="523" spans="24:25" x14ac:dyDescent="0.25">
      <c r="X523" s="167"/>
      <c r="Y523" s="168"/>
    </row>
    <row r="524" spans="24:25" x14ac:dyDescent="0.25">
      <c r="X524" s="167"/>
      <c r="Y524" s="168"/>
    </row>
    <row r="525" spans="24:25" x14ac:dyDescent="0.25">
      <c r="X525" s="167"/>
      <c r="Y525" s="168"/>
    </row>
    <row r="526" spans="24:25" x14ac:dyDescent="0.25">
      <c r="X526" s="167"/>
      <c r="Y526" s="168"/>
    </row>
    <row r="527" spans="24:25" x14ac:dyDescent="0.25">
      <c r="X527" s="167"/>
      <c r="Y527" s="168"/>
    </row>
    <row r="528" spans="24:25" x14ac:dyDescent="0.25">
      <c r="X528" s="167"/>
      <c r="Y528" s="168"/>
    </row>
    <row r="529" spans="24:25" x14ac:dyDescent="0.25">
      <c r="X529" s="167"/>
      <c r="Y529" s="168"/>
    </row>
    <row r="530" spans="24:25" x14ac:dyDescent="0.25">
      <c r="X530" s="167"/>
      <c r="Y530" s="168"/>
    </row>
    <row r="531" spans="24:25" x14ac:dyDescent="0.25">
      <c r="X531" s="167"/>
      <c r="Y531" s="168"/>
    </row>
    <row r="532" spans="24:25" x14ac:dyDescent="0.25">
      <c r="X532" s="167"/>
      <c r="Y532" s="168"/>
    </row>
    <row r="533" spans="24:25" x14ac:dyDescent="0.25">
      <c r="X533" s="167"/>
      <c r="Y533" s="168"/>
    </row>
    <row r="534" spans="24:25" x14ac:dyDescent="0.25">
      <c r="X534" s="167"/>
      <c r="Y534" s="168"/>
    </row>
    <row r="535" spans="24:25" x14ac:dyDescent="0.25">
      <c r="X535" s="167"/>
      <c r="Y535" s="168"/>
    </row>
    <row r="536" spans="24:25" x14ac:dyDescent="0.25">
      <c r="X536" s="167"/>
      <c r="Y536" s="168"/>
    </row>
    <row r="537" spans="24:25" x14ac:dyDescent="0.25">
      <c r="X537" s="167"/>
      <c r="Y537" s="168"/>
    </row>
    <row r="538" spans="24:25" x14ac:dyDescent="0.25">
      <c r="X538" s="167"/>
      <c r="Y538" s="168"/>
    </row>
    <row r="539" spans="24:25" x14ac:dyDescent="0.25">
      <c r="X539" s="20"/>
      <c r="Y539" s="127"/>
    </row>
    <row r="540" spans="24:25" x14ac:dyDescent="0.25">
      <c r="X540" s="167"/>
      <c r="Y540" s="168"/>
    </row>
    <row r="541" spans="24:25" x14ac:dyDescent="0.25">
      <c r="X541" s="167"/>
      <c r="Y541" s="168"/>
    </row>
    <row r="542" spans="24:25" x14ac:dyDescent="0.25">
      <c r="X542" s="167"/>
      <c r="Y542" s="168"/>
    </row>
    <row r="543" spans="24:25" x14ac:dyDescent="0.25">
      <c r="X543" s="167"/>
      <c r="Y543" s="168"/>
    </row>
    <row r="544" spans="24:25" x14ac:dyDescent="0.25">
      <c r="X544" s="167"/>
      <c r="Y544" s="168"/>
    </row>
    <row r="545" spans="24:25" x14ac:dyDescent="0.25">
      <c r="X545" s="167"/>
      <c r="Y545" s="168"/>
    </row>
    <row r="546" spans="24:25" x14ac:dyDescent="0.25">
      <c r="X546" s="167"/>
      <c r="Y546" s="168"/>
    </row>
    <row r="547" spans="24:25" x14ac:dyDescent="0.25">
      <c r="X547" s="167"/>
      <c r="Y547" s="168"/>
    </row>
    <row r="548" spans="24:25" x14ac:dyDescent="0.25">
      <c r="X548" s="167"/>
      <c r="Y548" s="168"/>
    </row>
    <row r="549" spans="24:25" x14ac:dyDescent="0.25">
      <c r="X549" s="167"/>
      <c r="Y549" s="168"/>
    </row>
    <row r="550" spans="24:25" x14ac:dyDescent="0.25">
      <c r="X550" s="167"/>
      <c r="Y550" s="168"/>
    </row>
    <row r="551" spans="24:25" x14ac:dyDescent="0.25">
      <c r="X551" s="167"/>
      <c r="Y551" s="168"/>
    </row>
    <row r="552" spans="24:25" x14ac:dyDescent="0.25">
      <c r="X552" s="167"/>
      <c r="Y552" s="168"/>
    </row>
    <row r="553" spans="24:25" x14ac:dyDescent="0.25">
      <c r="X553" s="167"/>
      <c r="Y553" s="168"/>
    </row>
    <row r="554" spans="24:25" x14ac:dyDescent="0.25">
      <c r="X554" s="167"/>
      <c r="Y554" s="168"/>
    </row>
    <row r="555" spans="24:25" x14ac:dyDescent="0.25">
      <c r="X555" s="167"/>
      <c r="Y555" s="168"/>
    </row>
    <row r="556" spans="24:25" x14ac:dyDescent="0.25">
      <c r="X556" s="167"/>
      <c r="Y556" s="168"/>
    </row>
    <row r="557" spans="24:25" x14ac:dyDescent="0.25">
      <c r="X557" s="167"/>
      <c r="Y557" s="168"/>
    </row>
    <row r="558" spans="24:25" x14ac:dyDescent="0.25">
      <c r="X558" s="167"/>
      <c r="Y558" s="168"/>
    </row>
    <row r="559" spans="24:25" x14ac:dyDescent="0.25">
      <c r="X559" s="167"/>
      <c r="Y559" s="168"/>
    </row>
    <row r="560" spans="24:25" x14ac:dyDescent="0.25">
      <c r="X560" s="167"/>
      <c r="Y560" s="168"/>
    </row>
    <row r="561" spans="24:25" x14ac:dyDescent="0.25">
      <c r="X561" s="167"/>
      <c r="Y561" s="168"/>
    </row>
    <row r="562" spans="24:25" x14ac:dyDescent="0.25">
      <c r="X562" s="167"/>
      <c r="Y562" s="168"/>
    </row>
    <row r="563" spans="24:25" x14ac:dyDescent="0.25">
      <c r="X563" s="167"/>
      <c r="Y563" s="168"/>
    </row>
    <row r="564" spans="24:25" x14ac:dyDescent="0.25">
      <c r="X564" s="167"/>
      <c r="Y564" s="168"/>
    </row>
    <row r="565" spans="24:25" x14ac:dyDescent="0.25">
      <c r="X565" s="167"/>
      <c r="Y565" s="168"/>
    </row>
    <row r="566" spans="24:25" x14ac:dyDescent="0.25">
      <c r="X566" s="167"/>
      <c r="Y566" s="168"/>
    </row>
    <row r="567" spans="24:25" x14ac:dyDescent="0.25">
      <c r="X567" s="167"/>
      <c r="Y567" s="168"/>
    </row>
    <row r="568" spans="24:25" x14ac:dyDescent="0.25">
      <c r="X568" s="167"/>
      <c r="Y568" s="168"/>
    </row>
    <row r="569" spans="24:25" x14ac:dyDescent="0.25">
      <c r="X569" s="167"/>
      <c r="Y569" s="168"/>
    </row>
    <row r="570" spans="24:25" x14ac:dyDescent="0.25">
      <c r="X570" s="167"/>
      <c r="Y570" s="168"/>
    </row>
    <row r="571" spans="24:25" x14ac:dyDescent="0.25">
      <c r="X571" s="167"/>
      <c r="Y571" s="168"/>
    </row>
    <row r="572" spans="24:25" x14ac:dyDescent="0.25">
      <c r="X572" s="167"/>
      <c r="Y572" s="168"/>
    </row>
    <row r="573" spans="24:25" x14ac:dyDescent="0.25">
      <c r="X573" s="167"/>
      <c r="Y573" s="168"/>
    </row>
    <row r="574" spans="24:25" x14ac:dyDescent="0.25">
      <c r="X574" s="167"/>
      <c r="Y574" s="168"/>
    </row>
    <row r="575" spans="24:25" x14ac:dyDescent="0.25">
      <c r="X575" s="167"/>
      <c r="Y575" s="168"/>
    </row>
    <row r="576" spans="24:25" x14ac:dyDescent="0.25">
      <c r="X576" s="167"/>
      <c r="Y576" s="168"/>
    </row>
    <row r="577" spans="24:25" x14ac:dyDescent="0.25">
      <c r="X577" s="167"/>
      <c r="Y577" s="168"/>
    </row>
    <row r="578" spans="24:25" x14ac:dyDescent="0.25">
      <c r="X578" s="167"/>
      <c r="Y578" s="168"/>
    </row>
    <row r="579" spans="24:25" x14ac:dyDescent="0.25">
      <c r="X579" s="167"/>
      <c r="Y579" s="168"/>
    </row>
    <row r="580" spans="24:25" x14ac:dyDescent="0.25">
      <c r="X580" s="167"/>
      <c r="Y580" s="168"/>
    </row>
    <row r="581" spans="24:25" x14ac:dyDescent="0.25">
      <c r="X581" s="167"/>
      <c r="Y581" s="168"/>
    </row>
    <row r="582" spans="24:25" x14ac:dyDescent="0.25">
      <c r="X582" s="167"/>
      <c r="Y582" s="168"/>
    </row>
    <row r="583" spans="24:25" x14ac:dyDescent="0.25">
      <c r="X583" s="167"/>
      <c r="Y583" s="168"/>
    </row>
    <row r="584" spans="24:25" x14ac:dyDescent="0.25">
      <c r="X584" s="167"/>
      <c r="Y584" s="168"/>
    </row>
    <row r="585" spans="24:25" x14ac:dyDescent="0.25">
      <c r="X585" s="167"/>
      <c r="Y585" s="168"/>
    </row>
    <row r="586" spans="24:25" x14ac:dyDescent="0.25">
      <c r="X586" s="167"/>
      <c r="Y586" s="168"/>
    </row>
    <row r="587" spans="24:25" x14ac:dyDescent="0.25">
      <c r="X587" s="172"/>
      <c r="Y587" s="173"/>
    </row>
    <row r="588" spans="24:25" x14ac:dyDescent="0.25">
      <c r="X588" s="167"/>
      <c r="Y588" s="168"/>
    </row>
    <row r="589" spans="24:25" x14ac:dyDescent="0.25">
      <c r="X589" s="167"/>
      <c r="Y589" s="168"/>
    </row>
    <row r="590" spans="24:25" x14ac:dyDescent="0.25">
      <c r="X590" s="167"/>
      <c r="Y590" s="168"/>
    </row>
    <row r="591" spans="24:25" x14ac:dyDescent="0.25">
      <c r="X591" s="167"/>
      <c r="Y591" s="168"/>
    </row>
    <row r="592" spans="24:25" x14ac:dyDescent="0.25">
      <c r="X592" s="167"/>
      <c r="Y592" s="168"/>
    </row>
    <row r="593" spans="24:25" x14ac:dyDescent="0.25">
      <c r="X593" s="167"/>
      <c r="Y593" s="168"/>
    </row>
    <row r="594" spans="24:25" x14ac:dyDescent="0.25">
      <c r="X594" s="167"/>
      <c r="Y594" s="168"/>
    </row>
    <row r="595" spans="24:25" x14ac:dyDescent="0.25">
      <c r="X595" s="167"/>
      <c r="Y595" s="168"/>
    </row>
    <row r="596" spans="24:25" x14ac:dyDescent="0.25">
      <c r="X596" s="167"/>
      <c r="Y596" s="168"/>
    </row>
    <row r="597" spans="24:25" x14ac:dyDescent="0.25">
      <c r="X597" s="167"/>
      <c r="Y597" s="168"/>
    </row>
    <row r="598" spans="24:25" x14ac:dyDescent="0.25">
      <c r="X598" s="167"/>
      <c r="Y598" s="168"/>
    </row>
    <row r="599" spans="24:25" x14ac:dyDescent="0.25">
      <c r="X599" s="167"/>
      <c r="Y599" s="168"/>
    </row>
    <row r="600" spans="24:25" x14ac:dyDescent="0.25">
      <c r="X600" s="167"/>
      <c r="Y600" s="168"/>
    </row>
    <row r="601" spans="24:25" x14ac:dyDescent="0.25">
      <c r="X601" s="167"/>
      <c r="Y601" s="168"/>
    </row>
    <row r="602" spans="24:25" x14ac:dyDescent="0.25">
      <c r="X602" s="167"/>
      <c r="Y602" s="168"/>
    </row>
    <row r="603" spans="24:25" x14ac:dyDescent="0.25">
      <c r="X603" s="167"/>
      <c r="Y603" s="168"/>
    </row>
    <row r="604" spans="24:25" x14ac:dyDescent="0.25">
      <c r="X604" s="167"/>
      <c r="Y604" s="168"/>
    </row>
    <row r="605" spans="24:25" x14ac:dyDescent="0.25">
      <c r="X605" s="167"/>
      <c r="Y605" s="168"/>
    </row>
    <row r="606" spans="24:25" x14ac:dyDescent="0.25">
      <c r="X606" s="167"/>
      <c r="Y606" s="168"/>
    </row>
    <row r="607" spans="24:25" x14ac:dyDescent="0.25">
      <c r="X607" s="167"/>
      <c r="Y607" s="168"/>
    </row>
    <row r="608" spans="24:25" x14ac:dyDescent="0.25">
      <c r="X608" s="167"/>
      <c r="Y608" s="168"/>
    </row>
    <row r="609" spans="24:25" x14ac:dyDescent="0.25">
      <c r="X609" s="167"/>
      <c r="Y609" s="168"/>
    </row>
    <row r="610" spans="24:25" x14ac:dyDescent="0.25">
      <c r="X610" s="167"/>
      <c r="Y610" s="168"/>
    </row>
    <row r="611" spans="24:25" x14ac:dyDescent="0.25">
      <c r="X611" s="167"/>
      <c r="Y611" s="168"/>
    </row>
    <row r="612" spans="24:25" x14ac:dyDescent="0.25">
      <c r="X612" s="167"/>
      <c r="Y612" s="168"/>
    </row>
    <row r="613" spans="24:25" x14ac:dyDescent="0.25">
      <c r="X613" s="167"/>
      <c r="Y613" s="168"/>
    </row>
    <row r="614" spans="24:25" x14ac:dyDescent="0.25">
      <c r="X614" s="167"/>
      <c r="Y614" s="168"/>
    </row>
    <row r="615" spans="24:25" x14ac:dyDescent="0.25">
      <c r="X615" s="167"/>
      <c r="Y615" s="168"/>
    </row>
    <row r="616" spans="24:25" x14ac:dyDescent="0.25">
      <c r="X616" s="167"/>
      <c r="Y616" s="168"/>
    </row>
    <row r="617" spans="24:25" x14ac:dyDescent="0.25">
      <c r="X617" s="167"/>
      <c r="Y617" s="168"/>
    </row>
    <row r="618" spans="24:25" x14ac:dyDescent="0.25">
      <c r="X618" s="167"/>
      <c r="Y618" s="168"/>
    </row>
    <row r="619" spans="24:25" x14ac:dyDescent="0.25">
      <c r="X619" s="167"/>
      <c r="Y619" s="168"/>
    </row>
    <row r="620" spans="24:25" x14ac:dyDescent="0.25">
      <c r="X620" s="167"/>
      <c r="Y620" s="168"/>
    </row>
    <row r="621" spans="24:25" x14ac:dyDescent="0.25">
      <c r="X621" s="167"/>
      <c r="Y621" s="168"/>
    </row>
    <row r="622" spans="24:25" x14ac:dyDescent="0.25">
      <c r="X622" s="167"/>
      <c r="Y622" s="168"/>
    </row>
    <row r="623" spans="24:25" x14ac:dyDescent="0.25">
      <c r="X623" s="167"/>
      <c r="Y623" s="168"/>
    </row>
    <row r="624" spans="24:25" x14ac:dyDescent="0.25">
      <c r="X624" s="167"/>
      <c r="Y624" s="168"/>
    </row>
    <row r="625" spans="24:25" x14ac:dyDescent="0.25">
      <c r="X625" s="167"/>
      <c r="Y625" s="168"/>
    </row>
    <row r="626" spans="24:25" x14ac:dyDescent="0.25">
      <c r="X626" s="167"/>
      <c r="Y626" s="168"/>
    </row>
    <row r="627" spans="24:25" x14ac:dyDescent="0.25">
      <c r="X627" s="167"/>
      <c r="Y627" s="168"/>
    </row>
    <row r="628" spans="24:25" x14ac:dyDescent="0.25">
      <c r="X628" s="167"/>
      <c r="Y628" s="168"/>
    </row>
    <row r="629" spans="24:25" x14ac:dyDescent="0.25">
      <c r="X629" s="167"/>
      <c r="Y629" s="168"/>
    </row>
    <row r="630" spans="24:25" x14ac:dyDescent="0.25">
      <c r="X630" s="172"/>
      <c r="Y630" s="173"/>
    </row>
    <row r="631" spans="24:25" x14ac:dyDescent="0.25">
      <c r="X631" s="167"/>
      <c r="Y631" s="168"/>
    </row>
    <row r="632" spans="24:25" x14ac:dyDescent="0.25">
      <c r="X632" s="167"/>
      <c r="Y632" s="168"/>
    </row>
    <row r="633" spans="24:25" x14ac:dyDescent="0.25">
      <c r="X633" s="167"/>
      <c r="Y633" s="168"/>
    </row>
    <row r="634" spans="24:25" x14ac:dyDescent="0.25">
      <c r="X634" s="172"/>
      <c r="Y634" s="173"/>
    </row>
    <row r="635" spans="24:25" x14ac:dyDescent="0.25">
      <c r="X635" s="167"/>
      <c r="Y635" s="168"/>
    </row>
    <row r="636" spans="24:25" x14ac:dyDescent="0.25">
      <c r="X636" s="167"/>
      <c r="Y636" s="168"/>
    </row>
    <row r="637" spans="24:25" x14ac:dyDescent="0.25">
      <c r="X637" s="167"/>
      <c r="Y637" s="168"/>
    </row>
    <row r="638" spans="24:25" x14ac:dyDescent="0.25">
      <c r="X638" s="167"/>
      <c r="Y638" s="168"/>
    </row>
    <row r="639" spans="24:25" x14ac:dyDescent="0.25">
      <c r="X639" s="172"/>
      <c r="Y639" s="173"/>
    </row>
    <row r="640" spans="24:25" x14ac:dyDescent="0.25">
      <c r="X640" s="167"/>
      <c r="Y640" s="168"/>
    </row>
    <row r="641" spans="24:25" x14ac:dyDescent="0.25">
      <c r="X641" s="167"/>
      <c r="Y641" s="168"/>
    </row>
    <row r="642" spans="24:25" x14ac:dyDescent="0.25">
      <c r="X642" s="167"/>
      <c r="Y642" s="168"/>
    </row>
    <row r="643" spans="24:25" x14ac:dyDescent="0.25">
      <c r="X643" s="167"/>
      <c r="Y643" s="168"/>
    </row>
    <row r="644" spans="24:25" x14ac:dyDescent="0.25">
      <c r="X644" s="167"/>
      <c r="Y644" s="168"/>
    </row>
    <row r="645" spans="24:25" x14ac:dyDescent="0.25">
      <c r="X645" s="167"/>
      <c r="Y645" s="168"/>
    </row>
    <row r="646" spans="24:25" x14ac:dyDescent="0.25">
      <c r="X646" s="167"/>
      <c r="Y646" s="168"/>
    </row>
    <row r="647" spans="24:25" x14ac:dyDescent="0.25">
      <c r="X647" s="167"/>
      <c r="Y647" s="168"/>
    </row>
    <row r="648" spans="24:25" x14ac:dyDescent="0.25">
      <c r="X648" s="167"/>
      <c r="Y648" s="168"/>
    </row>
    <row r="649" spans="24:25" x14ac:dyDescent="0.25">
      <c r="X649" s="167"/>
      <c r="Y649" s="168"/>
    </row>
    <row r="650" spans="24:25" x14ac:dyDescent="0.25">
      <c r="X650" s="167"/>
      <c r="Y650" s="168"/>
    </row>
    <row r="651" spans="24:25" x14ac:dyDescent="0.25">
      <c r="X651" s="167"/>
      <c r="Y651" s="168"/>
    </row>
    <row r="652" spans="24:25" x14ac:dyDescent="0.25">
      <c r="X652" s="167"/>
      <c r="Y652" s="168"/>
    </row>
    <row r="653" spans="24:25" x14ac:dyDescent="0.25">
      <c r="X653" s="167"/>
      <c r="Y653" s="168"/>
    </row>
    <row r="654" spans="24:25" x14ac:dyDescent="0.25">
      <c r="X654" s="167"/>
      <c r="Y654" s="168"/>
    </row>
    <row r="655" spans="24:25" x14ac:dyDescent="0.25">
      <c r="X655" s="167"/>
      <c r="Y655" s="168"/>
    </row>
    <row r="656" spans="24:25" x14ac:dyDescent="0.25">
      <c r="X656" s="167"/>
      <c r="Y656" s="168"/>
    </row>
    <row r="657" spans="24:25" x14ac:dyDescent="0.25">
      <c r="X657" s="167"/>
      <c r="Y657" s="168"/>
    </row>
    <row r="658" spans="24:25" x14ac:dyDescent="0.25">
      <c r="X658" s="167"/>
      <c r="Y658" s="168"/>
    </row>
    <row r="659" spans="24:25" x14ac:dyDescent="0.25">
      <c r="X659" s="167"/>
      <c r="Y659" s="168"/>
    </row>
    <row r="660" spans="24:25" x14ac:dyDescent="0.25">
      <c r="X660" s="167"/>
      <c r="Y660" s="168"/>
    </row>
    <row r="661" spans="24:25" x14ac:dyDescent="0.25">
      <c r="X661" s="167"/>
      <c r="Y661" s="168"/>
    </row>
    <row r="662" spans="24:25" x14ac:dyDescent="0.25">
      <c r="X662" s="167"/>
      <c r="Y662" s="168"/>
    </row>
    <row r="663" spans="24:25" x14ac:dyDescent="0.25">
      <c r="X663" s="167"/>
      <c r="Y663" s="168"/>
    </row>
    <row r="664" spans="24:25" x14ac:dyDescent="0.25">
      <c r="X664" s="167"/>
      <c r="Y664" s="168"/>
    </row>
    <row r="665" spans="24:25" x14ac:dyDescent="0.25">
      <c r="X665" s="167"/>
      <c r="Y665" s="168"/>
    </row>
    <row r="666" spans="24:25" x14ac:dyDescent="0.25">
      <c r="X666" s="167"/>
      <c r="Y666" s="168"/>
    </row>
    <row r="667" spans="24:25" x14ac:dyDescent="0.25">
      <c r="X667" s="167"/>
      <c r="Y667" s="168"/>
    </row>
    <row r="668" spans="24:25" x14ac:dyDescent="0.25">
      <c r="X668" s="167"/>
      <c r="Y668" s="168"/>
    </row>
    <row r="669" spans="24:25" x14ac:dyDescent="0.25">
      <c r="X669" s="167"/>
      <c r="Y669" s="168"/>
    </row>
    <row r="670" spans="24:25" x14ac:dyDescent="0.25">
      <c r="X670" s="167"/>
      <c r="Y670" s="168"/>
    </row>
    <row r="671" spans="24:25" x14ac:dyDescent="0.25">
      <c r="X671" s="167"/>
      <c r="Y671" s="168"/>
    </row>
    <row r="672" spans="24:25" x14ac:dyDescent="0.25">
      <c r="X672" s="167"/>
      <c r="Y672" s="168"/>
    </row>
    <row r="673" spans="24:25" x14ac:dyDescent="0.25">
      <c r="X673" s="167"/>
      <c r="Y673" s="168"/>
    </row>
    <row r="674" spans="24:25" x14ac:dyDescent="0.25">
      <c r="X674" s="167"/>
      <c r="Y674" s="168"/>
    </row>
    <row r="675" spans="24:25" x14ac:dyDescent="0.25">
      <c r="X675" s="167"/>
      <c r="Y675" s="168"/>
    </row>
    <row r="676" spans="24:25" x14ac:dyDescent="0.25">
      <c r="X676" s="167"/>
      <c r="Y676" s="168"/>
    </row>
    <row r="677" spans="24:25" x14ac:dyDescent="0.25">
      <c r="X677" s="167"/>
      <c r="Y677" s="168"/>
    </row>
    <row r="678" spans="24:25" x14ac:dyDescent="0.25">
      <c r="X678" s="167"/>
      <c r="Y678" s="168"/>
    </row>
    <row r="679" spans="24:25" x14ac:dyDescent="0.25">
      <c r="X679" s="172"/>
      <c r="Y679" s="173"/>
    </row>
    <row r="680" spans="24:25" x14ac:dyDescent="0.25">
      <c r="X680" s="100"/>
      <c r="Y680" s="100"/>
    </row>
    <row r="681" spans="24:25" x14ac:dyDescent="0.25">
      <c r="X681" s="167"/>
      <c r="Y681" s="168"/>
    </row>
    <row r="682" spans="24:25" x14ac:dyDescent="0.25">
      <c r="X682" s="167"/>
      <c r="Y682" s="168"/>
    </row>
    <row r="683" spans="24:25" x14ac:dyDescent="0.25">
      <c r="X683" s="167"/>
      <c r="Y683" s="168"/>
    </row>
    <row r="684" spans="24:25" x14ac:dyDescent="0.25">
      <c r="X684" s="167"/>
      <c r="Y684" s="168"/>
    </row>
    <row r="685" spans="24:25" x14ac:dyDescent="0.25">
      <c r="X685" s="167"/>
      <c r="Y685" s="168"/>
    </row>
    <row r="686" spans="24:25" x14ac:dyDescent="0.25">
      <c r="X686" s="167"/>
      <c r="Y686" s="168"/>
    </row>
    <row r="687" spans="24:25" x14ac:dyDescent="0.25">
      <c r="X687" s="172"/>
      <c r="Y687" s="173"/>
    </row>
    <row r="688" spans="24:25" x14ac:dyDescent="0.25">
      <c r="X688" s="167"/>
      <c r="Y688" s="168"/>
    </row>
    <row r="689" spans="24:25" x14ac:dyDescent="0.25">
      <c r="X689" s="167"/>
      <c r="Y689" s="168"/>
    </row>
    <row r="690" spans="24:25" x14ac:dyDescent="0.25">
      <c r="X690" s="167"/>
      <c r="Y690" s="168"/>
    </row>
    <row r="691" spans="24:25" x14ac:dyDescent="0.25">
      <c r="X691" s="167"/>
      <c r="Y691" s="168"/>
    </row>
    <row r="692" spans="24:25" x14ac:dyDescent="0.25">
      <c r="X692" s="167"/>
      <c r="Y692" s="168"/>
    </row>
    <row r="693" spans="24:25" x14ac:dyDescent="0.25">
      <c r="X693" s="167"/>
      <c r="Y693" s="168"/>
    </row>
    <row r="694" spans="24:25" x14ac:dyDescent="0.25">
      <c r="X694" s="167"/>
      <c r="Y694" s="168"/>
    </row>
    <row r="695" spans="24:25" x14ac:dyDescent="0.25">
      <c r="X695" s="167"/>
      <c r="Y695" s="168"/>
    </row>
    <row r="696" spans="24:25" x14ac:dyDescent="0.25">
      <c r="X696" s="167"/>
      <c r="Y696" s="168"/>
    </row>
    <row r="697" spans="24:25" x14ac:dyDescent="0.25">
      <c r="X697" s="100"/>
      <c r="Y697" s="100"/>
    </row>
    <row r="703" spans="24:25" x14ac:dyDescent="0.25">
      <c r="X703" s="167"/>
      <c r="Y703" s="168"/>
    </row>
    <row r="706" spans="24:25" x14ac:dyDescent="0.25">
      <c r="X706" s="100"/>
      <c r="Y706" s="100"/>
    </row>
    <row r="708" spans="24:25" x14ac:dyDescent="0.25">
      <c r="X708" s="100"/>
      <c r="Y708" s="100"/>
    </row>
    <row r="711" spans="24:25" x14ac:dyDescent="0.25">
      <c r="X711" s="100"/>
      <c r="Y711" s="100"/>
    </row>
    <row r="716" spans="24:25" x14ac:dyDescent="0.25">
      <c r="X716" s="100"/>
      <c r="Y716" s="100"/>
    </row>
    <row r="722" spans="24:25" x14ac:dyDescent="0.25">
      <c r="X722" s="100"/>
      <c r="Y722" s="100"/>
    </row>
    <row r="724" spans="24:25" x14ac:dyDescent="0.25">
      <c r="X724" s="100"/>
      <c r="Y724" s="100"/>
    </row>
    <row r="731" spans="24:25" x14ac:dyDescent="0.25">
      <c r="X731" s="100"/>
      <c r="Y731" s="100"/>
    </row>
    <row r="735" spans="24:25" x14ac:dyDescent="0.25">
      <c r="X735" s="100"/>
      <c r="Y735" s="100"/>
    </row>
    <row r="742" spans="24:25" x14ac:dyDescent="0.25">
      <c r="X742" s="100"/>
      <c r="Y742" s="100"/>
    </row>
    <row r="743" spans="24:25" x14ac:dyDescent="0.25">
      <c r="X743" s="100"/>
      <c r="Y743" s="100"/>
    </row>
    <row r="744" spans="24:25" x14ac:dyDescent="0.25">
      <c r="X744" s="100"/>
      <c r="Y744" s="100"/>
    </row>
    <row r="745" spans="24:25" x14ac:dyDescent="0.25">
      <c r="X745" s="100"/>
      <c r="Y745" s="100"/>
    </row>
    <row r="746" spans="24:25" x14ac:dyDescent="0.25">
      <c r="X746" s="100"/>
      <c r="Y746" s="100"/>
    </row>
    <row r="749" spans="24:25" x14ac:dyDescent="0.25">
      <c r="X749" s="100"/>
      <c r="Y749" s="100"/>
    </row>
    <row r="750" spans="24:25" x14ac:dyDescent="0.25">
      <c r="X750" s="100"/>
      <c r="Y750" s="100"/>
    </row>
    <row r="751" spans="24:25" x14ac:dyDescent="0.25">
      <c r="X751" s="100"/>
      <c r="Y751" s="100"/>
    </row>
    <row r="753" spans="24:25" x14ac:dyDescent="0.25">
      <c r="X753" s="100"/>
      <c r="Y753" s="100"/>
    </row>
    <row r="757" spans="24:25" x14ac:dyDescent="0.25">
      <c r="X757" s="100"/>
      <c r="Y757" s="100"/>
    </row>
    <row r="760" spans="24:25" x14ac:dyDescent="0.25">
      <c r="X760" s="100"/>
      <c r="Y760" s="100"/>
    </row>
    <row r="766" spans="24:25" x14ac:dyDescent="0.25">
      <c r="X766" s="100"/>
      <c r="Y766" s="100"/>
    </row>
    <row r="770" spans="24:25" x14ac:dyDescent="0.25">
      <c r="X770" s="100"/>
      <c r="Y770" s="100"/>
    </row>
    <row r="772" spans="24:25" x14ac:dyDescent="0.25">
      <c r="X772" s="100"/>
      <c r="Y772" s="100"/>
    </row>
    <row r="774" spans="24:25" x14ac:dyDescent="0.25">
      <c r="X774" s="100"/>
      <c r="Y774" s="100"/>
    </row>
    <row r="775" spans="24:25" x14ac:dyDescent="0.25">
      <c r="X775" s="100"/>
      <c r="Y775" s="100"/>
    </row>
    <row r="777" spans="24:25" x14ac:dyDescent="0.25">
      <c r="X777" s="100"/>
      <c r="Y777" s="100"/>
    </row>
    <row r="779" spans="24:25" x14ac:dyDescent="0.25">
      <c r="X779" s="100"/>
      <c r="Y779" s="100"/>
    </row>
    <row r="780" spans="24:25" x14ac:dyDescent="0.25">
      <c r="X780" s="100"/>
      <c r="Y780" s="100"/>
    </row>
    <row r="781" spans="24:25" x14ac:dyDescent="0.25">
      <c r="X781" s="100"/>
      <c r="Y781" s="100"/>
    </row>
    <row r="785" spans="24:25" x14ac:dyDescent="0.25">
      <c r="X785" s="100"/>
      <c r="Y785" s="100"/>
    </row>
    <row r="787" spans="24:25" x14ac:dyDescent="0.25">
      <c r="X787" s="100"/>
      <c r="Y787" s="100"/>
    </row>
    <row r="788" spans="24:25" x14ac:dyDescent="0.25">
      <c r="X788" s="100"/>
      <c r="Y788" s="100"/>
    </row>
    <row r="789" spans="24:25" x14ac:dyDescent="0.25">
      <c r="X789" s="100"/>
      <c r="Y789" s="100"/>
    </row>
    <row r="790" spans="24:25" x14ac:dyDescent="0.25">
      <c r="X790" s="100"/>
      <c r="Y790" s="100"/>
    </row>
    <row r="796" spans="24:25" x14ac:dyDescent="0.25">
      <c r="X796" s="100"/>
      <c r="Y796" s="100"/>
    </row>
    <row r="805" spans="24:25" x14ac:dyDescent="0.25">
      <c r="X805" s="100"/>
      <c r="Y805" s="100"/>
    </row>
    <row r="806" spans="24:25" x14ac:dyDescent="0.25">
      <c r="X806" s="100"/>
      <c r="Y806" s="100"/>
    </row>
    <row r="809" spans="24:25" x14ac:dyDescent="0.25">
      <c r="X809" s="100"/>
      <c r="Y809" s="100"/>
    </row>
    <row r="810" spans="24:25" x14ac:dyDescent="0.25">
      <c r="X810" s="100"/>
      <c r="Y810" s="100"/>
    </row>
    <row r="814" spans="24:25" x14ac:dyDescent="0.25">
      <c r="X814" s="100"/>
      <c r="Y814" s="100"/>
    </row>
    <row r="816" spans="24:25" x14ac:dyDescent="0.25">
      <c r="X816" s="100"/>
      <c r="Y816" s="100"/>
    </row>
    <row r="817" spans="24:25" x14ac:dyDescent="0.25">
      <c r="X817" s="100"/>
      <c r="Y817" s="100"/>
    </row>
    <row r="825" spans="24:25" x14ac:dyDescent="0.25">
      <c r="X825" s="100"/>
      <c r="Y825" s="100"/>
    </row>
    <row r="827" spans="24:25" x14ac:dyDescent="0.25">
      <c r="X827" s="100"/>
      <c r="Y827" s="100"/>
    </row>
    <row r="832" spans="24:25" x14ac:dyDescent="0.25">
      <c r="X832" s="100"/>
      <c r="Y832" s="100"/>
    </row>
    <row r="835" spans="24:25" x14ac:dyDescent="0.25">
      <c r="X835" s="100"/>
      <c r="Y835" s="100"/>
    </row>
    <row r="838" spans="24:25" x14ac:dyDescent="0.25">
      <c r="X838" s="100"/>
      <c r="Y838" s="100"/>
    </row>
    <row r="841" spans="24:25" x14ac:dyDescent="0.25">
      <c r="X841" s="100"/>
      <c r="Y841" s="100"/>
    </row>
    <row r="842" spans="24:25" x14ac:dyDescent="0.25">
      <c r="X842" s="100"/>
      <c r="Y842" s="100"/>
    </row>
    <row r="844" spans="24:25" x14ac:dyDescent="0.25">
      <c r="X844" s="100"/>
      <c r="Y844" s="100"/>
    </row>
    <row r="847" spans="24:25" x14ac:dyDescent="0.25">
      <c r="X847" s="100"/>
      <c r="Y847" s="100"/>
    </row>
    <row r="848" spans="24:25" x14ac:dyDescent="0.25">
      <c r="X848" s="100"/>
      <c r="Y848" s="100"/>
    </row>
    <row r="854" spans="24:25" x14ac:dyDescent="0.25">
      <c r="X854" s="100"/>
      <c r="Y854" s="100"/>
    </row>
    <row r="855" spans="24:25" x14ac:dyDescent="0.25">
      <c r="X855" s="100"/>
      <c r="Y855" s="100"/>
    </row>
    <row r="856" spans="24:25" x14ac:dyDescent="0.25">
      <c r="X856" s="100"/>
      <c r="Y856" s="100"/>
    </row>
    <row r="858" spans="24:25" x14ac:dyDescent="0.25">
      <c r="X858" s="100"/>
      <c r="Y858" s="100"/>
    </row>
    <row r="860" spans="24:25" x14ac:dyDescent="0.25">
      <c r="X860" s="100"/>
      <c r="Y860" s="100"/>
    </row>
    <row r="863" spans="24:25" x14ac:dyDescent="0.25">
      <c r="X863" s="100"/>
      <c r="Y863" s="100"/>
    </row>
    <row r="864" spans="24:25" x14ac:dyDescent="0.25">
      <c r="X864" s="100"/>
      <c r="Y864" s="100"/>
    </row>
    <row r="866" spans="24:25" x14ac:dyDescent="0.25">
      <c r="X866" s="100"/>
      <c r="Y866" s="100"/>
    </row>
    <row r="869" spans="24:25" x14ac:dyDescent="0.25">
      <c r="X869" s="100"/>
      <c r="Y869" s="100"/>
    </row>
    <row r="870" spans="24:25" x14ac:dyDescent="0.25">
      <c r="X870" s="100"/>
      <c r="Y870" s="100"/>
    </row>
    <row r="872" spans="24:25" x14ac:dyDescent="0.25">
      <c r="X872" s="100"/>
      <c r="Y872" s="100"/>
    </row>
    <row r="873" spans="24:25" x14ac:dyDescent="0.25">
      <c r="X873" s="100"/>
      <c r="Y873" s="100"/>
    </row>
    <row r="878" spans="24:25" x14ac:dyDescent="0.25">
      <c r="X878" s="100"/>
      <c r="Y878" s="100"/>
    </row>
    <row r="882" spans="24:25" x14ac:dyDescent="0.25">
      <c r="X882" s="100"/>
      <c r="Y882" s="100"/>
    </row>
    <row r="884" spans="24:25" x14ac:dyDescent="0.25">
      <c r="X884" s="100"/>
      <c r="Y884" s="100"/>
    </row>
    <row r="885" spans="24:25" x14ac:dyDescent="0.25">
      <c r="X885" s="100"/>
      <c r="Y885" s="100"/>
    </row>
    <row r="886" spans="24:25" x14ac:dyDescent="0.25">
      <c r="X886" s="100"/>
      <c r="Y886" s="100"/>
    </row>
    <row r="887" spans="24:25" x14ac:dyDescent="0.25">
      <c r="X887" s="100"/>
      <c r="Y887" s="100"/>
    </row>
    <row r="888" spans="24:25" x14ac:dyDescent="0.25">
      <c r="X888" s="100"/>
      <c r="Y888" s="100"/>
    </row>
    <row r="889" spans="24:25" x14ac:dyDescent="0.25">
      <c r="X889" s="100"/>
      <c r="Y889" s="100"/>
    </row>
    <row r="891" spans="24:25" x14ac:dyDescent="0.25">
      <c r="X891" s="100"/>
      <c r="Y891" s="100"/>
    </row>
    <row r="892" spans="24:25" x14ac:dyDescent="0.25">
      <c r="X892" s="100"/>
      <c r="Y892" s="100"/>
    </row>
    <row r="896" spans="24:25" x14ac:dyDescent="0.25">
      <c r="X896" s="100"/>
      <c r="Y896" s="100"/>
    </row>
    <row r="898" spans="24:25" x14ac:dyDescent="0.25">
      <c r="X898" s="100"/>
      <c r="Y898" s="100"/>
    </row>
    <row r="899" spans="24:25" x14ac:dyDescent="0.25">
      <c r="X899" s="100"/>
      <c r="Y899" s="100"/>
    </row>
    <row r="902" spans="24:25" x14ac:dyDescent="0.25">
      <c r="X902" s="100"/>
      <c r="Y902" s="100"/>
    </row>
    <row r="905" spans="24:25" x14ac:dyDescent="0.25">
      <c r="X905" s="100"/>
      <c r="Y905" s="100"/>
    </row>
    <row r="908" spans="24:25" x14ac:dyDescent="0.25">
      <c r="X908" s="100"/>
      <c r="Y908" s="100"/>
    </row>
    <row r="913" spans="24:25" x14ac:dyDescent="0.25">
      <c r="X913" s="100"/>
      <c r="Y913" s="100"/>
    </row>
    <row r="914" spans="24:25" x14ac:dyDescent="0.25">
      <c r="X914" s="100"/>
      <c r="Y914" s="100"/>
    </row>
    <row r="915" spans="24:25" x14ac:dyDescent="0.25">
      <c r="X915" s="100"/>
      <c r="Y915" s="100"/>
    </row>
    <row r="917" spans="24:25" x14ac:dyDescent="0.25">
      <c r="X917" s="100"/>
      <c r="Y917" s="100"/>
    </row>
    <row r="919" spans="24:25" x14ac:dyDescent="0.25">
      <c r="X919" s="100"/>
      <c r="Y919" s="100"/>
    </row>
    <row r="920" spans="24:25" x14ac:dyDescent="0.25">
      <c r="X920" s="100"/>
      <c r="Y920" s="100"/>
    </row>
    <row r="921" spans="24:25" x14ac:dyDescent="0.25">
      <c r="X921" s="100"/>
      <c r="Y921" s="100"/>
    </row>
    <row r="923" spans="24:25" x14ac:dyDescent="0.25">
      <c r="X923" s="100"/>
      <c r="Y923" s="100"/>
    </row>
    <row r="926" spans="24:25" x14ac:dyDescent="0.25">
      <c r="X926" s="100"/>
      <c r="Y926" s="100"/>
    </row>
    <row r="927" spans="24:25" x14ac:dyDescent="0.25">
      <c r="X927" s="100"/>
      <c r="Y927" s="100"/>
    </row>
    <row r="928" spans="24:25" x14ac:dyDescent="0.25">
      <c r="X928" s="100"/>
      <c r="Y928" s="100"/>
    </row>
    <row r="931" spans="24:25" x14ac:dyDescent="0.25">
      <c r="X931" s="100"/>
      <c r="Y931" s="100"/>
    </row>
    <row r="932" spans="24:25" x14ac:dyDescent="0.25">
      <c r="X932" s="100"/>
      <c r="Y932" s="100"/>
    </row>
    <row r="935" spans="24:25" x14ac:dyDescent="0.25">
      <c r="X935" s="100"/>
      <c r="Y935" s="100"/>
    </row>
    <row r="936" spans="24:25" x14ac:dyDescent="0.25">
      <c r="X936" s="100"/>
      <c r="Y936" s="100"/>
    </row>
    <row r="951" spans="24:25" x14ac:dyDescent="0.25">
      <c r="X951" s="100"/>
      <c r="Y951" s="100"/>
    </row>
    <row r="952" spans="24:25" x14ac:dyDescent="0.25">
      <c r="X952" s="100"/>
      <c r="Y952" s="100"/>
    </row>
    <row r="954" spans="24:25" x14ac:dyDescent="0.25">
      <c r="X954" s="100"/>
      <c r="Y954" s="100"/>
    </row>
    <row r="956" spans="24:25" x14ac:dyDescent="0.25">
      <c r="X956" s="100"/>
      <c r="Y956" s="100"/>
    </row>
    <row r="957" spans="24:25" x14ac:dyDescent="0.25">
      <c r="X957" s="100"/>
      <c r="Y957" s="100"/>
    </row>
    <row r="958" spans="24:25" x14ac:dyDescent="0.25">
      <c r="X958" s="100"/>
      <c r="Y958" s="100"/>
    </row>
    <row r="971" spans="24:25" x14ac:dyDescent="0.25">
      <c r="X971" s="100"/>
      <c r="Y971" s="100"/>
    </row>
    <row r="975" spans="24:25" x14ac:dyDescent="0.25">
      <c r="X975" s="100"/>
      <c r="Y975" s="100"/>
    </row>
    <row r="980" spans="24:25" x14ac:dyDescent="0.25">
      <c r="X980" s="100"/>
      <c r="Y980" s="100"/>
    </row>
    <row r="985" spans="24:25" x14ac:dyDescent="0.25">
      <c r="X985" s="100"/>
      <c r="Y985" s="100"/>
    </row>
    <row r="988" spans="24:25" x14ac:dyDescent="0.25">
      <c r="X988" s="100"/>
      <c r="Y988" s="100"/>
    </row>
    <row r="990" spans="24:25" x14ac:dyDescent="0.25">
      <c r="X990" s="100"/>
      <c r="Y990" s="100"/>
    </row>
    <row r="991" spans="24:25" x14ac:dyDescent="0.25">
      <c r="X991" s="100"/>
      <c r="Y991" s="100"/>
    </row>
    <row r="992" spans="24:25" x14ac:dyDescent="0.25">
      <c r="X992" s="100"/>
      <c r="Y992" s="100"/>
    </row>
    <row r="993" spans="24:25" x14ac:dyDescent="0.25">
      <c r="X993" s="100"/>
      <c r="Y993" s="100"/>
    </row>
    <row r="995" spans="24:25" x14ac:dyDescent="0.25">
      <c r="X995" s="100"/>
      <c r="Y995" s="100"/>
    </row>
    <row r="996" spans="24:25" x14ac:dyDescent="0.25">
      <c r="X996" s="100"/>
      <c r="Y996" s="100"/>
    </row>
    <row r="1001" spans="24:25" x14ac:dyDescent="0.25">
      <c r="X1001" s="100"/>
      <c r="Y1001" s="100"/>
    </row>
    <row r="1002" spans="24:25" x14ac:dyDescent="0.25">
      <c r="X1002" s="100"/>
      <c r="Y1002" s="100"/>
    </row>
    <row r="1003" spans="24:25" x14ac:dyDescent="0.25">
      <c r="X1003" s="100"/>
      <c r="Y1003" s="100"/>
    </row>
    <row r="1004" spans="24:25" x14ac:dyDescent="0.25">
      <c r="X1004" s="100"/>
      <c r="Y1004" s="100"/>
    </row>
    <row r="1016" spans="24:25" x14ac:dyDescent="0.25">
      <c r="X1016" s="100"/>
      <c r="Y1016" s="100"/>
    </row>
    <row r="1021" spans="24:25" x14ac:dyDescent="0.25">
      <c r="X1021" s="100"/>
      <c r="Y1021" s="100"/>
    </row>
    <row r="1033" spans="24:25" x14ac:dyDescent="0.25">
      <c r="X1033" s="100"/>
      <c r="Y1033" s="100"/>
    </row>
    <row r="1045" spans="24:25" x14ac:dyDescent="0.25">
      <c r="X1045" s="100"/>
      <c r="Y1045" s="100"/>
    </row>
    <row r="1053" spans="24:25" x14ac:dyDescent="0.25">
      <c r="X1053" s="100"/>
      <c r="Y1053" s="100"/>
    </row>
    <row r="1085" spans="24:25" x14ac:dyDescent="0.25">
      <c r="X1085" s="100"/>
      <c r="Y1085" s="10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2"/>
  <sheetViews>
    <sheetView showGridLines="0" zoomScale="90" zoomScaleNormal="90" workbookViewId="0">
      <pane xSplit="3" ySplit="4" topLeftCell="F5" activePane="bottomRight" state="frozen"/>
      <selection pane="topRight" activeCell="D1" sqref="D1"/>
      <selection pane="bottomLeft" activeCell="A5" sqref="A5"/>
      <selection pane="bottomRight" activeCell="H175" sqref="H4:H175"/>
    </sheetView>
  </sheetViews>
  <sheetFormatPr baseColWidth="10" defaultColWidth="11.42578125" defaultRowHeight="15" outlineLevelRow="4" x14ac:dyDescent="0.25"/>
  <cols>
    <col min="1" max="1" width="14" style="1" bestFit="1" customWidth="1"/>
    <col min="2" max="2" width="43.85546875" style="2" customWidth="1"/>
    <col min="3" max="3" width="24.7109375" style="2" bestFit="1" customWidth="1"/>
    <col min="4" max="4" width="17.42578125" style="2" bestFit="1" customWidth="1"/>
    <col min="5" max="5" width="18.140625" style="2" hidden="1" customWidth="1"/>
    <col min="6" max="6" width="18.42578125" style="2" bestFit="1" customWidth="1"/>
    <col min="7" max="7" width="18" style="2" customWidth="1"/>
    <col min="8" max="8" width="19.42578125" style="2" bestFit="1" customWidth="1"/>
    <col min="9" max="9" width="17.42578125" style="2" bestFit="1" customWidth="1"/>
    <col min="10" max="10" width="18.42578125" style="2" bestFit="1" customWidth="1"/>
    <col min="11" max="11" width="9.85546875" style="5" bestFit="1" customWidth="1"/>
    <col min="12" max="12" width="17.42578125" style="2" bestFit="1" customWidth="1"/>
    <col min="13" max="13" width="14" style="2" hidden="1" customWidth="1"/>
    <col min="14" max="14" width="90.85546875" style="2" hidden="1" customWidth="1"/>
    <col min="15" max="15" width="24.7109375" style="2" hidden="1" customWidth="1"/>
    <col min="16" max="16" width="17.42578125" style="2" hidden="1" customWidth="1"/>
    <col min="17" max="17" width="17.140625" style="2" hidden="1" customWidth="1"/>
    <col min="18" max="18" width="18.42578125" style="2" hidden="1" customWidth="1"/>
    <col min="19" max="19" width="17.42578125" style="2" hidden="1" customWidth="1"/>
    <col min="20" max="20" width="16.42578125" style="2" hidden="1" customWidth="1"/>
    <col min="21" max="21" width="17.42578125" style="2" hidden="1" customWidth="1"/>
    <col min="22" max="22" width="17.7109375" style="2" hidden="1" customWidth="1"/>
    <col min="23" max="23" width="15.28515625" style="2" hidden="1" customWidth="1"/>
    <col min="24" max="24" width="3.85546875" style="2" customWidth="1"/>
    <col min="25" max="26" width="4.7109375" style="2" bestFit="1" customWidth="1"/>
    <col min="27" max="16384" width="11.42578125" style="2"/>
  </cols>
  <sheetData>
    <row r="1" spans="1:26" x14ac:dyDescent="0.25">
      <c r="G1" s="3"/>
      <c r="J1" s="4"/>
    </row>
    <row r="2" spans="1:26" ht="15.75" customHeight="1" thickBot="1" x14ac:dyDescent="0.3">
      <c r="F2" s="4"/>
      <c r="G2" s="4"/>
      <c r="J2" s="4"/>
    </row>
    <row r="3" spans="1:26" s="8" customFormat="1" ht="56.25" customHeight="1" thickBot="1" x14ac:dyDescent="0.3">
      <c r="A3" s="6"/>
      <c r="B3" s="7"/>
      <c r="C3" s="427"/>
      <c r="D3" s="427"/>
      <c r="E3" s="427"/>
      <c r="F3" s="427"/>
      <c r="G3" s="427"/>
      <c r="H3" s="427"/>
      <c r="I3" s="427"/>
      <c r="J3" s="427"/>
      <c r="K3" s="427"/>
    </row>
    <row r="4" spans="1:26" s="8" customFormat="1" ht="30" x14ac:dyDescent="0.25">
      <c r="A4" s="9" t="s">
        <v>0</v>
      </c>
      <c r="B4" s="10" t="s">
        <v>1</v>
      </c>
      <c r="C4" s="10" t="s">
        <v>221</v>
      </c>
      <c r="D4" s="10" t="s">
        <v>5</v>
      </c>
      <c r="E4" s="10" t="s">
        <v>222</v>
      </c>
      <c r="F4" s="10" t="s">
        <v>223</v>
      </c>
      <c r="G4" s="10" t="s">
        <v>224</v>
      </c>
      <c r="H4" s="10" t="s">
        <v>225</v>
      </c>
      <c r="I4" s="10" t="s">
        <v>226</v>
      </c>
      <c r="J4" s="10" t="s">
        <v>227</v>
      </c>
      <c r="K4" s="11" t="s">
        <v>228</v>
      </c>
      <c r="M4" s="9" t="s">
        <v>0</v>
      </c>
      <c r="N4" s="10" t="s">
        <v>1</v>
      </c>
      <c r="O4" s="10" t="s">
        <v>221</v>
      </c>
      <c r="P4" s="10" t="s">
        <v>5</v>
      </c>
      <c r="Q4" s="10" t="s">
        <v>222</v>
      </c>
      <c r="R4" s="10" t="s">
        <v>223</v>
      </c>
      <c r="S4" s="10" t="s">
        <v>224</v>
      </c>
      <c r="T4" s="10" t="s">
        <v>225</v>
      </c>
      <c r="U4" s="10" t="s">
        <v>226</v>
      </c>
      <c r="V4" s="10" t="s">
        <v>227</v>
      </c>
      <c r="W4" s="11" t="s">
        <v>228</v>
      </c>
    </row>
    <row r="5" spans="1:26" x14ac:dyDescent="0.25">
      <c r="A5" s="12">
        <v>1</v>
      </c>
      <c r="B5" s="13" t="s">
        <v>229</v>
      </c>
      <c r="C5" s="14">
        <f>+C6+C156</f>
        <v>128545687388</v>
      </c>
      <c r="D5" s="14">
        <f t="shared" ref="D5:J5" si="0">+D6+D156</f>
        <v>23509964354.469997</v>
      </c>
      <c r="E5" s="14">
        <f t="shared" si="0"/>
        <v>0</v>
      </c>
      <c r="F5" s="14">
        <f t="shared" si="0"/>
        <v>152055651742.47</v>
      </c>
      <c r="G5" s="14">
        <f t="shared" si="0"/>
        <v>53438740281.059998</v>
      </c>
      <c r="H5" s="14">
        <f t="shared" si="0"/>
        <v>9225493562.5700016</v>
      </c>
      <c r="I5" s="14">
        <f t="shared" si="0"/>
        <v>53438740281.059998</v>
      </c>
      <c r="J5" s="14">
        <f t="shared" si="0"/>
        <v>97617647218.830002</v>
      </c>
      <c r="K5" s="15">
        <f t="shared" ref="K5:K69" si="1">+I5/F5</f>
        <v>0.35144198632989226</v>
      </c>
      <c r="L5" s="113"/>
      <c r="M5" s="12">
        <v>1</v>
      </c>
      <c r="N5" s="13" t="s">
        <v>229</v>
      </c>
      <c r="O5" s="14">
        <f t="shared" ref="O5:W5" si="2">+O6+O156</f>
        <v>128545687388</v>
      </c>
      <c r="P5" s="14">
        <f t="shared" si="2"/>
        <v>23509964327.469997</v>
      </c>
      <c r="Q5" s="14">
        <f t="shared" si="2"/>
        <v>0</v>
      </c>
      <c r="R5" s="14">
        <f t="shared" si="2"/>
        <v>152055651715.47</v>
      </c>
      <c r="S5" s="14">
        <f t="shared" si="2"/>
        <v>27405045764.709999</v>
      </c>
      <c r="T5" s="14">
        <f t="shared" si="2"/>
        <v>9183726570.5700016</v>
      </c>
      <c r="U5" s="14">
        <f t="shared" si="2"/>
        <v>53437432051.059998</v>
      </c>
      <c r="V5" s="14">
        <f t="shared" si="2"/>
        <v>97577515804.830002</v>
      </c>
      <c r="W5" s="14">
        <f t="shared" si="2"/>
        <v>8.9571235896851995</v>
      </c>
      <c r="Y5" s="113">
        <f>+C5-O5</f>
        <v>0</v>
      </c>
      <c r="Z5" s="113">
        <f>+D5-P5</f>
        <v>27</v>
      </c>
    </row>
    <row r="6" spans="1:26" x14ac:dyDescent="0.25">
      <c r="A6" s="12" t="s">
        <v>230</v>
      </c>
      <c r="B6" s="13" t="s">
        <v>231</v>
      </c>
      <c r="C6" s="14">
        <f>+C7</f>
        <v>128185121191</v>
      </c>
      <c r="D6" s="14">
        <f t="shared" ref="D6:J6" si="3">+D7</f>
        <v>793207514</v>
      </c>
      <c r="E6" s="14">
        <f t="shared" si="3"/>
        <v>0</v>
      </c>
      <c r="F6" s="14">
        <f t="shared" si="3"/>
        <v>128978328705</v>
      </c>
      <c r="G6" s="14">
        <f t="shared" si="3"/>
        <v>31885183813.699997</v>
      </c>
      <c r="H6" s="14">
        <f t="shared" si="3"/>
        <v>9117970322.7000008</v>
      </c>
      <c r="I6" s="14">
        <f t="shared" si="3"/>
        <v>31885183813.699997</v>
      </c>
      <c r="J6" s="14">
        <f t="shared" si="3"/>
        <v>96093880648.720001</v>
      </c>
      <c r="K6" s="15">
        <f t="shared" si="1"/>
        <v>0.24721349806468634</v>
      </c>
      <c r="L6" s="113"/>
      <c r="M6" s="12" t="s">
        <v>230</v>
      </c>
      <c r="N6" s="13" t="s">
        <v>231</v>
      </c>
      <c r="O6" s="14">
        <f t="shared" ref="O6:W6" si="4">+O7</f>
        <v>128185121191</v>
      </c>
      <c r="P6" s="14">
        <f t="shared" si="4"/>
        <v>793207514</v>
      </c>
      <c r="Q6" s="14">
        <f t="shared" si="4"/>
        <v>0</v>
      </c>
      <c r="R6" s="14">
        <f t="shared" si="4"/>
        <v>128978328705</v>
      </c>
      <c r="S6" s="14">
        <f t="shared" si="4"/>
        <v>5964848976.6100006</v>
      </c>
      <c r="T6" s="14">
        <f t="shared" si="4"/>
        <v>9117970322.7000008</v>
      </c>
      <c r="U6" s="14">
        <f t="shared" si="4"/>
        <v>31885183813.699997</v>
      </c>
      <c r="V6" s="14">
        <f t="shared" si="4"/>
        <v>96093880648.720001</v>
      </c>
      <c r="W6" s="14">
        <f t="shared" si="4"/>
        <v>6.6001147791840831</v>
      </c>
      <c r="Y6" s="113">
        <f t="shared" ref="Y6:Y69" si="5">+C6-O6</f>
        <v>0</v>
      </c>
      <c r="Z6" s="113">
        <f t="shared" ref="Z6:Z69" si="6">+D6-P6</f>
        <v>0</v>
      </c>
    </row>
    <row r="7" spans="1:26" outlineLevel="4" x14ac:dyDescent="0.25">
      <c r="A7" s="12" t="s">
        <v>232</v>
      </c>
      <c r="B7" s="13" t="s">
        <v>233</v>
      </c>
      <c r="C7" s="14">
        <f>+C8+C124</f>
        <v>128185121191</v>
      </c>
      <c r="D7" s="14">
        <f t="shared" ref="D7:J7" si="7">+D8+D124</f>
        <v>793207514</v>
      </c>
      <c r="E7" s="14">
        <f t="shared" si="7"/>
        <v>0</v>
      </c>
      <c r="F7" s="14">
        <f t="shared" si="7"/>
        <v>128978328705</v>
      </c>
      <c r="G7" s="14">
        <f t="shared" si="7"/>
        <v>31885183813.699997</v>
      </c>
      <c r="H7" s="14">
        <f t="shared" si="7"/>
        <v>9117970322.7000008</v>
      </c>
      <c r="I7" s="14">
        <f t="shared" si="7"/>
        <v>31885183813.699997</v>
      </c>
      <c r="J7" s="14">
        <f t="shared" si="7"/>
        <v>96093880648.720001</v>
      </c>
      <c r="K7" s="15">
        <f t="shared" si="1"/>
        <v>0.24721349806468634</v>
      </c>
      <c r="L7" s="113"/>
      <c r="M7" s="12" t="s">
        <v>232</v>
      </c>
      <c r="N7" s="13" t="s">
        <v>233</v>
      </c>
      <c r="O7" s="14">
        <f t="shared" ref="O7:W7" si="8">+O8+O124</f>
        <v>128185121191</v>
      </c>
      <c r="P7" s="14">
        <f t="shared" si="8"/>
        <v>793207514</v>
      </c>
      <c r="Q7" s="14">
        <f t="shared" si="8"/>
        <v>0</v>
      </c>
      <c r="R7" s="14">
        <f t="shared" si="8"/>
        <v>128978328705</v>
      </c>
      <c r="S7" s="14">
        <f t="shared" si="8"/>
        <v>5964848976.6100006</v>
      </c>
      <c r="T7" s="14">
        <f t="shared" si="8"/>
        <v>9117970322.7000008</v>
      </c>
      <c r="U7" s="14">
        <f t="shared" si="8"/>
        <v>31885183813.699997</v>
      </c>
      <c r="V7" s="14">
        <f t="shared" si="8"/>
        <v>96093880648.720001</v>
      </c>
      <c r="W7" s="14">
        <f t="shared" si="8"/>
        <v>6.6001147791840831</v>
      </c>
      <c r="Y7" s="113">
        <f t="shared" si="5"/>
        <v>0</v>
      </c>
      <c r="Z7" s="113">
        <f t="shared" si="6"/>
        <v>0</v>
      </c>
    </row>
    <row r="8" spans="1:26" outlineLevel="4" x14ac:dyDescent="0.25">
      <c r="A8" s="12" t="s">
        <v>234</v>
      </c>
      <c r="B8" s="13" t="s">
        <v>235</v>
      </c>
      <c r="C8" s="14">
        <f>+C9+C84</f>
        <v>46439868581</v>
      </c>
      <c r="D8" s="14">
        <f t="shared" ref="D8:J8" si="9">+D9+D84</f>
        <v>0</v>
      </c>
      <c r="E8" s="14">
        <f t="shared" si="9"/>
        <v>0</v>
      </c>
      <c r="F8" s="14">
        <f t="shared" si="9"/>
        <v>46439868581</v>
      </c>
      <c r="G8" s="14">
        <f t="shared" si="9"/>
        <v>14693954425.280001</v>
      </c>
      <c r="H8" s="14">
        <f t="shared" si="9"/>
        <v>4761547288.2800007</v>
      </c>
      <c r="I8" s="14">
        <f t="shared" si="9"/>
        <v>14693954425.280001</v>
      </c>
      <c r="J8" s="14">
        <f t="shared" si="9"/>
        <v>31745914155.720001</v>
      </c>
      <c r="K8" s="15">
        <f t="shared" si="1"/>
        <v>0.3164081827589787</v>
      </c>
      <c r="L8" s="113"/>
      <c r="M8" s="12" t="s">
        <v>234</v>
      </c>
      <c r="N8" s="13" t="s">
        <v>235</v>
      </c>
      <c r="O8" s="14">
        <f t="shared" ref="O8:W8" si="10">+O9+O84</f>
        <v>46439868581</v>
      </c>
      <c r="P8" s="14">
        <f t="shared" si="10"/>
        <v>0</v>
      </c>
      <c r="Q8" s="14">
        <f t="shared" si="10"/>
        <v>0</v>
      </c>
      <c r="R8" s="14">
        <f t="shared" si="10"/>
        <v>46439868581</v>
      </c>
      <c r="S8" s="14">
        <f t="shared" si="10"/>
        <v>1689044784.6100001</v>
      </c>
      <c r="T8" s="14">
        <f t="shared" si="10"/>
        <v>4761547288.2800007</v>
      </c>
      <c r="U8" s="14">
        <f t="shared" si="10"/>
        <v>14693954425.280001</v>
      </c>
      <c r="V8" s="14">
        <f t="shared" si="10"/>
        <v>31745914155.720001</v>
      </c>
      <c r="W8" s="14">
        <f t="shared" si="10"/>
        <v>6.3918333384764043</v>
      </c>
      <c r="Y8" s="113">
        <f t="shared" si="5"/>
        <v>0</v>
      </c>
      <c r="Z8" s="113">
        <f t="shared" si="6"/>
        <v>0</v>
      </c>
    </row>
    <row r="9" spans="1:26" s="20" customFormat="1" outlineLevel="4" x14ac:dyDescent="0.25">
      <c r="A9" s="16" t="s">
        <v>236</v>
      </c>
      <c r="B9" s="17" t="s">
        <v>237</v>
      </c>
      <c r="C9" s="18">
        <f>+C10+C81</f>
        <v>44746571785</v>
      </c>
      <c r="D9" s="18">
        <f t="shared" ref="D9:J9" si="11">+D10+D81</f>
        <v>0</v>
      </c>
      <c r="E9" s="18">
        <f t="shared" si="11"/>
        <v>0</v>
      </c>
      <c r="F9" s="18">
        <f t="shared" si="11"/>
        <v>44746571785</v>
      </c>
      <c r="G9" s="18">
        <f t="shared" si="11"/>
        <v>14324837892.280001</v>
      </c>
      <c r="H9" s="18">
        <f t="shared" si="11"/>
        <v>4670261103.2800007</v>
      </c>
      <c r="I9" s="18">
        <f t="shared" si="11"/>
        <v>14324837892.280001</v>
      </c>
      <c r="J9" s="18">
        <f t="shared" si="11"/>
        <v>30421733892.720001</v>
      </c>
      <c r="K9" s="19">
        <f t="shared" si="1"/>
        <v>0.32013263409560216</v>
      </c>
      <c r="L9" s="113"/>
      <c r="M9" s="16" t="s">
        <v>236</v>
      </c>
      <c r="N9" s="17" t="s">
        <v>237</v>
      </c>
      <c r="O9" s="18">
        <f t="shared" ref="O9:W9" si="12">+O10+O81</f>
        <v>44746571785</v>
      </c>
      <c r="P9" s="18">
        <f t="shared" si="12"/>
        <v>0</v>
      </c>
      <c r="Q9" s="18">
        <f t="shared" si="12"/>
        <v>0</v>
      </c>
      <c r="R9" s="18">
        <f t="shared" si="12"/>
        <v>44746571785</v>
      </c>
      <c r="S9" s="18">
        <f t="shared" si="12"/>
        <v>1492940739.6100001</v>
      </c>
      <c r="T9" s="18">
        <f t="shared" si="12"/>
        <v>4670261103.2800007</v>
      </c>
      <c r="U9" s="18">
        <f t="shared" si="12"/>
        <v>14324837892.280001</v>
      </c>
      <c r="V9" s="18">
        <f t="shared" si="12"/>
        <v>30421733892.720001</v>
      </c>
      <c r="W9" s="18">
        <f t="shared" si="12"/>
        <v>6.1738464304092853</v>
      </c>
      <c r="Y9" s="113">
        <f t="shared" si="5"/>
        <v>0</v>
      </c>
      <c r="Z9" s="113">
        <f t="shared" si="6"/>
        <v>0</v>
      </c>
    </row>
    <row r="10" spans="1:26" s="20" customFormat="1" outlineLevel="4" x14ac:dyDescent="0.25">
      <c r="A10" s="16" t="s">
        <v>238</v>
      </c>
      <c r="B10" s="17" t="s">
        <v>239</v>
      </c>
      <c r="C10" s="18">
        <f>+C11</f>
        <v>44516571785</v>
      </c>
      <c r="D10" s="18">
        <f t="shared" ref="D10:J11" si="13">+D11</f>
        <v>0</v>
      </c>
      <c r="E10" s="18">
        <f t="shared" si="13"/>
        <v>0</v>
      </c>
      <c r="F10" s="18">
        <f t="shared" si="13"/>
        <v>44516571785</v>
      </c>
      <c r="G10" s="18">
        <f t="shared" si="13"/>
        <v>14284903832.280001</v>
      </c>
      <c r="H10" s="18">
        <f t="shared" si="13"/>
        <v>4662674103.2800007</v>
      </c>
      <c r="I10" s="18">
        <f t="shared" si="13"/>
        <v>14284903832.280001</v>
      </c>
      <c r="J10" s="18">
        <f t="shared" si="13"/>
        <v>30231667952.720001</v>
      </c>
      <c r="K10" s="19">
        <f t="shared" si="1"/>
        <v>0.32088957571286619</v>
      </c>
      <c r="L10" s="113"/>
      <c r="M10" s="16" t="s">
        <v>238</v>
      </c>
      <c r="N10" s="17" t="s">
        <v>239</v>
      </c>
      <c r="O10" s="18">
        <f t="shared" ref="O10:W11" si="14">+O11</f>
        <v>44516571785</v>
      </c>
      <c r="P10" s="18">
        <f t="shared" si="14"/>
        <v>0</v>
      </c>
      <c r="Q10" s="18">
        <f t="shared" si="14"/>
        <v>0</v>
      </c>
      <c r="R10" s="18">
        <f t="shared" si="14"/>
        <v>44516571785</v>
      </c>
      <c r="S10" s="18">
        <f t="shared" si="14"/>
        <v>1484805039.6100001</v>
      </c>
      <c r="T10" s="18">
        <f t="shared" si="14"/>
        <v>4662674103.2800007</v>
      </c>
      <c r="U10" s="18">
        <f t="shared" si="14"/>
        <v>14284903832.280001</v>
      </c>
      <c r="V10" s="18">
        <f t="shared" si="14"/>
        <v>30231667952.720001</v>
      </c>
      <c r="W10" s="18">
        <f t="shared" si="14"/>
        <v>6.0002200825831986</v>
      </c>
      <c r="Y10" s="113">
        <f t="shared" si="5"/>
        <v>0</v>
      </c>
      <c r="Z10" s="113">
        <f t="shared" si="6"/>
        <v>0</v>
      </c>
    </row>
    <row r="11" spans="1:26" s="20" customFormat="1" outlineLevel="4" x14ac:dyDescent="0.25">
      <c r="A11" s="16" t="s">
        <v>240</v>
      </c>
      <c r="B11" s="17" t="s">
        <v>241</v>
      </c>
      <c r="C11" s="18">
        <f>+C12</f>
        <v>44516571785</v>
      </c>
      <c r="D11" s="18">
        <f t="shared" si="13"/>
        <v>0</v>
      </c>
      <c r="E11" s="18">
        <f t="shared" si="13"/>
        <v>0</v>
      </c>
      <c r="F11" s="18">
        <f t="shared" si="13"/>
        <v>44516571785</v>
      </c>
      <c r="G11" s="18">
        <f t="shared" si="13"/>
        <v>14284903832.280001</v>
      </c>
      <c r="H11" s="18">
        <f t="shared" si="13"/>
        <v>4662674103.2800007</v>
      </c>
      <c r="I11" s="18">
        <f t="shared" si="13"/>
        <v>14284903832.280001</v>
      </c>
      <c r="J11" s="18">
        <f t="shared" si="13"/>
        <v>30231667952.720001</v>
      </c>
      <c r="K11" s="19">
        <f t="shared" si="1"/>
        <v>0.32088957571286619</v>
      </c>
      <c r="L11" s="113"/>
      <c r="M11" s="16" t="s">
        <v>240</v>
      </c>
      <c r="N11" s="17" t="s">
        <v>241</v>
      </c>
      <c r="O11" s="18">
        <f t="shared" si="14"/>
        <v>44516571785</v>
      </c>
      <c r="P11" s="18">
        <f t="shared" si="14"/>
        <v>0</v>
      </c>
      <c r="Q11" s="18">
        <f t="shared" si="14"/>
        <v>0</v>
      </c>
      <c r="R11" s="18">
        <f t="shared" si="14"/>
        <v>44516571785</v>
      </c>
      <c r="S11" s="18">
        <f t="shared" si="14"/>
        <v>1484805039.6100001</v>
      </c>
      <c r="T11" s="18">
        <f t="shared" si="14"/>
        <v>4662674103.2800007</v>
      </c>
      <c r="U11" s="18">
        <f t="shared" si="14"/>
        <v>14284903832.280001</v>
      </c>
      <c r="V11" s="18">
        <f t="shared" si="14"/>
        <v>30231667952.720001</v>
      </c>
      <c r="W11" s="18">
        <f t="shared" si="14"/>
        <v>6.0002200825831986</v>
      </c>
      <c r="Y11" s="113">
        <f t="shared" si="5"/>
        <v>0</v>
      </c>
      <c r="Z11" s="113">
        <f t="shared" si="6"/>
        <v>0</v>
      </c>
    </row>
    <row r="12" spans="1:26" s="20" customFormat="1" outlineLevel="4" x14ac:dyDescent="0.25">
      <c r="A12" s="16" t="s">
        <v>242</v>
      </c>
      <c r="B12" s="17" t="s">
        <v>243</v>
      </c>
      <c r="C12" s="18">
        <f>+C13+C27+C45</f>
        <v>44516571785</v>
      </c>
      <c r="D12" s="18">
        <f t="shared" ref="D12:J12" si="15">+D13+D27+D45</f>
        <v>0</v>
      </c>
      <c r="E12" s="18">
        <f t="shared" si="15"/>
        <v>0</v>
      </c>
      <c r="F12" s="18">
        <f t="shared" si="15"/>
        <v>44516571785</v>
      </c>
      <c r="G12" s="18">
        <f t="shared" si="15"/>
        <v>14284903832.280001</v>
      </c>
      <c r="H12" s="18">
        <f t="shared" si="15"/>
        <v>4662674103.2800007</v>
      </c>
      <c r="I12" s="18">
        <f t="shared" si="15"/>
        <v>14284903832.280001</v>
      </c>
      <c r="J12" s="18">
        <f t="shared" si="15"/>
        <v>30231667952.720001</v>
      </c>
      <c r="K12" s="19">
        <f t="shared" si="1"/>
        <v>0.32088957571286619</v>
      </c>
      <c r="L12" s="113"/>
      <c r="M12" s="16" t="s">
        <v>242</v>
      </c>
      <c r="N12" s="17" t="s">
        <v>243</v>
      </c>
      <c r="O12" s="18">
        <f t="shared" ref="O12:W12" si="16">+O13+O27+O45</f>
        <v>44516571785</v>
      </c>
      <c r="P12" s="18">
        <f t="shared" si="16"/>
        <v>0</v>
      </c>
      <c r="Q12" s="18">
        <f t="shared" si="16"/>
        <v>0</v>
      </c>
      <c r="R12" s="18">
        <f t="shared" si="16"/>
        <v>44516571785</v>
      </c>
      <c r="S12" s="18">
        <f t="shared" si="16"/>
        <v>1484805039.6100001</v>
      </c>
      <c r="T12" s="18">
        <f t="shared" si="16"/>
        <v>4662674103.2800007</v>
      </c>
      <c r="U12" s="18">
        <f t="shared" si="16"/>
        <v>14284903832.280001</v>
      </c>
      <c r="V12" s="18">
        <f t="shared" si="16"/>
        <v>30231667952.720001</v>
      </c>
      <c r="W12" s="18">
        <f t="shared" si="16"/>
        <v>6.0002200825831986</v>
      </c>
      <c r="Y12" s="113">
        <f t="shared" si="5"/>
        <v>0</v>
      </c>
      <c r="Z12" s="113">
        <f t="shared" si="6"/>
        <v>0</v>
      </c>
    </row>
    <row r="13" spans="1:26" s="20" customFormat="1" outlineLevel="3" x14ac:dyDescent="0.25">
      <c r="A13" s="16" t="s">
        <v>244</v>
      </c>
      <c r="B13" s="17" t="s">
        <v>245</v>
      </c>
      <c r="C13" s="18">
        <f>SUM(C14)</f>
        <v>32250745169</v>
      </c>
      <c r="D13" s="18">
        <f t="shared" ref="D13:J13" si="17">SUM(D14)</f>
        <v>0</v>
      </c>
      <c r="E13" s="18">
        <f t="shared" si="17"/>
        <v>0</v>
      </c>
      <c r="F13" s="18">
        <f t="shared" si="17"/>
        <v>32250745169</v>
      </c>
      <c r="G13" s="18">
        <f t="shared" si="17"/>
        <v>9620385378.2800007</v>
      </c>
      <c r="H13" s="18">
        <f t="shared" si="17"/>
        <v>3017511775.2800002</v>
      </c>
      <c r="I13" s="18">
        <f t="shared" si="17"/>
        <v>9620385378.2800007</v>
      </c>
      <c r="J13" s="18">
        <f t="shared" si="17"/>
        <v>22630359790.720001</v>
      </c>
      <c r="K13" s="19">
        <f t="shared" si="1"/>
        <v>0.29829963084162436</v>
      </c>
      <c r="L13" s="113"/>
      <c r="M13" s="16" t="s">
        <v>244</v>
      </c>
      <c r="N13" s="17" t="s">
        <v>245</v>
      </c>
      <c r="O13" s="18">
        <f t="shared" ref="O13:W13" si="18">SUM(O14)</f>
        <v>32250745169</v>
      </c>
      <c r="P13" s="18">
        <f t="shared" si="18"/>
        <v>0</v>
      </c>
      <c r="Q13" s="18">
        <f t="shared" si="18"/>
        <v>0</v>
      </c>
      <c r="R13" s="18">
        <f t="shared" si="18"/>
        <v>32250745169</v>
      </c>
      <c r="S13" s="18">
        <f t="shared" si="18"/>
        <v>1093222382.5500002</v>
      </c>
      <c r="T13" s="18">
        <f t="shared" si="18"/>
        <v>3017511775.2800002</v>
      </c>
      <c r="U13" s="18">
        <f t="shared" si="18"/>
        <v>9620385378.2800007</v>
      </c>
      <c r="V13" s="18">
        <f t="shared" si="18"/>
        <v>22630359790.720001</v>
      </c>
      <c r="W13" s="18">
        <f t="shared" si="18"/>
        <v>5.2474977111989745</v>
      </c>
      <c r="Y13" s="113">
        <f t="shared" si="5"/>
        <v>0</v>
      </c>
      <c r="Z13" s="113">
        <f t="shared" si="6"/>
        <v>0</v>
      </c>
    </row>
    <row r="14" spans="1:26" outlineLevel="4" x14ac:dyDescent="0.25">
      <c r="A14" s="21" t="s">
        <v>246</v>
      </c>
      <c r="B14" s="22" t="s">
        <v>247</v>
      </c>
      <c r="C14" s="23">
        <f>SUM(C15:C26)</f>
        <v>32250745169</v>
      </c>
      <c r="D14" s="23">
        <f t="shared" ref="D14:J14" si="19">SUM(D15:D26)</f>
        <v>0</v>
      </c>
      <c r="E14" s="23">
        <f t="shared" si="19"/>
        <v>0</v>
      </c>
      <c r="F14" s="23">
        <f t="shared" si="19"/>
        <v>32250745169</v>
      </c>
      <c r="G14" s="23">
        <f t="shared" si="19"/>
        <v>9620385378.2800007</v>
      </c>
      <c r="H14" s="23">
        <f t="shared" si="19"/>
        <v>3017511775.2800002</v>
      </c>
      <c r="I14" s="23">
        <f t="shared" si="19"/>
        <v>9620385378.2800007</v>
      </c>
      <c r="J14" s="23">
        <f t="shared" si="19"/>
        <v>22630359790.720001</v>
      </c>
      <c r="K14" s="24">
        <f t="shared" si="1"/>
        <v>0.29829963084162436</v>
      </c>
      <c r="L14" s="113"/>
      <c r="M14" s="21" t="s">
        <v>246</v>
      </c>
      <c r="N14" s="22" t="s">
        <v>247</v>
      </c>
      <c r="O14" s="23">
        <f t="shared" ref="O14:W14" si="20">SUM(O15:O26)</f>
        <v>32250745169</v>
      </c>
      <c r="P14" s="23">
        <f t="shared" si="20"/>
        <v>0</v>
      </c>
      <c r="Q14" s="23">
        <f t="shared" si="20"/>
        <v>0</v>
      </c>
      <c r="R14" s="23">
        <f t="shared" si="20"/>
        <v>32250745169</v>
      </c>
      <c r="S14" s="23">
        <f t="shared" si="20"/>
        <v>1093222382.5500002</v>
      </c>
      <c r="T14" s="23">
        <f t="shared" si="20"/>
        <v>3017511775.2800002</v>
      </c>
      <c r="U14" s="23">
        <f t="shared" si="20"/>
        <v>9620385378.2800007</v>
      </c>
      <c r="V14" s="23">
        <f t="shared" si="20"/>
        <v>22630359790.720001</v>
      </c>
      <c r="W14" s="23">
        <f t="shared" si="20"/>
        <v>5.2474977111989745</v>
      </c>
      <c r="Y14" s="113">
        <f t="shared" si="5"/>
        <v>0</v>
      </c>
      <c r="Z14" s="113">
        <f t="shared" si="6"/>
        <v>0</v>
      </c>
    </row>
    <row r="15" spans="1:26" outlineLevel="4" x14ac:dyDescent="0.25">
      <c r="A15" s="25" t="s">
        <v>248</v>
      </c>
      <c r="B15" s="26" t="s">
        <v>249</v>
      </c>
      <c r="C15" s="27">
        <v>1755025978</v>
      </c>
      <c r="D15" s="28"/>
      <c r="E15" s="29"/>
      <c r="F15" s="30">
        <f t="shared" ref="F15:F78" si="21">+C15+D15</f>
        <v>1755025978</v>
      </c>
      <c r="G15" s="31">
        <v>0</v>
      </c>
      <c r="H15" s="27"/>
      <c r="I15" s="31">
        <v>0</v>
      </c>
      <c r="J15" s="32">
        <f t="shared" ref="J15:J62" si="22">SUM(F15-I15)</f>
        <v>1755025978</v>
      </c>
      <c r="K15" s="33">
        <f t="shared" si="1"/>
        <v>0</v>
      </c>
      <c r="L15" s="113"/>
      <c r="M15" s="25" t="s">
        <v>248</v>
      </c>
      <c r="N15" s="26" t="s">
        <v>249</v>
      </c>
      <c r="O15" s="27">
        <v>1755025978</v>
      </c>
      <c r="P15" s="28"/>
      <c r="Q15" s="29"/>
      <c r="R15" s="30">
        <v>1755025978</v>
      </c>
      <c r="S15" s="31">
        <v>0</v>
      </c>
      <c r="T15" s="27"/>
      <c r="U15" s="31">
        <v>0</v>
      </c>
      <c r="V15" s="32">
        <v>1755025978</v>
      </c>
      <c r="W15" s="33">
        <v>0</v>
      </c>
      <c r="Y15" s="113">
        <f t="shared" si="5"/>
        <v>0</v>
      </c>
      <c r="Z15" s="113">
        <f t="shared" si="6"/>
        <v>0</v>
      </c>
    </row>
    <row r="16" spans="1:26" outlineLevel="4" x14ac:dyDescent="0.25">
      <c r="A16" s="25" t="s">
        <v>250</v>
      </c>
      <c r="B16" s="26" t="s">
        <v>251</v>
      </c>
      <c r="C16" s="27">
        <v>27484600657</v>
      </c>
      <c r="D16" s="27"/>
      <c r="E16" s="34"/>
      <c r="F16" s="30">
        <f t="shared" si="21"/>
        <v>27484600657</v>
      </c>
      <c r="G16" s="31">
        <v>8906816640.2800007</v>
      </c>
      <c r="H16" s="27">
        <v>2954016946.2800002</v>
      </c>
      <c r="I16" s="31">
        <v>8906816640.2800007</v>
      </c>
      <c r="J16" s="32">
        <f t="shared" si="22"/>
        <v>18577784016.720001</v>
      </c>
      <c r="K16" s="33">
        <f t="shared" si="1"/>
        <v>0.32406571052039429</v>
      </c>
      <c r="L16" s="113"/>
      <c r="M16" s="25" t="s">
        <v>250</v>
      </c>
      <c r="N16" s="26" t="s">
        <v>251</v>
      </c>
      <c r="O16" s="27">
        <v>27484600657</v>
      </c>
      <c r="P16" s="27"/>
      <c r="Q16" s="34"/>
      <c r="R16" s="30">
        <v>27484600657</v>
      </c>
      <c r="S16" s="31">
        <v>713224763</v>
      </c>
      <c r="T16" s="27">
        <v>2954016946.2800002</v>
      </c>
      <c r="U16" s="31">
        <v>8906816640.2800007</v>
      </c>
      <c r="V16" s="32">
        <v>18577784016.720001</v>
      </c>
      <c r="W16" s="33">
        <v>0.32406571052039429</v>
      </c>
      <c r="Y16" s="113">
        <f t="shared" si="5"/>
        <v>0</v>
      </c>
      <c r="Z16" s="113">
        <f t="shared" si="6"/>
        <v>0</v>
      </c>
    </row>
    <row r="17" spans="1:26" outlineLevel="4" x14ac:dyDescent="0.25">
      <c r="A17" s="25" t="s">
        <v>252</v>
      </c>
      <c r="B17" s="26" t="s">
        <v>253</v>
      </c>
      <c r="C17" s="27">
        <v>10000764</v>
      </c>
      <c r="D17" s="27"/>
      <c r="E17" s="34"/>
      <c r="F17" s="30">
        <f t="shared" si="21"/>
        <v>10000764</v>
      </c>
      <c r="G17" s="31">
        <v>20472262</v>
      </c>
      <c r="H17" s="27">
        <v>186400</v>
      </c>
      <c r="I17" s="31">
        <v>20472262</v>
      </c>
      <c r="J17" s="32">
        <f t="shared" si="22"/>
        <v>-10471498</v>
      </c>
      <c r="K17" s="33">
        <f t="shared" si="1"/>
        <v>2.0470698038669846</v>
      </c>
      <c r="L17" s="113"/>
      <c r="M17" s="25" t="s">
        <v>252</v>
      </c>
      <c r="N17" s="26" t="s">
        <v>253</v>
      </c>
      <c r="O17" s="27">
        <v>10000764</v>
      </c>
      <c r="P17" s="27"/>
      <c r="Q17" s="34"/>
      <c r="R17" s="30">
        <v>10000764</v>
      </c>
      <c r="S17" s="31">
        <v>10948462</v>
      </c>
      <c r="T17" s="27">
        <v>186400</v>
      </c>
      <c r="U17" s="31">
        <v>20472262</v>
      </c>
      <c r="V17" s="32">
        <v>-10471498</v>
      </c>
      <c r="W17" s="33">
        <v>2.0470698038669846</v>
      </c>
      <c r="Y17" s="113">
        <f t="shared" si="5"/>
        <v>0</v>
      </c>
      <c r="Z17" s="113">
        <f t="shared" si="6"/>
        <v>0</v>
      </c>
    </row>
    <row r="18" spans="1:26" outlineLevel="4" x14ac:dyDescent="0.25">
      <c r="A18" s="25" t="s">
        <v>254</v>
      </c>
      <c r="B18" s="26" t="s">
        <v>255</v>
      </c>
      <c r="C18" s="27">
        <v>1796956253</v>
      </c>
      <c r="D18" s="27"/>
      <c r="E18" s="34"/>
      <c r="F18" s="30">
        <f t="shared" si="21"/>
        <v>1796956253</v>
      </c>
      <c r="G18" s="31">
        <v>384118884</v>
      </c>
      <c r="H18" s="27">
        <v>28331800</v>
      </c>
      <c r="I18" s="31">
        <v>384118884</v>
      </c>
      <c r="J18" s="32">
        <f t="shared" si="22"/>
        <v>1412837369</v>
      </c>
      <c r="K18" s="33">
        <f t="shared" si="1"/>
        <v>0.2137608432919374</v>
      </c>
      <c r="L18" s="113"/>
      <c r="M18" s="25" t="s">
        <v>254</v>
      </c>
      <c r="N18" s="26" t="s">
        <v>255</v>
      </c>
      <c r="O18" s="27">
        <v>1796956253</v>
      </c>
      <c r="P18" s="27"/>
      <c r="Q18" s="34"/>
      <c r="R18" s="30">
        <v>1796956253</v>
      </c>
      <c r="S18" s="31">
        <v>211301558.96000001</v>
      </c>
      <c r="T18" s="27">
        <v>28331800</v>
      </c>
      <c r="U18" s="31">
        <v>384118884</v>
      </c>
      <c r="V18" s="32">
        <v>1412837369</v>
      </c>
      <c r="W18" s="33">
        <v>0.2137608432919374</v>
      </c>
      <c r="Y18" s="113">
        <f t="shared" si="5"/>
        <v>0</v>
      </c>
      <c r="Z18" s="113">
        <f t="shared" si="6"/>
        <v>0</v>
      </c>
    </row>
    <row r="19" spans="1:26" outlineLevel="2" x14ac:dyDescent="0.25">
      <c r="A19" s="25" t="s">
        <v>256</v>
      </c>
      <c r="B19" s="26" t="s">
        <v>257</v>
      </c>
      <c r="C19" s="27">
        <v>5182800</v>
      </c>
      <c r="D19" s="27"/>
      <c r="E19" s="29"/>
      <c r="F19" s="30">
        <f t="shared" si="21"/>
        <v>5182800</v>
      </c>
      <c r="G19" s="31">
        <v>1020000</v>
      </c>
      <c r="H19" s="27">
        <v>270000</v>
      </c>
      <c r="I19" s="31">
        <v>1020000</v>
      </c>
      <c r="J19" s="32">
        <f t="shared" si="22"/>
        <v>4162800</v>
      </c>
      <c r="K19" s="35">
        <f t="shared" si="1"/>
        <v>0.19680481592961332</v>
      </c>
      <c r="L19" s="113"/>
      <c r="M19" s="25" t="s">
        <v>256</v>
      </c>
      <c r="N19" s="26" t="s">
        <v>257</v>
      </c>
      <c r="O19" s="27">
        <v>5182800</v>
      </c>
      <c r="P19" s="27"/>
      <c r="Q19" s="29"/>
      <c r="R19" s="30">
        <v>5182800</v>
      </c>
      <c r="S19" s="31">
        <v>180000</v>
      </c>
      <c r="T19" s="27">
        <v>270000</v>
      </c>
      <c r="U19" s="31">
        <v>1020000</v>
      </c>
      <c r="V19" s="32">
        <v>4162800</v>
      </c>
      <c r="W19" s="35">
        <v>0.19680481592961332</v>
      </c>
      <c r="Y19" s="113">
        <f t="shared" si="5"/>
        <v>0</v>
      </c>
      <c r="Z19" s="113">
        <f t="shared" si="6"/>
        <v>0</v>
      </c>
    </row>
    <row r="20" spans="1:26" outlineLevel="3" x14ac:dyDescent="0.25">
      <c r="A20" s="25" t="s">
        <v>258</v>
      </c>
      <c r="B20" s="26" t="s">
        <v>259</v>
      </c>
      <c r="C20" s="27">
        <v>87550000</v>
      </c>
      <c r="D20" s="27"/>
      <c r="E20" s="34"/>
      <c r="F20" s="30">
        <f t="shared" si="21"/>
        <v>87550000</v>
      </c>
      <c r="G20" s="31">
        <v>40002630</v>
      </c>
      <c r="H20" s="27">
        <v>12264600</v>
      </c>
      <c r="I20" s="31">
        <v>40002630</v>
      </c>
      <c r="J20" s="32">
        <f t="shared" si="22"/>
        <v>47547370</v>
      </c>
      <c r="K20" s="33">
        <f t="shared" si="1"/>
        <v>0.45691182181610507</v>
      </c>
      <c r="L20" s="113"/>
      <c r="M20" s="25" t="s">
        <v>258</v>
      </c>
      <c r="N20" s="26" t="s">
        <v>259</v>
      </c>
      <c r="O20" s="27">
        <v>87550000</v>
      </c>
      <c r="P20" s="27"/>
      <c r="Q20" s="34"/>
      <c r="R20" s="30">
        <v>87550000</v>
      </c>
      <c r="S20" s="31">
        <v>16700979.59</v>
      </c>
      <c r="T20" s="27">
        <v>12264600</v>
      </c>
      <c r="U20" s="31">
        <v>40002630</v>
      </c>
      <c r="V20" s="32">
        <v>47547370</v>
      </c>
      <c r="W20" s="33">
        <v>0.45691182181610507</v>
      </c>
      <c r="Y20" s="113">
        <f t="shared" si="5"/>
        <v>0</v>
      </c>
      <c r="Z20" s="113">
        <f t="shared" si="6"/>
        <v>0</v>
      </c>
    </row>
    <row r="21" spans="1:26" outlineLevel="4" x14ac:dyDescent="0.25">
      <c r="A21" s="25" t="s">
        <v>260</v>
      </c>
      <c r="B21" s="26" t="s">
        <v>261</v>
      </c>
      <c r="C21" s="27">
        <v>13081000</v>
      </c>
      <c r="D21" s="27"/>
      <c r="E21" s="34"/>
      <c r="F21" s="30">
        <f t="shared" si="21"/>
        <v>13081000</v>
      </c>
      <c r="G21" s="31">
        <v>784000</v>
      </c>
      <c r="H21" s="27">
        <v>241000</v>
      </c>
      <c r="I21" s="31">
        <v>784000</v>
      </c>
      <c r="J21" s="32">
        <f t="shared" si="22"/>
        <v>12297000</v>
      </c>
      <c r="K21" s="33">
        <f t="shared" si="1"/>
        <v>5.9934255790841676E-2</v>
      </c>
      <c r="L21" s="113"/>
      <c r="M21" s="25" t="s">
        <v>260</v>
      </c>
      <c r="N21" s="26" t="s">
        <v>261</v>
      </c>
      <c r="O21" s="27">
        <v>13081000</v>
      </c>
      <c r="P21" s="27"/>
      <c r="Q21" s="34"/>
      <c r="R21" s="30">
        <v>13081000</v>
      </c>
      <c r="S21" s="31">
        <v>249000</v>
      </c>
      <c r="T21" s="27">
        <v>241000</v>
      </c>
      <c r="U21" s="31">
        <v>784000</v>
      </c>
      <c r="V21" s="32">
        <v>12297000</v>
      </c>
      <c r="W21" s="33">
        <v>5.9934255790841676E-2</v>
      </c>
      <c r="Y21" s="113">
        <f t="shared" si="5"/>
        <v>0</v>
      </c>
      <c r="Z21" s="113">
        <f t="shared" si="6"/>
        <v>0</v>
      </c>
    </row>
    <row r="22" spans="1:26" outlineLevel="4" x14ac:dyDescent="0.25">
      <c r="A22" s="25" t="s">
        <v>262</v>
      </c>
      <c r="B22" s="26" t="s">
        <v>263</v>
      </c>
      <c r="C22" s="27">
        <v>61800000</v>
      </c>
      <c r="D22" s="27"/>
      <c r="E22" s="34"/>
      <c r="F22" s="30">
        <f t="shared" si="21"/>
        <v>61800000</v>
      </c>
      <c r="G22" s="31">
        <v>30555346</v>
      </c>
      <c r="H22" s="27">
        <v>3551200</v>
      </c>
      <c r="I22" s="31">
        <v>30555346</v>
      </c>
      <c r="J22" s="32">
        <f t="shared" si="22"/>
        <v>31244654</v>
      </c>
      <c r="K22" s="33">
        <f t="shared" si="1"/>
        <v>0.49442307443365696</v>
      </c>
      <c r="L22" s="113"/>
      <c r="M22" s="25" t="s">
        <v>262</v>
      </c>
      <c r="N22" s="26" t="s">
        <v>263</v>
      </c>
      <c r="O22" s="27">
        <v>61800000</v>
      </c>
      <c r="P22" s="27"/>
      <c r="Q22" s="34"/>
      <c r="R22" s="30">
        <v>61800000</v>
      </c>
      <c r="S22" s="31">
        <v>17114300</v>
      </c>
      <c r="T22" s="27">
        <v>3551200</v>
      </c>
      <c r="U22" s="31">
        <v>30555346</v>
      </c>
      <c r="V22" s="32">
        <v>31244654</v>
      </c>
      <c r="W22" s="33">
        <v>0.49442307443365696</v>
      </c>
      <c r="Y22" s="113">
        <f t="shared" si="5"/>
        <v>0</v>
      </c>
      <c r="Z22" s="113">
        <f t="shared" si="6"/>
        <v>0</v>
      </c>
    </row>
    <row r="23" spans="1:26" outlineLevel="4" x14ac:dyDescent="0.25">
      <c r="A23" s="25" t="s">
        <v>264</v>
      </c>
      <c r="B23" s="26" t="s">
        <v>265</v>
      </c>
      <c r="C23" s="27">
        <v>7004000</v>
      </c>
      <c r="D23" s="27"/>
      <c r="E23" s="34"/>
      <c r="F23" s="30">
        <f t="shared" si="21"/>
        <v>7004000</v>
      </c>
      <c r="G23" s="31">
        <v>1575500</v>
      </c>
      <c r="H23" s="27">
        <v>316000</v>
      </c>
      <c r="I23" s="31">
        <v>1575500</v>
      </c>
      <c r="J23" s="32">
        <f t="shared" si="22"/>
        <v>5428500</v>
      </c>
      <c r="K23" s="33">
        <f t="shared" si="1"/>
        <v>0.22494288977727014</v>
      </c>
      <c r="L23" s="113"/>
      <c r="M23" s="25" t="s">
        <v>264</v>
      </c>
      <c r="N23" s="26" t="s">
        <v>265</v>
      </c>
      <c r="O23" s="27">
        <v>7004000</v>
      </c>
      <c r="P23" s="27"/>
      <c r="Q23" s="34"/>
      <c r="R23" s="30">
        <v>7004000</v>
      </c>
      <c r="S23" s="31">
        <v>150000</v>
      </c>
      <c r="T23" s="27">
        <v>316000</v>
      </c>
      <c r="U23" s="31">
        <v>1575500</v>
      </c>
      <c r="V23" s="32">
        <v>5428500</v>
      </c>
      <c r="W23" s="33">
        <v>0.22494288977727014</v>
      </c>
      <c r="Y23" s="113">
        <f t="shared" si="5"/>
        <v>0</v>
      </c>
      <c r="Z23" s="113">
        <f t="shared" si="6"/>
        <v>0</v>
      </c>
    </row>
    <row r="24" spans="1:26" outlineLevel="4" x14ac:dyDescent="0.25">
      <c r="A24" s="25" t="s">
        <v>266</v>
      </c>
      <c r="B24" s="26" t="s">
        <v>267</v>
      </c>
      <c r="C24" s="27">
        <v>15000000</v>
      </c>
      <c r="D24" s="27"/>
      <c r="E24" s="34"/>
      <c r="F24" s="30">
        <f>+C24+D24</f>
        <v>15000000</v>
      </c>
      <c r="G24" s="31">
        <v>14048100</v>
      </c>
      <c r="H24" s="27">
        <v>7247600</v>
      </c>
      <c r="I24" s="31">
        <v>14048100</v>
      </c>
      <c r="J24" s="32">
        <f>SUM(F24-I24)</f>
        <v>951900</v>
      </c>
      <c r="K24" s="33">
        <f t="shared" si="1"/>
        <v>0.93654000000000004</v>
      </c>
      <c r="L24" s="113"/>
      <c r="M24" s="25" t="s">
        <v>266</v>
      </c>
      <c r="N24" s="26" t="s">
        <v>267</v>
      </c>
      <c r="O24" s="27">
        <v>15000000</v>
      </c>
      <c r="P24" s="27"/>
      <c r="Q24" s="34"/>
      <c r="R24" s="30">
        <v>15000000</v>
      </c>
      <c r="S24" s="31">
        <v>0</v>
      </c>
      <c r="T24" s="27">
        <v>7247600</v>
      </c>
      <c r="U24" s="31">
        <v>14048100</v>
      </c>
      <c r="V24" s="32">
        <v>951900</v>
      </c>
      <c r="W24" s="33">
        <v>0.93654000000000004</v>
      </c>
      <c r="Y24" s="113">
        <f t="shared" si="5"/>
        <v>0</v>
      </c>
      <c r="Z24" s="113">
        <f t="shared" si="6"/>
        <v>0</v>
      </c>
    </row>
    <row r="25" spans="1:26" outlineLevel="4" x14ac:dyDescent="0.25">
      <c r="A25" s="25" t="s">
        <v>268</v>
      </c>
      <c r="B25" s="26" t="s">
        <v>269</v>
      </c>
      <c r="C25" s="27">
        <v>940383717</v>
      </c>
      <c r="D25" s="27"/>
      <c r="E25" s="34"/>
      <c r="F25" s="30">
        <f>+C25+D25</f>
        <v>940383717</v>
      </c>
      <c r="G25" s="31">
        <v>216319066</v>
      </c>
      <c r="H25" s="27">
        <v>8778529</v>
      </c>
      <c r="I25" s="31">
        <v>216319066</v>
      </c>
      <c r="J25" s="32">
        <f>SUM(F25-I25)</f>
        <v>724064651</v>
      </c>
      <c r="K25" s="33">
        <f t="shared" si="1"/>
        <v>0.23003276438058529</v>
      </c>
      <c r="L25" s="113"/>
      <c r="M25" s="25" t="s">
        <v>268</v>
      </c>
      <c r="N25" s="26" t="s">
        <v>269</v>
      </c>
      <c r="O25" s="27">
        <v>940383717</v>
      </c>
      <c r="P25" s="27"/>
      <c r="Q25" s="34"/>
      <c r="R25" s="30">
        <v>940383717</v>
      </c>
      <c r="S25" s="31">
        <v>122964869</v>
      </c>
      <c r="T25" s="27">
        <v>8778529</v>
      </c>
      <c r="U25" s="31">
        <v>216319066</v>
      </c>
      <c r="V25" s="32">
        <v>724064651</v>
      </c>
      <c r="W25" s="33">
        <v>0.23003276438058529</v>
      </c>
      <c r="Y25" s="113">
        <f t="shared" si="5"/>
        <v>0</v>
      </c>
      <c r="Z25" s="113">
        <f t="shared" si="6"/>
        <v>0</v>
      </c>
    </row>
    <row r="26" spans="1:26" outlineLevel="4" x14ac:dyDescent="0.25">
      <c r="A26" s="25" t="s">
        <v>270</v>
      </c>
      <c r="B26" s="26" t="s">
        <v>271</v>
      </c>
      <c r="C26" s="27">
        <v>74160000</v>
      </c>
      <c r="D26" s="27"/>
      <c r="E26" s="34"/>
      <c r="F26" s="30">
        <f>+C26+D26</f>
        <v>74160000</v>
      </c>
      <c r="G26" s="31">
        <v>4672950</v>
      </c>
      <c r="H26" s="27">
        <v>2307700</v>
      </c>
      <c r="I26" s="31">
        <v>4672950</v>
      </c>
      <c r="J26" s="32">
        <f>SUM(F26-I26)</f>
        <v>69487050</v>
      </c>
      <c r="K26" s="33">
        <f t="shared" si="1"/>
        <v>6.3011731391585765E-2</v>
      </c>
      <c r="L26" s="113"/>
      <c r="M26" s="25" t="s">
        <v>270</v>
      </c>
      <c r="N26" s="26" t="s">
        <v>271</v>
      </c>
      <c r="O26" s="27">
        <v>74160000</v>
      </c>
      <c r="P26" s="27"/>
      <c r="Q26" s="34"/>
      <c r="R26" s="30">
        <v>74160000</v>
      </c>
      <c r="S26" s="31">
        <v>388450</v>
      </c>
      <c r="T26" s="27">
        <v>2307700</v>
      </c>
      <c r="U26" s="31">
        <v>4672950</v>
      </c>
      <c r="V26" s="32">
        <v>69487050</v>
      </c>
      <c r="W26" s="33">
        <v>6.3011731391585765E-2</v>
      </c>
      <c r="Y26" s="113">
        <f t="shared" si="5"/>
        <v>0</v>
      </c>
      <c r="Z26" s="113">
        <f t="shared" si="6"/>
        <v>0</v>
      </c>
    </row>
    <row r="27" spans="1:26" s="20" customFormat="1" outlineLevel="3" x14ac:dyDescent="0.25">
      <c r="A27" s="16" t="s">
        <v>272</v>
      </c>
      <c r="B27" s="17" t="s">
        <v>273</v>
      </c>
      <c r="C27" s="18">
        <f>+C28+C34+C39</f>
        <v>9796488332</v>
      </c>
      <c r="D27" s="18">
        <f t="shared" ref="D27:J27" si="23">+D28+D34+D39</f>
        <v>0</v>
      </c>
      <c r="E27" s="18">
        <f t="shared" si="23"/>
        <v>0</v>
      </c>
      <c r="F27" s="18">
        <f t="shared" si="23"/>
        <v>9796488332</v>
      </c>
      <c r="G27" s="18">
        <f t="shared" si="23"/>
        <v>3751378258</v>
      </c>
      <c r="H27" s="18">
        <v>1473830469</v>
      </c>
      <c r="I27" s="18">
        <v>3751378258</v>
      </c>
      <c r="J27" s="18">
        <f t="shared" si="23"/>
        <v>6045110074</v>
      </c>
      <c r="K27" s="19">
        <f t="shared" si="1"/>
        <v>0.38293091675985674</v>
      </c>
      <c r="L27" s="113"/>
      <c r="M27" s="16" t="s">
        <v>272</v>
      </c>
      <c r="N27" s="17" t="s">
        <v>273</v>
      </c>
      <c r="O27" s="18">
        <v>9796488332</v>
      </c>
      <c r="P27" s="18">
        <v>0</v>
      </c>
      <c r="Q27" s="18">
        <v>0</v>
      </c>
      <c r="R27" s="18">
        <v>9796488332</v>
      </c>
      <c r="S27" s="18">
        <v>216274029</v>
      </c>
      <c r="T27" s="18">
        <v>1473830469</v>
      </c>
      <c r="U27" s="18">
        <v>3751378258</v>
      </c>
      <c r="V27" s="18">
        <v>6045110074</v>
      </c>
      <c r="W27" s="19">
        <v>0.38293091675985674</v>
      </c>
      <c r="Y27" s="113">
        <f t="shared" si="5"/>
        <v>0</v>
      </c>
      <c r="Z27" s="113">
        <f t="shared" si="6"/>
        <v>0</v>
      </c>
    </row>
    <row r="28" spans="1:26" outlineLevel="4" x14ac:dyDescent="0.25">
      <c r="A28" s="21" t="s">
        <v>274</v>
      </c>
      <c r="B28" s="22" t="s">
        <v>275</v>
      </c>
      <c r="C28" s="23">
        <f>SUM(C29:C33)</f>
        <v>4983476830</v>
      </c>
      <c r="D28" s="23">
        <f t="shared" ref="D28:J28" si="24">SUM(D29:D33)</f>
        <v>0</v>
      </c>
      <c r="E28" s="23">
        <f t="shared" si="24"/>
        <v>0</v>
      </c>
      <c r="F28" s="23">
        <f t="shared" si="24"/>
        <v>4983476830</v>
      </c>
      <c r="G28" s="23">
        <f t="shared" si="24"/>
        <v>1943582132</v>
      </c>
      <c r="H28" s="23">
        <v>588422711</v>
      </c>
      <c r="I28" s="23">
        <v>1943582132</v>
      </c>
      <c r="J28" s="23">
        <f t="shared" si="24"/>
        <v>3039894698</v>
      </c>
      <c r="K28" s="36">
        <f t="shared" si="1"/>
        <v>0.39000525101267502</v>
      </c>
      <c r="L28" s="113"/>
      <c r="M28" s="21" t="s">
        <v>274</v>
      </c>
      <c r="N28" s="22" t="s">
        <v>275</v>
      </c>
      <c r="O28" s="23">
        <v>4983476830</v>
      </c>
      <c r="P28" s="23">
        <v>0</v>
      </c>
      <c r="Q28" s="23">
        <v>0</v>
      </c>
      <c r="R28" s="23">
        <v>4983476830</v>
      </c>
      <c r="S28" s="23">
        <v>165580105</v>
      </c>
      <c r="T28" s="23">
        <v>588422711</v>
      </c>
      <c r="U28" s="23">
        <v>1943582132</v>
      </c>
      <c r="V28" s="23">
        <v>3039894698</v>
      </c>
      <c r="W28" s="36">
        <v>0.39000525101267502</v>
      </c>
      <c r="Y28" s="113">
        <f t="shared" si="5"/>
        <v>0</v>
      </c>
      <c r="Z28" s="113">
        <f t="shared" si="6"/>
        <v>0</v>
      </c>
    </row>
    <row r="29" spans="1:26" outlineLevel="4" x14ac:dyDescent="0.25">
      <c r="A29" s="25" t="s">
        <v>276</v>
      </c>
      <c r="B29" s="26" t="s">
        <v>249</v>
      </c>
      <c r="C29" s="27">
        <v>176410005</v>
      </c>
      <c r="D29" s="27"/>
      <c r="E29" s="34"/>
      <c r="F29" s="30">
        <f t="shared" si="21"/>
        <v>176410005</v>
      </c>
      <c r="G29" s="31">
        <v>41052000</v>
      </c>
      <c r="H29" s="27"/>
      <c r="I29" s="31">
        <v>41052000</v>
      </c>
      <c r="J29" s="32">
        <f t="shared" si="22"/>
        <v>135358005</v>
      </c>
      <c r="K29" s="33">
        <f t="shared" si="1"/>
        <v>0.23270788978210163</v>
      </c>
      <c r="L29" s="113"/>
      <c r="M29" s="25" t="s">
        <v>276</v>
      </c>
      <c r="N29" s="26" t="s">
        <v>249</v>
      </c>
      <c r="O29" s="27">
        <v>176410005</v>
      </c>
      <c r="P29" s="27"/>
      <c r="Q29" s="34"/>
      <c r="R29" s="30">
        <v>176410005</v>
      </c>
      <c r="S29" s="31">
        <v>41052000</v>
      </c>
      <c r="T29" s="27"/>
      <c r="U29" s="31">
        <v>41052000</v>
      </c>
      <c r="V29" s="32">
        <v>135358005</v>
      </c>
      <c r="W29" s="33">
        <v>0.23270788978210163</v>
      </c>
      <c r="Y29" s="113">
        <f t="shared" si="5"/>
        <v>0</v>
      </c>
      <c r="Z29" s="113">
        <f t="shared" si="6"/>
        <v>0</v>
      </c>
    </row>
    <row r="30" spans="1:26" outlineLevel="4" x14ac:dyDescent="0.25">
      <c r="A30" s="25" t="s">
        <v>277</v>
      </c>
      <c r="B30" s="26" t="s">
        <v>251</v>
      </c>
      <c r="C30" s="27">
        <v>4000596877</v>
      </c>
      <c r="D30" s="27"/>
      <c r="E30" s="34"/>
      <c r="F30" s="30">
        <f t="shared" si="21"/>
        <v>4000596877</v>
      </c>
      <c r="G30" s="31">
        <v>1772721094</v>
      </c>
      <c r="H30" s="27">
        <v>588422711</v>
      </c>
      <c r="I30" s="31">
        <v>1772721094</v>
      </c>
      <c r="J30" s="32">
        <f t="shared" si="22"/>
        <v>2227875783</v>
      </c>
      <c r="K30" s="33">
        <f t="shared" si="1"/>
        <v>0.44311415233852364</v>
      </c>
      <c r="L30" s="113"/>
      <c r="M30" s="25" t="s">
        <v>277</v>
      </c>
      <c r="N30" s="26" t="s">
        <v>251</v>
      </c>
      <c r="O30" s="27">
        <v>4000596877</v>
      </c>
      <c r="P30" s="27"/>
      <c r="Q30" s="34"/>
      <c r="R30" s="30">
        <v>4000596877</v>
      </c>
      <c r="S30" s="31">
        <v>15642733</v>
      </c>
      <c r="T30" s="27">
        <v>588422711</v>
      </c>
      <c r="U30" s="31">
        <v>1772721094</v>
      </c>
      <c r="V30" s="32">
        <v>2227875783</v>
      </c>
      <c r="W30" s="33">
        <v>0.44311415233852364</v>
      </c>
      <c r="Y30" s="113">
        <f t="shared" si="5"/>
        <v>0</v>
      </c>
      <c r="Z30" s="113">
        <f t="shared" si="6"/>
        <v>0</v>
      </c>
    </row>
    <row r="31" spans="1:26" outlineLevel="4" x14ac:dyDescent="0.25">
      <c r="A31" s="25" t="s">
        <v>278</v>
      </c>
      <c r="B31" s="26" t="s">
        <v>279</v>
      </c>
      <c r="C31" s="27">
        <v>594153640</v>
      </c>
      <c r="D31" s="27"/>
      <c r="E31" s="34"/>
      <c r="F31" s="30">
        <f t="shared" si="21"/>
        <v>594153640</v>
      </c>
      <c r="G31" s="31">
        <v>128197038</v>
      </c>
      <c r="H31" s="27"/>
      <c r="I31" s="31">
        <v>128197038</v>
      </c>
      <c r="J31" s="32">
        <f t="shared" si="22"/>
        <v>465956602</v>
      </c>
      <c r="K31" s="33">
        <f t="shared" si="1"/>
        <v>0.21576412121282301</v>
      </c>
      <c r="L31" s="113"/>
      <c r="M31" s="25" t="s">
        <v>278</v>
      </c>
      <c r="N31" s="26" t="s">
        <v>279</v>
      </c>
      <c r="O31" s="27">
        <v>594153640</v>
      </c>
      <c r="P31" s="27"/>
      <c r="Q31" s="34"/>
      <c r="R31" s="30">
        <v>594153640</v>
      </c>
      <c r="S31" s="31">
        <v>108885372</v>
      </c>
      <c r="T31" s="27"/>
      <c r="U31" s="31">
        <v>128197038</v>
      </c>
      <c r="V31" s="32">
        <v>465956602</v>
      </c>
      <c r="W31" s="33">
        <v>0.21576412121282301</v>
      </c>
      <c r="Y31" s="113">
        <f t="shared" si="5"/>
        <v>0</v>
      </c>
      <c r="Z31" s="113">
        <f t="shared" si="6"/>
        <v>0</v>
      </c>
    </row>
    <row r="32" spans="1:26" outlineLevel="4" x14ac:dyDescent="0.25">
      <c r="A32" s="25" t="s">
        <v>280</v>
      </c>
      <c r="B32" s="26" t="s">
        <v>281</v>
      </c>
      <c r="C32" s="27">
        <v>44607920</v>
      </c>
      <c r="D32" s="27"/>
      <c r="E32" s="34"/>
      <c r="F32" s="30">
        <f t="shared" si="21"/>
        <v>44607920</v>
      </c>
      <c r="G32" s="31">
        <v>0</v>
      </c>
      <c r="H32" s="27"/>
      <c r="I32" s="31">
        <v>0</v>
      </c>
      <c r="J32" s="32">
        <f t="shared" si="22"/>
        <v>44607920</v>
      </c>
      <c r="K32" s="33">
        <f t="shared" si="1"/>
        <v>0</v>
      </c>
      <c r="L32" s="113"/>
      <c r="M32" s="25" t="s">
        <v>280</v>
      </c>
      <c r="N32" s="26" t="s">
        <v>281</v>
      </c>
      <c r="O32" s="27">
        <v>44607920</v>
      </c>
      <c r="P32" s="27"/>
      <c r="Q32" s="34"/>
      <c r="R32" s="30">
        <v>44607920</v>
      </c>
      <c r="S32" s="31">
        <v>0</v>
      </c>
      <c r="T32" s="27"/>
      <c r="U32" s="31">
        <v>0</v>
      </c>
      <c r="V32" s="32">
        <v>44607920</v>
      </c>
      <c r="W32" s="33">
        <v>0</v>
      </c>
      <c r="Y32" s="113">
        <f t="shared" si="5"/>
        <v>0</v>
      </c>
      <c r="Z32" s="113">
        <f t="shared" si="6"/>
        <v>0</v>
      </c>
    </row>
    <row r="33" spans="1:26" outlineLevel="4" x14ac:dyDescent="0.25">
      <c r="A33" s="25" t="s">
        <v>282</v>
      </c>
      <c r="B33" s="26" t="s">
        <v>255</v>
      </c>
      <c r="C33" s="27">
        <v>167708388</v>
      </c>
      <c r="D33" s="27"/>
      <c r="E33" s="34"/>
      <c r="F33" s="30">
        <f t="shared" si="21"/>
        <v>167708388</v>
      </c>
      <c r="G33" s="31">
        <v>1612000</v>
      </c>
      <c r="H33" s="27"/>
      <c r="I33" s="31">
        <v>1612000</v>
      </c>
      <c r="J33" s="32">
        <f t="shared" si="22"/>
        <v>166096388</v>
      </c>
      <c r="K33" s="33">
        <f t="shared" si="1"/>
        <v>9.6119223327100368E-3</v>
      </c>
      <c r="L33" s="113"/>
      <c r="M33" s="25" t="s">
        <v>282</v>
      </c>
      <c r="N33" s="26" t="s">
        <v>255</v>
      </c>
      <c r="O33" s="27">
        <v>167708388</v>
      </c>
      <c r="P33" s="27"/>
      <c r="Q33" s="34"/>
      <c r="R33" s="30">
        <v>167708388</v>
      </c>
      <c r="S33" s="31">
        <v>0</v>
      </c>
      <c r="T33" s="27"/>
      <c r="U33" s="31">
        <v>1612000</v>
      </c>
      <c r="V33" s="32">
        <v>166096388</v>
      </c>
      <c r="W33" s="33">
        <v>9.6119223327100368E-3</v>
      </c>
      <c r="Y33" s="113">
        <f t="shared" si="5"/>
        <v>0</v>
      </c>
      <c r="Z33" s="113">
        <f t="shared" si="6"/>
        <v>0</v>
      </c>
    </row>
    <row r="34" spans="1:26" outlineLevel="4" x14ac:dyDescent="0.25">
      <c r="A34" s="21" t="s">
        <v>283</v>
      </c>
      <c r="B34" s="22" t="s">
        <v>284</v>
      </c>
      <c r="C34" s="23">
        <f>SUM(C35:C38)</f>
        <v>3817074480</v>
      </c>
      <c r="D34" s="23">
        <f t="shared" ref="D34:J34" si="25">SUM(D35:D38)</f>
        <v>0</v>
      </c>
      <c r="E34" s="23">
        <f t="shared" si="25"/>
        <v>0</v>
      </c>
      <c r="F34" s="23">
        <f t="shared" si="25"/>
        <v>3817074480</v>
      </c>
      <c r="G34" s="23">
        <f t="shared" si="25"/>
        <v>1512133767</v>
      </c>
      <c r="H34" s="23">
        <v>802407508</v>
      </c>
      <c r="I34" s="23">
        <v>1512133767</v>
      </c>
      <c r="J34" s="23">
        <f t="shared" si="25"/>
        <v>2304940713</v>
      </c>
      <c r="K34" s="36">
        <f t="shared" si="1"/>
        <v>0.39614992448352748</v>
      </c>
      <c r="L34" s="113"/>
      <c r="M34" s="21" t="s">
        <v>283</v>
      </c>
      <c r="N34" s="22" t="s">
        <v>284</v>
      </c>
      <c r="O34" s="23">
        <v>3817074480</v>
      </c>
      <c r="P34" s="23">
        <v>0</v>
      </c>
      <c r="Q34" s="23">
        <v>0</v>
      </c>
      <c r="R34" s="23">
        <v>3817074480</v>
      </c>
      <c r="S34" s="23">
        <v>45318234</v>
      </c>
      <c r="T34" s="23">
        <v>802407508</v>
      </c>
      <c r="U34" s="23">
        <v>1512133767</v>
      </c>
      <c r="V34" s="23">
        <v>2304940713</v>
      </c>
      <c r="W34" s="36">
        <v>0.39614992448352748</v>
      </c>
      <c r="Y34" s="113">
        <f t="shared" si="5"/>
        <v>0</v>
      </c>
      <c r="Z34" s="113">
        <f t="shared" si="6"/>
        <v>0</v>
      </c>
    </row>
    <row r="35" spans="1:26" outlineLevel="4" x14ac:dyDescent="0.25">
      <c r="A35" s="25" t="s">
        <v>285</v>
      </c>
      <c r="B35" s="26" t="s">
        <v>249</v>
      </c>
      <c r="C35" s="27">
        <v>73640621</v>
      </c>
      <c r="D35" s="27"/>
      <c r="E35" s="34"/>
      <c r="F35" s="30">
        <f t="shared" si="21"/>
        <v>73640621</v>
      </c>
      <c r="G35" s="31">
        <v>11119600</v>
      </c>
      <c r="H35" s="27"/>
      <c r="I35" s="31">
        <v>11119600</v>
      </c>
      <c r="J35" s="32">
        <f t="shared" si="22"/>
        <v>62521021</v>
      </c>
      <c r="K35" s="33">
        <f t="shared" si="1"/>
        <v>0.15099818346181518</v>
      </c>
      <c r="L35" s="113"/>
      <c r="M35" s="25" t="s">
        <v>285</v>
      </c>
      <c r="N35" s="26" t="s">
        <v>249</v>
      </c>
      <c r="O35" s="27">
        <v>73640621</v>
      </c>
      <c r="P35" s="27"/>
      <c r="Q35" s="34"/>
      <c r="R35" s="30">
        <v>73640621</v>
      </c>
      <c r="S35" s="31">
        <v>11119600</v>
      </c>
      <c r="T35" s="27"/>
      <c r="U35" s="31">
        <v>11119600</v>
      </c>
      <c r="V35" s="32">
        <v>62521021</v>
      </c>
      <c r="W35" s="33">
        <v>0.15099818346181518</v>
      </c>
      <c r="Y35" s="113">
        <f t="shared" si="5"/>
        <v>0</v>
      </c>
      <c r="Z35" s="113">
        <f t="shared" si="6"/>
        <v>0</v>
      </c>
    </row>
    <row r="36" spans="1:26" outlineLevel="4" x14ac:dyDescent="0.25">
      <c r="A36" s="25" t="s">
        <v>286</v>
      </c>
      <c r="B36" s="26" t="s">
        <v>251</v>
      </c>
      <c r="C36" s="27">
        <v>3469054021</v>
      </c>
      <c r="D36" s="27"/>
      <c r="E36" s="34"/>
      <c r="F36" s="30">
        <f t="shared" si="21"/>
        <v>3469054021</v>
      </c>
      <c r="G36" s="31">
        <v>1501014167</v>
      </c>
      <c r="H36" s="27">
        <v>802407508</v>
      </c>
      <c r="I36" s="31">
        <v>1501014167</v>
      </c>
      <c r="J36" s="32">
        <f t="shared" si="22"/>
        <v>1968039854</v>
      </c>
      <c r="K36" s="33">
        <f t="shared" si="1"/>
        <v>0.432686881758997</v>
      </c>
      <c r="L36" s="113"/>
      <c r="M36" s="25" t="s">
        <v>286</v>
      </c>
      <c r="N36" s="26" t="s">
        <v>251</v>
      </c>
      <c r="O36" s="27">
        <v>3469054021</v>
      </c>
      <c r="P36" s="27"/>
      <c r="Q36" s="34"/>
      <c r="R36" s="30">
        <v>3469054021</v>
      </c>
      <c r="S36" s="31">
        <v>34198634</v>
      </c>
      <c r="T36" s="27">
        <v>802407508</v>
      </c>
      <c r="U36" s="31">
        <v>1501014167</v>
      </c>
      <c r="V36" s="32">
        <v>1968039854</v>
      </c>
      <c r="W36" s="33">
        <v>0.432686881758997</v>
      </c>
      <c r="Y36" s="113">
        <f t="shared" si="5"/>
        <v>0</v>
      </c>
      <c r="Z36" s="113">
        <f t="shared" si="6"/>
        <v>0</v>
      </c>
    </row>
    <row r="37" spans="1:26" outlineLevel="4" x14ac:dyDescent="0.25">
      <c r="A37" s="25" t="s">
        <v>287</v>
      </c>
      <c r="B37" s="26" t="s">
        <v>279</v>
      </c>
      <c r="C37" s="27">
        <v>266109890</v>
      </c>
      <c r="D37" s="27"/>
      <c r="E37" s="34"/>
      <c r="F37" s="30">
        <f t="shared" si="21"/>
        <v>266109890</v>
      </c>
      <c r="G37" s="31"/>
      <c r="H37" s="27"/>
      <c r="I37" s="31"/>
      <c r="J37" s="32">
        <f t="shared" si="22"/>
        <v>266109890</v>
      </c>
      <c r="K37" s="33">
        <f t="shared" si="1"/>
        <v>0</v>
      </c>
      <c r="L37" s="113"/>
      <c r="M37" s="25" t="s">
        <v>287</v>
      </c>
      <c r="N37" s="26" t="s">
        <v>279</v>
      </c>
      <c r="O37" s="27">
        <v>266109890</v>
      </c>
      <c r="P37" s="27"/>
      <c r="Q37" s="34"/>
      <c r="R37" s="30">
        <v>266109890</v>
      </c>
      <c r="S37" s="31">
        <v>0</v>
      </c>
      <c r="T37" s="27"/>
      <c r="U37" s="31"/>
      <c r="V37" s="32">
        <v>266109890</v>
      </c>
      <c r="W37" s="33">
        <v>0</v>
      </c>
      <c r="Y37" s="113">
        <f t="shared" si="5"/>
        <v>0</v>
      </c>
      <c r="Z37" s="113">
        <f t="shared" si="6"/>
        <v>0</v>
      </c>
    </row>
    <row r="38" spans="1:26" outlineLevel="4" x14ac:dyDescent="0.25">
      <c r="A38" s="25" t="s">
        <v>288</v>
      </c>
      <c r="B38" s="26" t="s">
        <v>281</v>
      </c>
      <c r="C38" s="27">
        <v>8269948</v>
      </c>
      <c r="D38" s="27"/>
      <c r="E38" s="34"/>
      <c r="F38" s="30">
        <f t="shared" si="21"/>
        <v>8269948</v>
      </c>
      <c r="G38" s="31">
        <v>0</v>
      </c>
      <c r="H38" s="27"/>
      <c r="I38" s="31">
        <v>0</v>
      </c>
      <c r="J38" s="32">
        <f t="shared" si="22"/>
        <v>8269948</v>
      </c>
      <c r="K38" s="33">
        <f t="shared" si="1"/>
        <v>0</v>
      </c>
      <c r="L38" s="113"/>
      <c r="M38" s="25" t="s">
        <v>288</v>
      </c>
      <c r="N38" s="26" t="s">
        <v>281</v>
      </c>
      <c r="O38" s="27">
        <v>8269948</v>
      </c>
      <c r="P38" s="27"/>
      <c r="Q38" s="34"/>
      <c r="R38" s="30">
        <v>8269948</v>
      </c>
      <c r="S38" s="31">
        <v>0</v>
      </c>
      <c r="T38" s="27"/>
      <c r="U38" s="31">
        <v>0</v>
      </c>
      <c r="V38" s="32">
        <v>8269948</v>
      </c>
      <c r="W38" s="33">
        <v>0</v>
      </c>
      <c r="Y38" s="113">
        <f t="shared" si="5"/>
        <v>0</v>
      </c>
      <c r="Z38" s="113">
        <f t="shared" si="6"/>
        <v>0</v>
      </c>
    </row>
    <row r="39" spans="1:26" outlineLevel="4" x14ac:dyDescent="0.25">
      <c r="A39" s="21" t="s">
        <v>289</v>
      </c>
      <c r="B39" s="22" t="s">
        <v>290</v>
      </c>
      <c r="C39" s="23">
        <f>SUM(C40:C44)</f>
        <v>995937022</v>
      </c>
      <c r="D39" s="23">
        <f t="shared" ref="D39:J39" si="26">SUM(D40:D44)</f>
        <v>0</v>
      </c>
      <c r="E39" s="23">
        <f t="shared" si="26"/>
        <v>0</v>
      </c>
      <c r="F39" s="23">
        <f t="shared" si="26"/>
        <v>995937022</v>
      </c>
      <c r="G39" s="23">
        <f t="shared" si="26"/>
        <v>295662359</v>
      </c>
      <c r="H39" s="23">
        <v>83000250</v>
      </c>
      <c r="I39" s="23">
        <v>295662359</v>
      </c>
      <c r="J39" s="23">
        <f t="shared" si="26"/>
        <v>700274663</v>
      </c>
      <c r="K39" s="36">
        <f t="shared" si="1"/>
        <v>0.29686852930345226</v>
      </c>
      <c r="L39" s="113"/>
      <c r="M39" s="21" t="s">
        <v>289</v>
      </c>
      <c r="N39" s="22" t="s">
        <v>290</v>
      </c>
      <c r="O39" s="23">
        <v>995937022</v>
      </c>
      <c r="P39" s="23">
        <v>0</v>
      </c>
      <c r="Q39" s="23">
        <v>0</v>
      </c>
      <c r="R39" s="23">
        <v>995937022</v>
      </c>
      <c r="S39" s="23">
        <v>5375690</v>
      </c>
      <c r="T39" s="23">
        <v>83000250</v>
      </c>
      <c r="U39" s="23">
        <v>295662359</v>
      </c>
      <c r="V39" s="23">
        <v>700274663</v>
      </c>
      <c r="W39" s="36">
        <v>0.29686852930345226</v>
      </c>
      <c r="Y39" s="113">
        <f t="shared" si="5"/>
        <v>0</v>
      </c>
      <c r="Z39" s="113">
        <f t="shared" si="6"/>
        <v>0</v>
      </c>
    </row>
    <row r="40" spans="1:26" outlineLevel="4" x14ac:dyDescent="0.25">
      <c r="A40" s="25" t="s">
        <v>291</v>
      </c>
      <c r="B40" s="26" t="s">
        <v>292</v>
      </c>
      <c r="C40" s="27">
        <v>123593826</v>
      </c>
      <c r="D40" s="27"/>
      <c r="E40" s="34"/>
      <c r="F40" s="30">
        <f t="shared" si="21"/>
        <v>123593826</v>
      </c>
      <c r="G40" s="31">
        <v>64397395</v>
      </c>
      <c r="H40" s="27">
        <v>11762560</v>
      </c>
      <c r="I40" s="31">
        <v>64397395</v>
      </c>
      <c r="J40" s="32">
        <f t="shared" si="22"/>
        <v>59196431</v>
      </c>
      <c r="K40" s="33">
        <f t="shared" si="1"/>
        <v>0.52104054938796052</v>
      </c>
      <c r="L40" s="113"/>
      <c r="M40" s="25" t="s">
        <v>291</v>
      </c>
      <c r="N40" s="26" t="s">
        <v>292</v>
      </c>
      <c r="O40" s="27">
        <v>123593826</v>
      </c>
      <c r="P40" s="27"/>
      <c r="Q40" s="34"/>
      <c r="R40" s="30">
        <v>123593826</v>
      </c>
      <c r="S40" s="31">
        <v>2687845</v>
      </c>
      <c r="T40" s="27">
        <v>11762560</v>
      </c>
      <c r="U40" s="31">
        <v>64397395</v>
      </c>
      <c r="V40" s="32">
        <v>59196431</v>
      </c>
      <c r="W40" s="33">
        <v>0.52104054938796052</v>
      </c>
      <c r="Y40" s="113">
        <f t="shared" si="5"/>
        <v>0</v>
      </c>
      <c r="Z40" s="113">
        <f t="shared" si="6"/>
        <v>0</v>
      </c>
    </row>
    <row r="41" spans="1:26" outlineLevel="4" x14ac:dyDescent="0.25">
      <c r="A41" s="25" t="s">
        <v>293</v>
      </c>
      <c r="B41" s="26" t="s">
        <v>294</v>
      </c>
      <c r="C41" s="27">
        <v>436733306</v>
      </c>
      <c r="D41" s="27"/>
      <c r="E41" s="34"/>
      <c r="F41" s="30">
        <f t="shared" si="21"/>
        <v>436733306</v>
      </c>
      <c r="G41" s="31">
        <v>92333472</v>
      </c>
      <c r="H41" s="27">
        <v>37826968</v>
      </c>
      <c r="I41" s="31">
        <v>92333472</v>
      </c>
      <c r="J41" s="32">
        <f t="shared" si="22"/>
        <v>344399834</v>
      </c>
      <c r="K41" s="33">
        <f t="shared" si="1"/>
        <v>0.21141843484682618</v>
      </c>
      <c r="L41" s="113"/>
      <c r="M41" s="25" t="s">
        <v>293</v>
      </c>
      <c r="N41" s="26" t="s">
        <v>294</v>
      </c>
      <c r="O41" s="27">
        <v>436733306</v>
      </c>
      <c r="P41" s="27"/>
      <c r="Q41" s="34"/>
      <c r="R41" s="30">
        <v>436733306</v>
      </c>
      <c r="S41" s="31">
        <v>0</v>
      </c>
      <c r="T41" s="27">
        <v>37826968</v>
      </c>
      <c r="U41" s="31">
        <v>92333472</v>
      </c>
      <c r="V41" s="32">
        <v>344399834</v>
      </c>
      <c r="W41" s="33">
        <v>0.21141843484682618</v>
      </c>
      <c r="Y41" s="113">
        <f t="shared" si="5"/>
        <v>0</v>
      </c>
      <c r="Z41" s="113">
        <f t="shared" si="6"/>
        <v>0</v>
      </c>
    </row>
    <row r="42" spans="1:26" outlineLevel="4" x14ac:dyDescent="0.25">
      <c r="A42" s="25" t="s">
        <v>295</v>
      </c>
      <c r="B42" s="26" t="s">
        <v>296</v>
      </c>
      <c r="C42" s="27">
        <v>93285640</v>
      </c>
      <c r="D42" s="27"/>
      <c r="E42" s="34"/>
      <c r="F42" s="30">
        <f t="shared" si="21"/>
        <v>93285640</v>
      </c>
      <c r="G42" s="31">
        <v>26732570</v>
      </c>
      <c r="H42" s="27">
        <v>13256364</v>
      </c>
      <c r="I42" s="31">
        <v>26732570</v>
      </c>
      <c r="J42" s="32">
        <f t="shared" si="22"/>
        <v>66553070</v>
      </c>
      <c r="K42" s="33">
        <f t="shared" si="1"/>
        <v>0.28656682850650966</v>
      </c>
      <c r="L42" s="113"/>
      <c r="M42" s="25" t="s">
        <v>295</v>
      </c>
      <c r="N42" s="26" t="s">
        <v>296</v>
      </c>
      <c r="O42" s="27">
        <v>93285640</v>
      </c>
      <c r="P42" s="27"/>
      <c r="Q42" s="34"/>
      <c r="R42" s="30">
        <v>93285640</v>
      </c>
      <c r="S42" s="31">
        <v>840955</v>
      </c>
      <c r="T42" s="27">
        <v>13256364</v>
      </c>
      <c r="U42" s="31">
        <v>26732570</v>
      </c>
      <c r="V42" s="32">
        <v>66553070</v>
      </c>
      <c r="W42" s="33">
        <v>0.28656682850650966</v>
      </c>
      <c r="Y42" s="113">
        <f t="shared" si="5"/>
        <v>0</v>
      </c>
      <c r="Z42" s="113">
        <f t="shared" si="6"/>
        <v>0</v>
      </c>
    </row>
    <row r="43" spans="1:26" outlineLevel="4" x14ac:dyDescent="0.25">
      <c r="A43" s="25" t="s">
        <v>297</v>
      </c>
      <c r="B43" s="26" t="s">
        <v>298</v>
      </c>
      <c r="C43" s="27">
        <v>262129868</v>
      </c>
      <c r="D43" s="27"/>
      <c r="E43" s="34"/>
      <c r="F43" s="30">
        <f t="shared" si="21"/>
        <v>262129868</v>
      </c>
      <c r="G43" s="31">
        <v>68889980</v>
      </c>
      <c r="H43" s="27">
        <v>13834176</v>
      </c>
      <c r="I43" s="31">
        <v>68889980</v>
      </c>
      <c r="J43" s="32">
        <f t="shared" si="22"/>
        <v>193239888</v>
      </c>
      <c r="K43" s="33">
        <f t="shared" si="1"/>
        <v>0.26280858616233693</v>
      </c>
      <c r="L43" s="113"/>
      <c r="M43" s="25" t="s">
        <v>297</v>
      </c>
      <c r="N43" s="26" t="s">
        <v>298</v>
      </c>
      <c r="O43" s="27">
        <v>262129868</v>
      </c>
      <c r="P43" s="27"/>
      <c r="Q43" s="34"/>
      <c r="R43" s="30">
        <v>262129868</v>
      </c>
      <c r="S43" s="31">
        <v>0</v>
      </c>
      <c r="T43" s="27">
        <v>13834176</v>
      </c>
      <c r="U43" s="31">
        <v>68889980</v>
      </c>
      <c r="V43" s="32">
        <v>193239888</v>
      </c>
      <c r="W43" s="33">
        <v>0.26280858616233693</v>
      </c>
      <c r="Y43" s="113">
        <f t="shared" si="5"/>
        <v>0</v>
      </c>
      <c r="Z43" s="113">
        <f t="shared" si="6"/>
        <v>0</v>
      </c>
    </row>
    <row r="44" spans="1:26" outlineLevel="4" x14ac:dyDescent="0.25">
      <c r="A44" s="25" t="s">
        <v>299</v>
      </c>
      <c r="B44" s="26" t="s">
        <v>300</v>
      </c>
      <c r="C44" s="27">
        <v>80194382</v>
      </c>
      <c r="D44" s="27"/>
      <c r="E44" s="34"/>
      <c r="F44" s="30">
        <f t="shared" si="21"/>
        <v>80194382</v>
      </c>
      <c r="G44" s="31">
        <v>43308942</v>
      </c>
      <c r="H44" s="27">
        <v>6320182</v>
      </c>
      <c r="I44" s="31">
        <v>43308942</v>
      </c>
      <c r="J44" s="32">
        <f t="shared" si="22"/>
        <v>36885440</v>
      </c>
      <c r="K44" s="33">
        <f t="shared" si="1"/>
        <v>0.54004957604137405</v>
      </c>
      <c r="L44" s="113"/>
      <c r="M44" s="25" t="s">
        <v>299</v>
      </c>
      <c r="N44" s="26" t="s">
        <v>300</v>
      </c>
      <c r="O44" s="27">
        <v>80194382</v>
      </c>
      <c r="P44" s="27"/>
      <c r="Q44" s="34"/>
      <c r="R44" s="30">
        <v>80194382</v>
      </c>
      <c r="S44" s="31">
        <v>1846890</v>
      </c>
      <c r="T44" s="27">
        <v>6320182</v>
      </c>
      <c r="U44" s="31">
        <v>43308942</v>
      </c>
      <c r="V44" s="32">
        <v>36885440</v>
      </c>
      <c r="W44" s="33">
        <v>0.54004957604137405</v>
      </c>
      <c r="Y44" s="113">
        <f t="shared" si="5"/>
        <v>0</v>
      </c>
      <c r="Z44" s="113">
        <f t="shared" si="6"/>
        <v>0</v>
      </c>
    </row>
    <row r="45" spans="1:26" outlineLevel="4" x14ac:dyDescent="0.25">
      <c r="A45" s="21" t="s">
        <v>301</v>
      </c>
      <c r="B45" s="22" t="s">
        <v>302</v>
      </c>
      <c r="C45" s="23">
        <f>SUM(C46:C80)</f>
        <v>2469338284</v>
      </c>
      <c r="D45" s="23">
        <f t="shared" ref="D45:J45" si="27">SUM(D46:D80)</f>
        <v>0</v>
      </c>
      <c r="E45" s="23">
        <f t="shared" si="27"/>
        <v>0</v>
      </c>
      <c r="F45" s="23">
        <f t="shared" si="27"/>
        <v>2469338284</v>
      </c>
      <c r="G45" s="23">
        <f t="shared" si="27"/>
        <v>913140196</v>
      </c>
      <c r="H45" s="23">
        <v>171331859</v>
      </c>
      <c r="I45" s="23">
        <v>913140196</v>
      </c>
      <c r="J45" s="23">
        <f t="shared" si="27"/>
        <v>1556198088</v>
      </c>
      <c r="K45" s="36">
        <f t="shared" si="1"/>
        <v>0.36979145462436769</v>
      </c>
      <c r="L45" s="113"/>
      <c r="M45" s="21" t="s">
        <v>301</v>
      </c>
      <c r="N45" s="22" t="s">
        <v>302</v>
      </c>
      <c r="O45" s="23">
        <v>2469338284</v>
      </c>
      <c r="P45" s="23">
        <v>0</v>
      </c>
      <c r="Q45" s="23">
        <v>0</v>
      </c>
      <c r="R45" s="23">
        <v>2469338284</v>
      </c>
      <c r="S45" s="23">
        <v>175308628.06</v>
      </c>
      <c r="T45" s="23">
        <v>171331859</v>
      </c>
      <c r="U45" s="23">
        <v>913140196</v>
      </c>
      <c r="V45" s="23">
        <v>1556198088</v>
      </c>
      <c r="W45" s="36">
        <v>0.36979145462436769</v>
      </c>
      <c r="Y45" s="113">
        <f t="shared" si="5"/>
        <v>0</v>
      </c>
      <c r="Z45" s="113">
        <f t="shared" si="6"/>
        <v>0</v>
      </c>
    </row>
    <row r="46" spans="1:26" outlineLevel="4" x14ac:dyDescent="0.25">
      <c r="A46" s="25" t="s">
        <v>303</v>
      </c>
      <c r="B46" s="26" t="s">
        <v>304</v>
      </c>
      <c r="C46" s="27">
        <v>30000000</v>
      </c>
      <c r="D46" s="27"/>
      <c r="E46" s="34"/>
      <c r="F46" s="30">
        <f t="shared" si="21"/>
        <v>30000000</v>
      </c>
      <c r="G46" s="31"/>
      <c r="H46" s="27"/>
      <c r="I46" s="31"/>
      <c r="J46" s="32">
        <f t="shared" si="22"/>
        <v>30000000</v>
      </c>
      <c r="K46" s="33">
        <f t="shared" si="1"/>
        <v>0</v>
      </c>
      <c r="L46" s="113"/>
      <c r="M46" s="25" t="s">
        <v>303</v>
      </c>
      <c r="N46" s="26" t="s">
        <v>304</v>
      </c>
      <c r="O46" s="27">
        <v>30000000</v>
      </c>
      <c r="P46" s="27"/>
      <c r="Q46" s="34"/>
      <c r="R46" s="30">
        <v>30000000</v>
      </c>
      <c r="S46" s="31"/>
      <c r="T46" s="27"/>
      <c r="U46" s="31"/>
      <c r="V46" s="32">
        <v>30000000</v>
      </c>
      <c r="W46" s="33">
        <v>0</v>
      </c>
      <c r="Y46" s="113">
        <f t="shared" si="5"/>
        <v>0</v>
      </c>
      <c r="Z46" s="113">
        <f t="shared" si="6"/>
        <v>0</v>
      </c>
    </row>
    <row r="47" spans="1:26" outlineLevel="4" x14ac:dyDescent="0.25">
      <c r="A47" s="25">
        <v>11251101132</v>
      </c>
      <c r="B47" s="26" t="s">
        <v>305</v>
      </c>
      <c r="C47" s="27">
        <v>4500000</v>
      </c>
      <c r="D47" s="27"/>
      <c r="E47" s="34"/>
      <c r="F47" s="30">
        <f t="shared" si="21"/>
        <v>4500000</v>
      </c>
      <c r="G47" s="31"/>
      <c r="H47" s="27"/>
      <c r="I47" s="31"/>
      <c r="J47" s="32">
        <f t="shared" si="22"/>
        <v>4500000</v>
      </c>
      <c r="K47" s="33">
        <f t="shared" si="1"/>
        <v>0</v>
      </c>
      <c r="L47" s="113"/>
      <c r="M47" s="25">
        <v>11251101132</v>
      </c>
      <c r="N47" s="26" t="s">
        <v>305</v>
      </c>
      <c r="O47" s="27">
        <v>4500000</v>
      </c>
      <c r="P47" s="27"/>
      <c r="Q47" s="34"/>
      <c r="R47" s="30">
        <v>4500000</v>
      </c>
      <c r="S47" s="31"/>
      <c r="T47" s="27"/>
      <c r="U47" s="31"/>
      <c r="V47" s="32">
        <v>4500000</v>
      </c>
      <c r="W47" s="33">
        <v>0</v>
      </c>
      <c r="Y47" s="113">
        <f t="shared" si="5"/>
        <v>0</v>
      </c>
      <c r="Z47" s="113">
        <f t="shared" si="6"/>
        <v>0</v>
      </c>
    </row>
    <row r="48" spans="1:26" outlineLevel="4" x14ac:dyDescent="0.25">
      <c r="A48" s="25">
        <v>11251101133</v>
      </c>
      <c r="B48" s="26" t="s">
        <v>306</v>
      </c>
      <c r="C48" s="27">
        <v>22000000</v>
      </c>
      <c r="D48" s="27"/>
      <c r="E48" s="34"/>
      <c r="F48" s="30">
        <f t="shared" si="21"/>
        <v>22000000</v>
      </c>
      <c r="G48" s="31">
        <v>280800</v>
      </c>
      <c r="H48" s="27"/>
      <c r="I48" s="31">
        <v>280800</v>
      </c>
      <c r="J48" s="32">
        <f t="shared" si="22"/>
        <v>21719200</v>
      </c>
      <c r="K48" s="33">
        <f t="shared" si="1"/>
        <v>1.2763636363636364E-2</v>
      </c>
      <c r="L48" s="113"/>
      <c r="M48" s="25">
        <v>11251101133</v>
      </c>
      <c r="N48" s="26" t="s">
        <v>306</v>
      </c>
      <c r="O48" s="27">
        <v>22000000</v>
      </c>
      <c r="P48" s="27"/>
      <c r="Q48" s="34"/>
      <c r="R48" s="30">
        <v>22000000</v>
      </c>
      <c r="S48" s="31"/>
      <c r="T48" s="27"/>
      <c r="U48" s="31">
        <v>280800</v>
      </c>
      <c r="V48" s="32">
        <v>21719200</v>
      </c>
      <c r="W48" s="33">
        <v>1.2763636363636364E-2</v>
      </c>
      <c r="Y48" s="113">
        <f t="shared" si="5"/>
        <v>0</v>
      </c>
      <c r="Z48" s="113">
        <f t="shared" si="6"/>
        <v>0</v>
      </c>
    </row>
    <row r="49" spans="1:26" outlineLevel="4" x14ac:dyDescent="0.25">
      <c r="A49" s="25">
        <v>11251101134</v>
      </c>
      <c r="B49" s="26" t="s">
        <v>307</v>
      </c>
      <c r="C49" s="27">
        <v>18000000</v>
      </c>
      <c r="D49" s="27"/>
      <c r="E49" s="34"/>
      <c r="F49" s="30">
        <f t="shared" si="21"/>
        <v>18000000</v>
      </c>
      <c r="G49" s="31"/>
      <c r="H49" s="27"/>
      <c r="I49" s="31"/>
      <c r="J49" s="32">
        <f t="shared" si="22"/>
        <v>18000000</v>
      </c>
      <c r="K49" s="33">
        <f t="shared" si="1"/>
        <v>0</v>
      </c>
      <c r="L49" s="113"/>
      <c r="M49" s="25">
        <v>11251101134</v>
      </c>
      <c r="N49" s="26" t="s">
        <v>307</v>
      </c>
      <c r="O49" s="27">
        <v>18000000</v>
      </c>
      <c r="P49" s="27"/>
      <c r="Q49" s="34"/>
      <c r="R49" s="30">
        <v>18000000</v>
      </c>
      <c r="S49" s="31"/>
      <c r="T49" s="27"/>
      <c r="U49" s="31"/>
      <c r="V49" s="32">
        <v>18000000</v>
      </c>
      <c r="W49" s="33">
        <v>0</v>
      </c>
      <c r="Y49" s="113">
        <f t="shared" si="5"/>
        <v>0</v>
      </c>
      <c r="Z49" s="113">
        <f t="shared" si="6"/>
        <v>0</v>
      </c>
    </row>
    <row r="50" spans="1:26" outlineLevel="4" x14ac:dyDescent="0.25">
      <c r="A50" s="25">
        <v>11251101135</v>
      </c>
      <c r="B50" s="26" t="s">
        <v>308</v>
      </c>
      <c r="C50" s="27"/>
      <c r="D50" s="27"/>
      <c r="E50" s="34"/>
      <c r="F50" s="30">
        <f t="shared" si="21"/>
        <v>0</v>
      </c>
      <c r="G50" s="31">
        <v>6066172</v>
      </c>
      <c r="H50" s="27">
        <v>4532475</v>
      </c>
      <c r="I50" s="31">
        <v>6066172</v>
      </c>
      <c r="J50" s="32">
        <f t="shared" si="22"/>
        <v>-6066172</v>
      </c>
      <c r="K50" s="33" t="e">
        <f t="shared" si="1"/>
        <v>#DIV/0!</v>
      </c>
      <c r="L50" s="113"/>
      <c r="M50" s="25">
        <v>11251101135</v>
      </c>
      <c r="N50" s="26" t="s">
        <v>308</v>
      </c>
      <c r="O50" s="27"/>
      <c r="P50" s="27"/>
      <c r="Q50" s="34"/>
      <c r="R50" s="30">
        <v>0</v>
      </c>
      <c r="S50" s="31"/>
      <c r="T50" s="27">
        <v>4532475</v>
      </c>
      <c r="U50" s="31">
        <v>6066172</v>
      </c>
      <c r="V50" s="32">
        <v>-6066172</v>
      </c>
      <c r="W50" s="33" t="e">
        <v>#DIV/0!</v>
      </c>
      <c r="Y50" s="113">
        <f t="shared" si="5"/>
        <v>0</v>
      </c>
      <c r="Z50" s="113">
        <f t="shared" si="6"/>
        <v>0</v>
      </c>
    </row>
    <row r="51" spans="1:26" outlineLevel="4" x14ac:dyDescent="0.25">
      <c r="A51" s="25">
        <v>11251101136</v>
      </c>
      <c r="B51" s="26" t="s">
        <v>309</v>
      </c>
      <c r="C51" s="27">
        <v>33682873</v>
      </c>
      <c r="D51" s="27"/>
      <c r="E51" s="34"/>
      <c r="F51" s="30">
        <f t="shared" si="21"/>
        <v>33682873</v>
      </c>
      <c r="G51" s="31">
        <v>40000</v>
      </c>
      <c r="H51" s="27"/>
      <c r="I51" s="31">
        <v>40000</v>
      </c>
      <c r="J51" s="32">
        <f t="shared" si="22"/>
        <v>33642873</v>
      </c>
      <c r="K51" s="33">
        <f t="shared" si="1"/>
        <v>1.1875471548997616E-3</v>
      </c>
      <c r="L51" s="113"/>
      <c r="M51" s="25">
        <v>11251101136</v>
      </c>
      <c r="N51" s="26" t="s">
        <v>309</v>
      </c>
      <c r="O51" s="27">
        <v>33682873</v>
      </c>
      <c r="P51" s="27"/>
      <c r="Q51" s="34"/>
      <c r="R51" s="30">
        <v>33682873</v>
      </c>
      <c r="S51" s="31"/>
      <c r="T51" s="27"/>
      <c r="U51" s="31">
        <v>40000</v>
      </c>
      <c r="V51" s="32">
        <v>33642873</v>
      </c>
      <c r="W51" s="33">
        <v>1.1875471548997616E-3</v>
      </c>
      <c r="Y51" s="113">
        <f t="shared" si="5"/>
        <v>0</v>
      </c>
      <c r="Z51" s="113">
        <f t="shared" si="6"/>
        <v>0</v>
      </c>
    </row>
    <row r="52" spans="1:26" outlineLevel="4" x14ac:dyDescent="0.25">
      <c r="A52" s="25">
        <v>11251101137</v>
      </c>
      <c r="B52" s="26" t="s">
        <v>310</v>
      </c>
      <c r="C52" s="27">
        <v>32920000</v>
      </c>
      <c r="D52" s="27"/>
      <c r="E52" s="34"/>
      <c r="F52" s="30">
        <f t="shared" si="21"/>
        <v>32920000</v>
      </c>
      <c r="G52" s="31">
        <v>7419600</v>
      </c>
      <c r="H52" s="27"/>
      <c r="I52" s="31">
        <v>7419600</v>
      </c>
      <c r="J52" s="32">
        <f t="shared" si="22"/>
        <v>25500400</v>
      </c>
      <c r="K52" s="33">
        <f t="shared" si="1"/>
        <v>0.22538274605103281</v>
      </c>
      <c r="L52" s="113"/>
      <c r="M52" s="25">
        <v>11251101137</v>
      </c>
      <c r="N52" s="26" t="s">
        <v>310</v>
      </c>
      <c r="O52" s="27">
        <v>32920000</v>
      </c>
      <c r="P52" s="27"/>
      <c r="Q52" s="34"/>
      <c r="R52" s="30">
        <v>32920000</v>
      </c>
      <c r="S52" s="31">
        <v>7200000</v>
      </c>
      <c r="T52" s="27"/>
      <c r="U52" s="31">
        <v>7419600</v>
      </c>
      <c r="V52" s="32">
        <v>25500400</v>
      </c>
      <c r="W52" s="33">
        <v>0.22538274605103281</v>
      </c>
      <c r="Y52" s="113">
        <f t="shared" si="5"/>
        <v>0</v>
      </c>
      <c r="Z52" s="113">
        <f t="shared" si="6"/>
        <v>0</v>
      </c>
    </row>
    <row r="53" spans="1:26" outlineLevel="4" x14ac:dyDescent="0.25">
      <c r="A53" s="25">
        <v>11251101138</v>
      </c>
      <c r="B53" s="26" t="s">
        <v>311</v>
      </c>
      <c r="C53" s="27">
        <v>320000000</v>
      </c>
      <c r="D53" s="27"/>
      <c r="E53" s="34"/>
      <c r="F53" s="30">
        <f t="shared" si="21"/>
        <v>320000000</v>
      </c>
      <c r="G53" s="31">
        <v>254828420</v>
      </c>
      <c r="H53" s="27">
        <v>2194508</v>
      </c>
      <c r="I53" s="31">
        <v>254828420</v>
      </c>
      <c r="J53" s="32">
        <f t="shared" si="22"/>
        <v>65171580</v>
      </c>
      <c r="K53" s="33">
        <f t="shared" si="1"/>
        <v>0.79633881250000005</v>
      </c>
      <c r="L53" s="113"/>
      <c r="M53" s="25">
        <v>11251101138</v>
      </c>
      <c r="N53" s="26" t="s">
        <v>311</v>
      </c>
      <c r="O53" s="27">
        <v>320000000</v>
      </c>
      <c r="P53" s="27"/>
      <c r="Q53" s="34"/>
      <c r="R53" s="30">
        <v>320000000</v>
      </c>
      <c r="S53" s="31">
        <v>2460000</v>
      </c>
      <c r="T53" s="27">
        <v>2194508</v>
      </c>
      <c r="U53" s="31">
        <v>254828420</v>
      </c>
      <c r="V53" s="32">
        <v>65171580</v>
      </c>
      <c r="W53" s="33">
        <v>0.79633881250000005</v>
      </c>
      <c r="Y53" s="113">
        <f t="shared" si="5"/>
        <v>0</v>
      </c>
      <c r="Z53" s="113">
        <f t="shared" si="6"/>
        <v>0</v>
      </c>
    </row>
    <row r="54" spans="1:26" outlineLevel="4" x14ac:dyDescent="0.25">
      <c r="A54" s="25">
        <v>11251101139</v>
      </c>
      <c r="B54" s="26" t="s">
        <v>312</v>
      </c>
      <c r="C54" s="27">
        <v>140000000</v>
      </c>
      <c r="D54" s="27"/>
      <c r="E54" s="34"/>
      <c r="F54" s="30">
        <f t="shared" si="21"/>
        <v>140000000</v>
      </c>
      <c r="G54" s="31">
        <v>6784000</v>
      </c>
      <c r="H54" s="27">
        <v>4460400</v>
      </c>
      <c r="I54" s="31">
        <v>6784000</v>
      </c>
      <c r="J54" s="32">
        <f t="shared" si="22"/>
        <v>133216000</v>
      </c>
      <c r="K54" s="33">
        <f t="shared" si="1"/>
        <v>4.8457142857142858E-2</v>
      </c>
      <c r="L54" s="113"/>
      <c r="M54" s="25">
        <v>11251101139</v>
      </c>
      <c r="N54" s="26" t="s">
        <v>312</v>
      </c>
      <c r="O54" s="27">
        <v>140000000</v>
      </c>
      <c r="P54" s="27"/>
      <c r="Q54" s="34"/>
      <c r="R54" s="30">
        <v>140000000</v>
      </c>
      <c r="S54" s="31">
        <v>2323600</v>
      </c>
      <c r="T54" s="27">
        <v>4460400</v>
      </c>
      <c r="U54" s="31">
        <v>6784000</v>
      </c>
      <c r="V54" s="32">
        <v>133216000</v>
      </c>
      <c r="W54" s="33">
        <v>4.8457142857142858E-2</v>
      </c>
      <c r="Y54" s="113">
        <f t="shared" si="5"/>
        <v>0</v>
      </c>
      <c r="Z54" s="113">
        <f t="shared" si="6"/>
        <v>0</v>
      </c>
    </row>
    <row r="55" spans="1:26" outlineLevel="4" x14ac:dyDescent="0.25">
      <c r="A55" s="25" t="s">
        <v>313</v>
      </c>
      <c r="B55" s="26" t="s">
        <v>314</v>
      </c>
      <c r="C55" s="27">
        <v>240000000</v>
      </c>
      <c r="D55" s="27"/>
      <c r="E55" s="34"/>
      <c r="F55" s="30">
        <f t="shared" si="21"/>
        <v>240000000</v>
      </c>
      <c r="G55" s="31"/>
      <c r="H55" s="27"/>
      <c r="I55" s="31"/>
      <c r="J55" s="32">
        <f t="shared" si="22"/>
        <v>240000000</v>
      </c>
      <c r="K55" s="33">
        <f t="shared" si="1"/>
        <v>0</v>
      </c>
      <c r="L55" s="113"/>
      <c r="M55" s="25" t="s">
        <v>313</v>
      </c>
      <c r="N55" s="26" t="s">
        <v>314</v>
      </c>
      <c r="O55" s="27">
        <v>240000000</v>
      </c>
      <c r="P55" s="27"/>
      <c r="Q55" s="34"/>
      <c r="R55" s="30">
        <v>240000000</v>
      </c>
      <c r="S55" s="31"/>
      <c r="T55" s="27"/>
      <c r="U55" s="31"/>
      <c r="V55" s="32">
        <v>240000000</v>
      </c>
      <c r="W55" s="33">
        <v>0</v>
      </c>
      <c r="Y55" s="113">
        <f t="shared" si="5"/>
        <v>0</v>
      </c>
      <c r="Z55" s="113">
        <f t="shared" si="6"/>
        <v>0</v>
      </c>
    </row>
    <row r="56" spans="1:26" outlineLevel="4" x14ac:dyDescent="0.25">
      <c r="A56" s="25" t="s">
        <v>315</v>
      </c>
      <c r="B56" s="26" t="s">
        <v>316</v>
      </c>
      <c r="C56" s="27">
        <v>22000000</v>
      </c>
      <c r="D56" s="27"/>
      <c r="E56" s="34"/>
      <c r="F56" s="30">
        <f t="shared" si="21"/>
        <v>22000000</v>
      </c>
      <c r="G56" s="31">
        <v>112359</v>
      </c>
      <c r="H56" s="27">
        <v>112359</v>
      </c>
      <c r="I56" s="31">
        <v>112359</v>
      </c>
      <c r="J56" s="32">
        <f t="shared" si="22"/>
        <v>21887641</v>
      </c>
      <c r="K56" s="33">
        <f t="shared" si="1"/>
        <v>5.1072272727272728E-3</v>
      </c>
      <c r="L56" s="113"/>
      <c r="M56" s="25" t="s">
        <v>315</v>
      </c>
      <c r="N56" s="26" t="s">
        <v>316</v>
      </c>
      <c r="O56" s="27">
        <v>22000000</v>
      </c>
      <c r="P56" s="27"/>
      <c r="Q56" s="34"/>
      <c r="R56" s="30">
        <v>22000000</v>
      </c>
      <c r="S56" s="31"/>
      <c r="T56" s="27">
        <v>112359</v>
      </c>
      <c r="U56" s="31">
        <v>112359</v>
      </c>
      <c r="V56" s="32">
        <v>21887641</v>
      </c>
      <c r="W56" s="33">
        <v>5.1072272727272728E-3</v>
      </c>
      <c r="Y56" s="113">
        <f t="shared" si="5"/>
        <v>0</v>
      </c>
      <c r="Z56" s="113">
        <f t="shared" si="6"/>
        <v>0</v>
      </c>
    </row>
    <row r="57" spans="1:26" outlineLevel="4" x14ac:dyDescent="0.25">
      <c r="A57" s="25" t="s">
        <v>317</v>
      </c>
      <c r="B57" s="26" t="s">
        <v>318</v>
      </c>
      <c r="C57" s="27">
        <v>13060960</v>
      </c>
      <c r="D57" s="27"/>
      <c r="E57" s="34"/>
      <c r="F57" s="30">
        <f t="shared" si="21"/>
        <v>13060960</v>
      </c>
      <c r="G57" s="31">
        <v>154900</v>
      </c>
      <c r="H57" s="27"/>
      <c r="I57" s="31">
        <v>154900</v>
      </c>
      <c r="J57" s="32">
        <f t="shared" si="22"/>
        <v>12906060</v>
      </c>
      <c r="K57" s="33">
        <f t="shared" si="1"/>
        <v>1.185977141037106E-2</v>
      </c>
      <c r="L57" s="113"/>
      <c r="M57" s="25" t="s">
        <v>317</v>
      </c>
      <c r="N57" s="26" t="s">
        <v>318</v>
      </c>
      <c r="O57" s="27">
        <v>13060960</v>
      </c>
      <c r="P57" s="27"/>
      <c r="Q57" s="34"/>
      <c r="R57" s="30">
        <v>13060960</v>
      </c>
      <c r="S57" s="31">
        <v>154900</v>
      </c>
      <c r="T57" s="27"/>
      <c r="U57" s="31">
        <v>154900</v>
      </c>
      <c r="V57" s="32">
        <v>12906060</v>
      </c>
      <c r="W57" s="33">
        <v>1.185977141037106E-2</v>
      </c>
      <c r="Y57" s="113">
        <f t="shared" si="5"/>
        <v>0</v>
      </c>
      <c r="Z57" s="113">
        <f t="shared" si="6"/>
        <v>0</v>
      </c>
    </row>
    <row r="58" spans="1:26" outlineLevel="4" x14ac:dyDescent="0.25">
      <c r="A58" s="25" t="s">
        <v>319</v>
      </c>
      <c r="B58" s="26" t="s">
        <v>320</v>
      </c>
      <c r="C58" s="27"/>
      <c r="D58" s="27"/>
      <c r="E58" s="34"/>
      <c r="F58" s="30">
        <f t="shared" si="21"/>
        <v>0</v>
      </c>
      <c r="G58" s="31">
        <v>90961613</v>
      </c>
      <c r="H58" s="27">
        <v>66930750</v>
      </c>
      <c r="I58" s="31">
        <v>90961613</v>
      </c>
      <c r="J58" s="32">
        <f t="shared" si="22"/>
        <v>-90961613</v>
      </c>
      <c r="K58" s="33" t="e">
        <f t="shared" si="1"/>
        <v>#DIV/0!</v>
      </c>
      <c r="L58" s="113"/>
      <c r="M58" s="25" t="s">
        <v>319</v>
      </c>
      <c r="N58" s="26" t="s">
        <v>320</v>
      </c>
      <c r="O58" s="27"/>
      <c r="P58" s="27"/>
      <c r="Q58" s="34"/>
      <c r="R58" s="30">
        <v>0</v>
      </c>
      <c r="S58" s="31">
        <v>10162463</v>
      </c>
      <c r="T58" s="27">
        <v>66930750</v>
      </c>
      <c r="U58" s="31">
        <v>90961613</v>
      </c>
      <c r="V58" s="32">
        <v>-90961613</v>
      </c>
      <c r="W58" s="33" t="e">
        <v>#DIV/0!</v>
      </c>
      <c r="Y58" s="113">
        <f t="shared" si="5"/>
        <v>0</v>
      </c>
      <c r="Z58" s="113">
        <f t="shared" si="6"/>
        <v>0</v>
      </c>
    </row>
    <row r="59" spans="1:26" outlineLevel="4" x14ac:dyDescent="0.25">
      <c r="A59" s="25" t="s">
        <v>321</v>
      </c>
      <c r="B59" s="26" t="s">
        <v>322</v>
      </c>
      <c r="C59" s="27">
        <v>80000000</v>
      </c>
      <c r="D59" s="27"/>
      <c r="E59" s="34"/>
      <c r="F59" s="30">
        <f t="shared" si="21"/>
        <v>80000000</v>
      </c>
      <c r="G59" s="31">
        <v>6654890</v>
      </c>
      <c r="H59" s="27"/>
      <c r="I59" s="31">
        <v>6654890</v>
      </c>
      <c r="J59" s="32">
        <f t="shared" si="22"/>
        <v>73345110</v>
      </c>
      <c r="K59" s="33">
        <f t="shared" si="1"/>
        <v>8.3186125E-2</v>
      </c>
      <c r="L59" s="113"/>
      <c r="M59" s="25" t="s">
        <v>321</v>
      </c>
      <c r="N59" s="26" t="s">
        <v>322</v>
      </c>
      <c r="O59" s="27">
        <v>80000000</v>
      </c>
      <c r="P59" s="27"/>
      <c r="Q59" s="34"/>
      <c r="R59" s="30">
        <v>80000000</v>
      </c>
      <c r="S59" s="31"/>
      <c r="T59" s="27"/>
      <c r="U59" s="31">
        <v>6654890</v>
      </c>
      <c r="V59" s="32">
        <v>73345110</v>
      </c>
      <c r="W59" s="33">
        <v>8.3186125E-2</v>
      </c>
      <c r="Y59" s="113">
        <f t="shared" si="5"/>
        <v>0</v>
      </c>
      <c r="Z59" s="113">
        <f t="shared" si="6"/>
        <v>0</v>
      </c>
    </row>
    <row r="60" spans="1:26" outlineLevel="4" x14ac:dyDescent="0.25">
      <c r="A60" s="25" t="s">
        <v>323</v>
      </c>
      <c r="B60" s="26" t="s">
        <v>324</v>
      </c>
      <c r="C60" s="27">
        <v>100000000</v>
      </c>
      <c r="D60" s="27"/>
      <c r="E60" s="34"/>
      <c r="F60" s="30">
        <f t="shared" si="21"/>
        <v>100000000</v>
      </c>
      <c r="G60" s="31"/>
      <c r="H60" s="27"/>
      <c r="I60" s="31"/>
      <c r="J60" s="32">
        <f t="shared" si="22"/>
        <v>100000000</v>
      </c>
      <c r="K60" s="33">
        <f t="shared" si="1"/>
        <v>0</v>
      </c>
      <c r="L60" s="113"/>
      <c r="M60" s="25" t="s">
        <v>323</v>
      </c>
      <c r="N60" s="26" t="s">
        <v>324</v>
      </c>
      <c r="O60" s="27">
        <v>100000000</v>
      </c>
      <c r="P60" s="27"/>
      <c r="Q60" s="34"/>
      <c r="R60" s="30">
        <v>100000000</v>
      </c>
      <c r="S60" s="31"/>
      <c r="T60" s="27"/>
      <c r="U60" s="31"/>
      <c r="V60" s="32">
        <v>100000000</v>
      </c>
      <c r="W60" s="33">
        <v>0</v>
      </c>
      <c r="Y60" s="113">
        <f t="shared" si="5"/>
        <v>0</v>
      </c>
      <c r="Z60" s="113">
        <f t="shared" si="6"/>
        <v>0</v>
      </c>
    </row>
    <row r="61" spans="1:26" outlineLevel="4" x14ac:dyDescent="0.25">
      <c r="A61" s="25" t="s">
        <v>325</v>
      </c>
      <c r="B61" s="26" t="s">
        <v>326</v>
      </c>
      <c r="C61" s="27">
        <v>205500000</v>
      </c>
      <c r="D61" s="27"/>
      <c r="E61" s="34"/>
      <c r="F61" s="30">
        <f t="shared" si="21"/>
        <v>205500000</v>
      </c>
      <c r="G61" s="31">
        <v>48528700</v>
      </c>
      <c r="H61" s="27">
        <v>45394700</v>
      </c>
      <c r="I61" s="31">
        <v>48528700</v>
      </c>
      <c r="J61" s="32">
        <f t="shared" si="22"/>
        <v>156971300</v>
      </c>
      <c r="K61" s="33">
        <f t="shared" si="1"/>
        <v>0.23614939172749391</v>
      </c>
      <c r="L61" s="113"/>
      <c r="M61" s="25" t="s">
        <v>325</v>
      </c>
      <c r="N61" s="26" t="s">
        <v>326</v>
      </c>
      <c r="O61" s="27">
        <v>205500000</v>
      </c>
      <c r="P61" s="27"/>
      <c r="Q61" s="34"/>
      <c r="R61" s="30">
        <v>205500000</v>
      </c>
      <c r="S61" s="31"/>
      <c r="T61" s="27">
        <v>45394700</v>
      </c>
      <c r="U61" s="31">
        <v>48528700</v>
      </c>
      <c r="V61" s="32">
        <v>156971300</v>
      </c>
      <c r="W61" s="33">
        <v>0.23614939172749391</v>
      </c>
      <c r="Y61" s="113">
        <f t="shared" si="5"/>
        <v>0</v>
      </c>
      <c r="Z61" s="113">
        <f t="shared" si="6"/>
        <v>0</v>
      </c>
    </row>
    <row r="62" spans="1:26" outlineLevel="4" x14ac:dyDescent="0.25">
      <c r="A62" s="25" t="s">
        <v>327</v>
      </c>
      <c r="B62" s="26" t="s">
        <v>328</v>
      </c>
      <c r="C62" s="27">
        <v>120000000</v>
      </c>
      <c r="D62" s="27"/>
      <c r="E62" s="34"/>
      <c r="F62" s="30">
        <f t="shared" si="21"/>
        <v>120000000</v>
      </c>
      <c r="G62" s="31"/>
      <c r="H62" s="27"/>
      <c r="I62" s="31"/>
      <c r="J62" s="32">
        <f t="shared" si="22"/>
        <v>120000000</v>
      </c>
      <c r="K62" s="33">
        <f t="shared" si="1"/>
        <v>0</v>
      </c>
      <c r="L62" s="113"/>
      <c r="M62" s="25" t="s">
        <v>327</v>
      </c>
      <c r="N62" s="26" t="s">
        <v>328</v>
      </c>
      <c r="O62" s="27">
        <v>120000000</v>
      </c>
      <c r="P62" s="27"/>
      <c r="Q62" s="34"/>
      <c r="R62" s="30">
        <v>120000000</v>
      </c>
      <c r="S62" s="31"/>
      <c r="T62" s="27"/>
      <c r="U62" s="31"/>
      <c r="V62" s="32">
        <v>120000000</v>
      </c>
      <c r="W62" s="33">
        <v>0</v>
      </c>
      <c r="Y62" s="113">
        <f t="shared" si="5"/>
        <v>0</v>
      </c>
      <c r="Z62" s="113">
        <f t="shared" si="6"/>
        <v>0</v>
      </c>
    </row>
    <row r="63" spans="1:26" outlineLevel="4" x14ac:dyDescent="0.25">
      <c r="A63" s="25" t="s">
        <v>329</v>
      </c>
      <c r="B63" s="26" t="s">
        <v>330</v>
      </c>
      <c r="C63" s="27">
        <v>150724000</v>
      </c>
      <c r="D63" s="27"/>
      <c r="E63" s="34"/>
      <c r="F63" s="30">
        <f t="shared" si="21"/>
        <v>150724000</v>
      </c>
      <c r="G63" s="31">
        <v>158566000</v>
      </c>
      <c r="H63" s="27">
        <v>2876000</v>
      </c>
      <c r="I63" s="31">
        <v>158566000</v>
      </c>
      <c r="J63" s="32">
        <f t="shared" ref="J63:J129" si="28">SUM(F63-I63)</f>
        <v>-7842000</v>
      </c>
      <c r="K63" s="33">
        <f t="shared" si="1"/>
        <v>1.052028873968313</v>
      </c>
      <c r="L63" s="113"/>
      <c r="M63" s="25" t="s">
        <v>329</v>
      </c>
      <c r="N63" s="26" t="s">
        <v>330</v>
      </c>
      <c r="O63" s="27">
        <v>150724000</v>
      </c>
      <c r="P63" s="27"/>
      <c r="Q63" s="34"/>
      <c r="R63" s="30">
        <v>150724000</v>
      </c>
      <c r="S63" s="31">
        <v>14301000</v>
      </c>
      <c r="T63" s="27">
        <v>2876000</v>
      </c>
      <c r="U63" s="31">
        <v>158566000</v>
      </c>
      <c r="V63" s="32">
        <v>-7842000</v>
      </c>
      <c r="W63" s="33">
        <v>1.052028873968313</v>
      </c>
      <c r="Y63" s="113">
        <f t="shared" si="5"/>
        <v>0</v>
      </c>
      <c r="Z63" s="113">
        <f t="shared" si="6"/>
        <v>0</v>
      </c>
    </row>
    <row r="64" spans="1:26" outlineLevel="4" x14ac:dyDescent="0.25">
      <c r="A64" s="25" t="s">
        <v>331</v>
      </c>
      <c r="B64" s="26" t="s">
        <v>332</v>
      </c>
      <c r="C64" s="27">
        <v>239891264</v>
      </c>
      <c r="D64" s="27"/>
      <c r="E64" s="34"/>
      <c r="F64" s="30">
        <f t="shared" si="21"/>
        <v>239891264</v>
      </c>
      <c r="G64" s="31">
        <v>117671121</v>
      </c>
      <c r="H64" s="27">
        <v>25897121</v>
      </c>
      <c r="I64" s="31">
        <v>117671121</v>
      </c>
      <c r="J64" s="32">
        <f t="shared" si="28"/>
        <v>122220143</v>
      </c>
      <c r="K64" s="33">
        <f t="shared" si="1"/>
        <v>0.4905185751157658</v>
      </c>
      <c r="L64" s="113"/>
      <c r="M64" s="25" t="s">
        <v>331</v>
      </c>
      <c r="N64" s="26" t="s">
        <v>332</v>
      </c>
      <c r="O64" s="27">
        <v>239891264</v>
      </c>
      <c r="P64" s="27"/>
      <c r="Q64" s="34"/>
      <c r="R64" s="30">
        <v>239891264</v>
      </c>
      <c r="S64" s="31">
        <v>664600</v>
      </c>
      <c r="T64" s="27">
        <v>25897121</v>
      </c>
      <c r="U64" s="31">
        <v>117671121</v>
      </c>
      <c r="V64" s="32">
        <v>122220143</v>
      </c>
      <c r="W64" s="33">
        <v>0.4905185751157658</v>
      </c>
      <c r="Y64" s="113">
        <f t="shared" si="5"/>
        <v>0</v>
      </c>
      <c r="Z64" s="113">
        <f t="shared" si="6"/>
        <v>0</v>
      </c>
    </row>
    <row r="65" spans="1:26" outlineLevel="4" x14ac:dyDescent="0.25">
      <c r="A65" s="25" t="s">
        <v>333</v>
      </c>
      <c r="B65" s="26" t="s">
        <v>334</v>
      </c>
      <c r="C65" s="27">
        <v>34200000</v>
      </c>
      <c r="D65" s="27"/>
      <c r="E65" s="34"/>
      <c r="F65" s="30">
        <f t="shared" si="21"/>
        <v>34200000</v>
      </c>
      <c r="G65" s="31"/>
      <c r="H65" s="27"/>
      <c r="I65" s="31"/>
      <c r="J65" s="32">
        <f t="shared" si="28"/>
        <v>34200000</v>
      </c>
      <c r="K65" s="33">
        <f t="shared" si="1"/>
        <v>0</v>
      </c>
      <c r="L65" s="113"/>
      <c r="M65" s="25" t="s">
        <v>333</v>
      </c>
      <c r="N65" s="26" t="s">
        <v>334</v>
      </c>
      <c r="O65" s="27">
        <v>34200000</v>
      </c>
      <c r="P65" s="27"/>
      <c r="Q65" s="34"/>
      <c r="R65" s="30">
        <v>34200000</v>
      </c>
      <c r="S65" s="31"/>
      <c r="T65" s="27"/>
      <c r="U65" s="31"/>
      <c r="V65" s="32">
        <v>34200000</v>
      </c>
      <c r="W65" s="33">
        <v>0</v>
      </c>
      <c r="Y65" s="113">
        <f t="shared" si="5"/>
        <v>0</v>
      </c>
      <c r="Z65" s="113">
        <f t="shared" si="6"/>
        <v>0</v>
      </c>
    </row>
    <row r="66" spans="1:26" outlineLevel="4" x14ac:dyDescent="0.25">
      <c r="A66" s="25" t="s">
        <v>335</v>
      </c>
      <c r="B66" s="26" t="s">
        <v>336</v>
      </c>
      <c r="C66" s="27">
        <v>48000000</v>
      </c>
      <c r="D66" s="27"/>
      <c r="E66" s="34"/>
      <c r="F66" s="30">
        <f t="shared" si="21"/>
        <v>48000000</v>
      </c>
      <c r="G66" s="31">
        <v>116640000</v>
      </c>
      <c r="H66" s="27"/>
      <c r="I66" s="31">
        <v>116640000</v>
      </c>
      <c r="J66" s="32">
        <f t="shared" si="28"/>
        <v>-68640000</v>
      </c>
      <c r="K66" s="33">
        <f t="shared" si="1"/>
        <v>2.4300000000000002</v>
      </c>
      <c r="L66" s="113"/>
      <c r="M66" s="25" t="s">
        <v>335</v>
      </c>
      <c r="N66" s="26" t="s">
        <v>336</v>
      </c>
      <c r="O66" s="27">
        <v>48000000</v>
      </c>
      <c r="P66" s="27"/>
      <c r="Q66" s="34"/>
      <c r="R66" s="30">
        <v>48000000</v>
      </c>
      <c r="S66" s="31">
        <v>77760000</v>
      </c>
      <c r="T66" s="27"/>
      <c r="U66" s="31">
        <v>116640000</v>
      </c>
      <c r="V66" s="32">
        <v>-68640000</v>
      </c>
      <c r="W66" s="33">
        <v>2.4300000000000002</v>
      </c>
      <c r="Y66" s="113">
        <f t="shared" si="5"/>
        <v>0</v>
      </c>
      <c r="Z66" s="113">
        <f t="shared" si="6"/>
        <v>0</v>
      </c>
    </row>
    <row r="67" spans="1:26" outlineLevel="4" x14ac:dyDescent="0.25">
      <c r="A67" s="25" t="s">
        <v>337</v>
      </c>
      <c r="B67" s="26" t="s">
        <v>338</v>
      </c>
      <c r="C67" s="27">
        <v>172025580</v>
      </c>
      <c r="D67" s="27"/>
      <c r="E67" s="34"/>
      <c r="F67" s="30">
        <f t="shared" si="21"/>
        <v>172025580</v>
      </c>
      <c r="G67" s="31">
        <v>43630809</v>
      </c>
      <c r="H67" s="27">
        <v>5266912</v>
      </c>
      <c r="I67" s="31">
        <v>43630809</v>
      </c>
      <c r="J67" s="32">
        <f t="shared" si="28"/>
        <v>128394771</v>
      </c>
      <c r="K67" s="33">
        <f t="shared" si="1"/>
        <v>0.25362977413010324</v>
      </c>
      <c r="L67" s="113"/>
      <c r="M67" s="25" t="s">
        <v>337</v>
      </c>
      <c r="N67" s="26" t="s">
        <v>338</v>
      </c>
      <c r="O67" s="27">
        <v>172025580</v>
      </c>
      <c r="P67" s="27"/>
      <c r="Q67" s="34"/>
      <c r="R67" s="30">
        <v>172025580</v>
      </c>
      <c r="S67" s="31">
        <v>26935367.059999999</v>
      </c>
      <c r="T67" s="27">
        <v>5266912</v>
      </c>
      <c r="U67" s="31">
        <v>43630809</v>
      </c>
      <c r="V67" s="32">
        <v>128394771</v>
      </c>
      <c r="W67" s="33">
        <v>0.25362977413010324</v>
      </c>
      <c r="Y67" s="113">
        <f t="shared" si="5"/>
        <v>0</v>
      </c>
      <c r="Z67" s="113">
        <f t="shared" si="6"/>
        <v>0</v>
      </c>
    </row>
    <row r="68" spans="1:26" outlineLevel="4" x14ac:dyDescent="0.25">
      <c r="A68" s="25" t="s">
        <v>339</v>
      </c>
      <c r="B68" s="26" t="s">
        <v>340</v>
      </c>
      <c r="C68" s="27">
        <v>51082000</v>
      </c>
      <c r="D68" s="27"/>
      <c r="E68" s="34"/>
      <c r="F68" s="30">
        <f t="shared" si="21"/>
        <v>51082000</v>
      </c>
      <c r="G68" s="31"/>
      <c r="H68" s="27"/>
      <c r="I68" s="31"/>
      <c r="J68" s="32">
        <f t="shared" si="28"/>
        <v>51082000</v>
      </c>
      <c r="K68" s="33">
        <f t="shared" si="1"/>
        <v>0</v>
      </c>
      <c r="L68" s="113"/>
      <c r="M68" s="25" t="s">
        <v>339</v>
      </c>
      <c r="N68" s="26" t="s">
        <v>340</v>
      </c>
      <c r="O68" s="27">
        <v>51082000</v>
      </c>
      <c r="P68" s="27"/>
      <c r="Q68" s="34"/>
      <c r="R68" s="30">
        <v>51082000</v>
      </c>
      <c r="S68" s="31"/>
      <c r="T68" s="27"/>
      <c r="U68" s="31"/>
      <c r="V68" s="32">
        <v>51082000</v>
      </c>
      <c r="W68" s="33">
        <v>0</v>
      </c>
      <c r="Y68" s="113">
        <f t="shared" si="5"/>
        <v>0</v>
      </c>
      <c r="Z68" s="113">
        <f t="shared" si="6"/>
        <v>0</v>
      </c>
    </row>
    <row r="69" spans="1:26" outlineLevel="4" x14ac:dyDescent="0.25">
      <c r="A69" s="25" t="s">
        <v>341</v>
      </c>
      <c r="B69" s="26" t="s">
        <v>342</v>
      </c>
      <c r="C69" s="27">
        <v>3750000</v>
      </c>
      <c r="D69" s="27"/>
      <c r="E69" s="34"/>
      <c r="F69" s="30">
        <f t="shared" si="21"/>
        <v>3750000</v>
      </c>
      <c r="G69" s="31">
        <v>719100</v>
      </c>
      <c r="H69" s="27">
        <v>184100</v>
      </c>
      <c r="I69" s="31">
        <v>719100</v>
      </c>
      <c r="J69" s="32">
        <f t="shared" si="28"/>
        <v>3030900</v>
      </c>
      <c r="K69" s="33">
        <f t="shared" si="1"/>
        <v>0.19176000000000001</v>
      </c>
      <c r="L69" s="113"/>
      <c r="M69" s="25" t="s">
        <v>341</v>
      </c>
      <c r="N69" s="26" t="s">
        <v>342</v>
      </c>
      <c r="O69" s="27">
        <v>3750000</v>
      </c>
      <c r="P69" s="27"/>
      <c r="Q69" s="34"/>
      <c r="R69" s="30">
        <v>3750000</v>
      </c>
      <c r="S69" s="31"/>
      <c r="T69" s="27">
        <v>184100</v>
      </c>
      <c r="U69" s="31">
        <v>719100</v>
      </c>
      <c r="V69" s="32">
        <v>3030900</v>
      </c>
      <c r="W69" s="33">
        <v>0.19176000000000001</v>
      </c>
      <c r="Y69" s="113">
        <f t="shared" si="5"/>
        <v>0</v>
      </c>
      <c r="Z69" s="113">
        <f t="shared" si="6"/>
        <v>0</v>
      </c>
    </row>
    <row r="70" spans="1:26" outlineLevel="4" x14ac:dyDescent="0.25">
      <c r="A70" s="25" t="s">
        <v>343</v>
      </c>
      <c r="B70" s="26" t="s">
        <v>344</v>
      </c>
      <c r="C70" s="27">
        <v>85445009</v>
      </c>
      <c r="D70" s="27"/>
      <c r="E70" s="34"/>
      <c r="F70" s="30">
        <f t="shared" si="21"/>
        <v>85445009</v>
      </c>
      <c r="G70" s="31">
        <v>439000</v>
      </c>
      <c r="H70" s="27">
        <v>439000</v>
      </c>
      <c r="I70" s="31">
        <v>439000</v>
      </c>
      <c r="J70" s="32">
        <f t="shared" si="28"/>
        <v>85006009</v>
      </c>
      <c r="K70" s="33">
        <f t="shared" ref="K70:K133" si="29">+I70/F70</f>
        <v>5.1378074054623836E-3</v>
      </c>
      <c r="L70" s="113"/>
      <c r="M70" s="25" t="s">
        <v>343</v>
      </c>
      <c r="N70" s="26" t="s">
        <v>344</v>
      </c>
      <c r="O70" s="27">
        <v>85445009</v>
      </c>
      <c r="P70" s="27"/>
      <c r="Q70" s="34"/>
      <c r="R70" s="30">
        <v>85445009</v>
      </c>
      <c r="S70" s="31"/>
      <c r="T70" s="27">
        <v>439000</v>
      </c>
      <c r="U70" s="31">
        <v>439000</v>
      </c>
      <c r="V70" s="32">
        <v>85006009</v>
      </c>
      <c r="W70" s="33">
        <v>5.1378074054623836E-3</v>
      </c>
      <c r="Y70" s="113">
        <f t="shared" ref="Y70:Y83" si="30">+C70-O70</f>
        <v>0</v>
      </c>
      <c r="Z70" s="113">
        <f t="shared" ref="Z70:Z83" si="31">+D70-P70</f>
        <v>0</v>
      </c>
    </row>
    <row r="71" spans="1:26" outlineLevel="4" x14ac:dyDescent="0.25">
      <c r="A71" s="25" t="s">
        <v>345</v>
      </c>
      <c r="B71" s="26" t="s">
        <v>346</v>
      </c>
      <c r="C71" s="27">
        <v>24200000</v>
      </c>
      <c r="D71" s="27"/>
      <c r="E71" s="34"/>
      <c r="F71" s="30">
        <f t="shared" si="21"/>
        <v>24200000</v>
      </c>
      <c r="G71" s="31"/>
      <c r="H71" s="27"/>
      <c r="I71" s="31"/>
      <c r="J71" s="32">
        <f t="shared" si="28"/>
        <v>24200000</v>
      </c>
      <c r="K71" s="33">
        <f t="shared" si="29"/>
        <v>0</v>
      </c>
      <c r="L71" s="113"/>
      <c r="M71" s="25" t="s">
        <v>345</v>
      </c>
      <c r="N71" s="26" t="s">
        <v>346</v>
      </c>
      <c r="O71" s="27">
        <v>24200000</v>
      </c>
      <c r="P71" s="27"/>
      <c r="Q71" s="34"/>
      <c r="R71" s="30">
        <v>24200000</v>
      </c>
      <c r="S71" s="31"/>
      <c r="T71" s="27"/>
      <c r="U71" s="31"/>
      <c r="V71" s="32">
        <v>24200000</v>
      </c>
      <c r="W71" s="33">
        <v>0</v>
      </c>
      <c r="Y71" s="113">
        <f t="shared" si="30"/>
        <v>0</v>
      </c>
      <c r="Z71" s="113">
        <f t="shared" si="31"/>
        <v>0</v>
      </c>
    </row>
    <row r="72" spans="1:26" outlineLevel="4" x14ac:dyDescent="0.25">
      <c r="A72" s="25" t="s">
        <v>347</v>
      </c>
      <c r="B72" s="26" t="s">
        <v>348</v>
      </c>
      <c r="C72" s="27">
        <v>108984085</v>
      </c>
      <c r="D72" s="27"/>
      <c r="E72" s="34"/>
      <c r="F72" s="30">
        <f t="shared" si="21"/>
        <v>108984085</v>
      </c>
      <c r="G72" s="31">
        <v>12731884</v>
      </c>
      <c r="H72" s="27">
        <v>4262534</v>
      </c>
      <c r="I72" s="31">
        <v>12731884</v>
      </c>
      <c r="J72" s="32">
        <f t="shared" si="28"/>
        <v>96252201</v>
      </c>
      <c r="K72" s="33">
        <f t="shared" si="29"/>
        <v>0.11682333250767761</v>
      </c>
      <c r="L72" s="113"/>
      <c r="M72" s="25" t="s">
        <v>347</v>
      </c>
      <c r="N72" s="26" t="s">
        <v>348</v>
      </c>
      <c r="O72" s="27">
        <v>108984085</v>
      </c>
      <c r="P72" s="27"/>
      <c r="Q72" s="34"/>
      <c r="R72" s="30">
        <v>108984085</v>
      </c>
      <c r="S72" s="31">
        <v>2873100</v>
      </c>
      <c r="T72" s="27">
        <v>4262534</v>
      </c>
      <c r="U72" s="31">
        <v>12731884</v>
      </c>
      <c r="V72" s="32">
        <v>96252201</v>
      </c>
      <c r="W72" s="33">
        <v>0.11682333250767761</v>
      </c>
      <c r="Y72" s="113">
        <f t="shared" si="30"/>
        <v>0</v>
      </c>
      <c r="Z72" s="113">
        <f t="shared" si="31"/>
        <v>0</v>
      </c>
    </row>
    <row r="73" spans="1:26" outlineLevel="4" x14ac:dyDescent="0.25">
      <c r="A73" s="25" t="s">
        <v>349</v>
      </c>
      <c r="B73" s="26" t="s">
        <v>350</v>
      </c>
      <c r="C73" s="27">
        <v>40000000</v>
      </c>
      <c r="D73" s="27"/>
      <c r="E73" s="34"/>
      <c r="F73" s="30">
        <f t="shared" si="21"/>
        <v>40000000</v>
      </c>
      <c r="G73" s="31"/>
      <c r="H73" s="27"/>
      <c r="I73" s="31"/>
      <c r="J73" s="32">
        <f t="shared" si="28"/>
        <v>40000000</v>
      </c>
      <c r="K73" s="33">
        <f t="shared" si="29"/>
        <v>0</v>
      </c>
      <c r="L73" s="113"/>
      <c r="M73" s="25" t="s">
        <v>349</v>
      </c>
      <c r="N73" s="26" t="s">
        <v>350</v>
      </c>
      <c r="O73" s="27">
        <v>40000000</v>
      </c>
      <c r="P73" s="27"/>
      <c r="Q73" s="34"/>
      <c r="R73" s="30">
        <v>40000000</v>
      </c>
      <c r="S73" s="31"/>
      <c r="T73" s="27"/>
      <c r="U73" s="31"/>
      <c r="V73" s="32">
        <v>40000000</v>
      </c>
      <c r="W73" s="33">
        <v>0</v>
      </c>
      <c r="Y73" s="113">
        <f t="shared" si="30"/>
        <v>0</v>
      </c>
      <c r="Z73" s="113">
        <f t="shared" si="31"/>
        <v>0</v>
      </c>
    </row>
    <row r="74" spans="1:26" outlineLevel="4" x14ac:dyDescent="0.25">
      <c r="A74" s="25" t="s">
        <v>351</v>
      </c>
      <c r="B74" s="26" t="s">
        <v>352</v>
      </c>
      <c r="C74" s="27">
        <v>600000</v>
      </c>
      <c r="D74" s="27"/>
      <c r="E74" s="34"/>
      <c r="F74" s="30">
        <f t="shared" si="21"/>
        <v>600000</v>
      </c>
      <c r="G74" s="31"/>
      <c r="H74" s="27"/>
      <c r="I74" s="31"/>
      <c r="J74" s="32">
        <f t="shared" si="28"/>
        <v>600000</v>
      </c>
      <c r="K74" s="33">
        <f t="shared" si="29"/>
        <v>0</v>
      </c>
      <c r="L74" s="113"/>
      <c r="M74" s="25" t="s">
        <v>351</v>
      </c>
      <c r="N74" s="26" t="s">
        <v>352</v>
      </c>
      <c r="O74" s="27">
        <v>600000</v>
      </c>
      <c r="P74" s="27"/>
      <c r="Q74" s="34"/>
      <c r="R74" s="30">
        <v>600000</v>
      </c>
      <c r="S74" s="31"/>
      <c r="T74" s="27"/>
      <c r="U74" s="31"/>
      <c r="V74" s="32">
        <v>600000</v>
      </c>
      <c r="W74" s="33">
        <v>0</v>
      </c>
      <c r="Y74" s="113">
        <f t="shared" si="30"/>
        <v>0</v>
      </c>
      <c r="Z74" s="113">
        <f t="shared" si="31"/>
        <v>0</v>
      </c>
    </row>
    <row r="75" spans="1:26" outlineLevel="4" x14ac:dyDescent="0.25">
      <c r="A75" s="25" t="s">
        <v>353</v>
      </c>
      <c r="B75" s="26" t="s">
        <v>354</v>
      </c>
      <c r="C75" s="27">
        <v>200000</v>
      </c>
      <c r="D75" s="27"/>
      <c r="E75" s="34"/>
      <c r="F75" s="30">
        <f t="shared" si="21"/>
        <v>200000</v>
      </c>
      <c r="G75" s="31"/>
      <c r="H75" s="27"/>
      <c r="I75" s="31"/>
      <c r="J75" s="32">
        <f t="shared" si="28"/>
        <v>200000</v>
      </c>
      <c r="K75" s="33">
        <f t="shared" si="29"/>
        <v>0</v>
      </c>
      <c r="L75" s="113"/>
      <c r="M75" s="25" t="s">
        <v>353</v>
      </c>
      <c r="N75" s="26" t="s">
        <v>354</v>
      </c>
      <c r="O75" s="27">
        <v>200000</v>
      </c>
      <c r="P75" s="27"/>
      <c r="Q75" s="34"/>
      <c r="R75" s="30">
        <v>200000</v>
      </c>
      <c r="S75" s="31"/>
      <c r="T75" s="27"/>
      <c r="U75" s="31"/>
      <c r="V75" s="32">
        <v>200000</v>
      </c>
      <c r="W75" s="33">
        <v>0</v>
      </c>
      <c r="Y75" s="113">
        <f t="shared" si="30"/>
        <v>0</v>
      </c>
      <c r="Z75" s="113">
        <f t="shared" si="31"/>
        <v>0</v>
      </c>
    </row>
    <row r="76" spans="1:26" outlineLevel="4" x14ac:dyDescent="0.25">
      <c r="A76" s="25" t="s">
        <v>355</v>
      </c>
      <c r="B76" s="26" t="s">
        <v>356</v>
      </c>
      <c r="C76" s="27">
        <v>400000</v>
      </c>
      <c r="D76" s="27"/>
      <c r="E76" s="34"/>
      <c r="F76" s="30">
        <f t="shared" si="21"/>
        <v>400000</v>
      </c>
      <c r="G76" s="31">
        <v>13220</v>
      </c>
      <c r="H76" s="27"/>
      <c r="I76" s="31">
        <v>13220</v>
      </c>
      <c r="J76" s="32">
        <f t="shared" si="28"/>
        <v>386780</v>
      </c>
      <c r="K76" s="33">
        <f t="shared" si="29"/>
        <v>3.3050000000000003E-2</v>
      </c>
      <c r="L76" s="113"/>
      <c r="M76" s="25" t="s">
        <v>355</v>
      </c>
      <c r="N76" s="26" t="s">
        <v>356</v>
      </c>
      <c r="O76" s="27">
        <v>400000</v>
      </c>
      <c r="P76" s="27"/>
      <c r="Q76" s="34"/>
      <c r="R76" s="30">
        <v>400000</v>
      </c>
      <c r="S76" s="31">
        <v>13220</v>
      </c>
      <c r="T76" s="27"/>
      <c r="U76" s="31">
        <v>13220</v>
      </c>
      <c r="V76" s="32">
        <v>386780</v>
      </c>
      <c r="W76" s="33">
        <v>3.3050000000000003E-2</v>
      </c>
      <c r="Y76" s="113">
        <f t="shared" si="30"/>
        <v>0</v>
      </c>
      <c r="Z76" s="113">
        <f t="shared" si="31"/>
        <v>0</v>
      </c>
    </row>
    <row r="77" spans="1:26" outlineLevel="4" x14ac:dyDescent="0.25">
      <c r="A77" s="25" t="s">
        <v>357</v>
      </c>
      <c r="B77" s="26" t="s">
        <v>358</v>
      </c>
      <c r="C77" s="27">
        <v>5000</v>
      </c>
      <c r="D77" s="27"/>
      <c r="E77" s="34"/>
      <c r="F77" s="30">
        <f t="shared" si="21"/>
        <v>5000</v>
      </c>
      <c r="G77" s="31"/>
      <c r="H77" s="27"/>
      <c r="I77" s="31"/>
      <c r="J77" s="32">
        <f t="shared" si="28"/>
        <v>5000</v>
      </c>
      <c r="K77" s="33">
        <f t="shared" si="29"/>
        <v>0</v>
      </c>
      <c r="L77" s="113"/>
      <c r="M77" s="25" t="s">
        <v>357</v>
      </c>
      <c r="N77" s="26" t="s">
        <v>358</v>
      </c>
      <c r="O77" s="27">
        <v>5000</v>
      </c>
      <c r="P77" s="27"/>
      <c r="Q77" s="34"/>
      <c r="R77" s="30">
        <v>5000</v>
      </c>
      <c r="S77" s="31"/>
      <c r="T77" s="27"/>
      <c r="U77" s="31"/>
      <c r="V77" s="32">
        <v>5000</v>
      </c>
      <c r="W77" s="33">
        <v>0</v>
      </c>
      <c r="Y77" s="113">
        <f t="shared" si="30"/>
        <v>0</v>
      </c>
      <c r="Z77" s="113">
        <f t="shared" si="31"/>
        <v>0</v>
      </c>
    </row>
    <row r="78" spans="1:26" outlineLevel="4" x14ac:dyDescent="0.25">
      <c r="A78" s="25" t="s">
        <v>359</v>
      </c>
      <c r="B78" s="26" t="s">
        <v>360</v>
      </c>
      <c r="C78" s="27"/>
      <c r="D78" s="27"/>
      <c r="E78" s="34"/>
      <c r="F78" s="30">
        <f t="shared" si="21"/>
        <v>0</v>
      </c>
      <c r="G78" s="31">
        <v>3271055</v>
      </c>
      <c r="H78" s="27"/>
      <c r="I78" s="31">
        <v>3271055</v>
      </c>
      <c r="J78" s="32">
        <f t="shared" si="28"/>
        <v>-3271055</v>
      </c>
      <c r="K78" s="33" t="e">
        <f t="shared" si="29"/>
        <v>#DIV/0!</v>
      </c>
      <c r="L78" s="113"/>
      <c r="M78" s="25" t="s">
        <v>359</v>
      </c>
      <c r="N78" s="26" t="s">
        <v>360</v>
      </c>
      <c r="O78" s="27"/>
      <c r="P78" s="27"/>
      <c r="Q78" s="34"/>
      <c r="R78" s="30">
        <v>0</v>
      </c>
      <c r="S78" s="31">
        <v>1614825</v>
      </c>
      <c r="T78" s="27"/>
      <c r="U78" s="31">
        <v>3271055</v>
      </c>
      <c r="V78" s="32">
        <v>-3271055</v>
      </c>
      <c r="W78" s="33" t="e">
        <v>#DIV/0!</v>
      </c>
      <c r="Y78" s="113">
        <f t="shared" si="30"/>
        <v>0</v>
      </c>
      <c r="Z78" s="113">
        <f t="shared" si="31"/>
        <v>0</v>
      </c>
    </row>
    <row r="79" spans="1:26" outlineLevel="4" x14ac:dyDescent="0.25">
      <c r="A79" s="25" t="s">
        <v>361</v>
      </c>
      <c r="B79" s="26" t="s">
        <v>362</v>
      </c>
      <c r="C79" s="27"/>
      <c r="D79" s="27"/>
      <c r="E79" s="34"/>
      <c r="F79" s="30">
        <f>+C79+D79</f>
        <v>0</v>
      </c>
      <c r="G79" s="31">
        <v>505153</v>
      </c>
      <c r="H79" s="27"/>
      <c r="I79" s="31">
        <v>505153</v>
      </c>
      <c r="J79" s="32">
        <f>SUM(F79-I79)</f>
        <v>-505153</v>
      </c>
      <c r="K79" s="33" t="e">
        <f t="shared" si="29"/>
        <v>#DIV/0!</v>
      </c>
      <c r="L79" s="113"/>
      <c r="M79" s="25" t="s">
        <v>361</v>
      </c>
      <c r="N79" s="26" t="s">
        <v>362</v>
      </c>
      <c r="O79" s="27"/>
      <c r="P79" s="27"/>
      <c r="Q79" s="34"/>
      <c r="R79" s="30">
        <v>0</v>
      </c>
      <c r="S79" s="31">
        <v>505153</v>
      </c>
      <c r="T79" s="27"/>
      <c r="U79" s="31">
        <v>505153</v>
      </c>
      <c r="V79" s="32">
        <v>-505153</v>
      </c>
      <c r="W79" s="33" t="e">
        <v>#DIV/0!</v>
      </c>
      <c r="Y79" s="113">
        <f t="shared" si="30"/>
        <v>0</v>
      </c>
      <c r="Z79" s="113">
        <f t="shared" si="31"/>
        <v>0</v>
      </c>
    </row>
    <row r="80" spans="1:26" outlineLevel="4" x14ac:dyDescent="0.25">
      <c r="A80" s="25" t="s">
        <v>363</v>
      </c>
      <c r="B80" s="26" t="s">
        <v>364</v>
      </c>
      <c r="C80" s="27">
        <v>128167513</v>
      </c>
      <c r="D80" s="27"/>
      <c r="E80" s="34"/>
      <c r="F80" s="30">
        <f t="shared" ref="F80:F145" si="32">+C80+D80</f>
        <v>128167513</v>
      </c>
      <c r="G80" s="31">
        <v>37121400</v>
      </c>
      <c r="H80" s="27">
        <v>8781000</v>
      </c>
      <c r="I80" s="31">
        <v>37121400</v>
      </c>
      <c r="J80" s="32">
        <f t="shared" si="28"/>
        <v>91046113</v>
      </c>
      <c r="K80" s="33">
        <f t="shared" si="29"/>
        <v>0.28963189759326918</v>
      </c>
      <c r="L80" s="113"/>
      <c r="M80" s="25" t="s">
        <v>363</v>
      </c>
      <c r="N80" s="26" t="s">
        <v>364</v>
      </c>
      <c r="O80" s="27">
        <v>128167513</v>
      </c>
      <c r="P80" s="27"/>
      <c r="Q80" s="34"/>
      <c r="R80" s="30">
        <v>128167513</v>
      </c>
      <c r="S80" s="31">
        <v>28340400</v>
      </c>
      <c r="T80" s="27">
        <v>8781000</v>
      </c>
      <c r="U80" s="31">
        <v>37121400</v>
      </c>
      <c r="V80" s="32">
        <v>91046113</v>
      </c>
      <c r="W80" s="33">
        <v>0.28963189759326918</v>
      </c>
      <c r="Y80" s="113">
        <f t="shared" si="30"/>
        <v>0</v>
      </c>
      <c r="Z80" s="113">
        <f t="shared" si="31"/>
        <v>0</v>
      </c>
    </row>
    <row r="81" spans="1:26" s="20" customFormat="1" outlineLevel="3" x14ac:dyDescent="0.25">
      <c r="A81" s="16" t="s">
        <v>365</v>
      </c>
      <c r="B81" s="17" t="s">
        <v>366</v>
      </c>
      <c r="C81" s="18">
        <f>SUM(C82)</f>
        <v>230000000</v>
      </c>
      <c r="D81" s="18">
        <f t="shared" ref="D81:J82" si="33">SUM(D82)</f>
        <v>0</v>
      </c>
      <c r="E81" s="18">
        <f t="shared" si="33"/>
        <v>0</v>
      </c>
      <c r="F81" s="18">
        <f t="shared" si="33"/>
        <v>230000000</v>
      </c>
      <c r="G81" s="18">
        <f t="shared" si="33"/>
        <v>39934060</v>
      </c>
      <c r="H81" s="18">
        <v>7587000</v>
      </c>
      <c r="I81" s="18">
        <v>39934060</v>
      </c>
      <c r="J81" s="18">
        <f t="shared" si="33"/>
        <v>190065940</v>
      </c>
      <c r="K81" s="19">
        <f t="shared" si="29"/>
        <v>0.17362634782608696</v>
      </c>
      <c r="L81" s="113"/>
      <c r="M81" s="16" t="s">
        <v>365</v>
      </c>
      <c r="N81" s="17" t="s">
        <v>366</v>
      </c>
      <c r="O81" s="18">
        <v>230000000</v>
      </c>
      <c r="P81" s="18">
        <v>0</v>
      </c>
      <c r="Q81" s="18">
        <v>0</v>
      </c>
      <c r="R81" s="18">
        <v>230000000</v>
      </c>
      <c r="S81" s="18">
        <v>8135700</v>
      </c>
      <c r="T81" s="18">
        <v>7587000</v>
      </c>
      <c r="U81" s="18">
        <v>39934060</v>
      </c>
      <c r="V81" s="18">
        <v>190065940</v>
      </c>
      <c r="W81" s="19">
        <v>0.17362634782608696</v>
      </c>
      <c r="Y81" s="113">
        <f t="shared" si="30"/>
        <v>0</v>
      </c>
      <c r="Z81" s="113">
        <f t="shared" si="31"/>
        <v>0</v>
      </c>
    </row>
    <row r="82" spans="1:26" outlineLevel="4" x14ac:dyDescent="0.25">
      <c r="A82" s="21" t="s">
        <v>367</v>
      </c>
      <c r="B82" s="22" t="s">
        <v>368</v>
      </c>
      <c r="C82" s="23">
        <f>SUM(C83)</f>
        <v>230000000</v>
      </c>
      <c r="D82" s="23">
        <f t="shared" si="33"/>
        <v>0</v>
      </c>
      <c r="E82" s="23">
        <f t="shared" si="33"/>
        <v>0</v>
      </c>
      <c r="F82" s="23">
        <f t="shared" si="33"/>
        <v>230000000</v>
      </c>
      <c r="G82" s="23">
        <f t="shared" si="33"/>
        <v>39934060</v>
      </c>
      <c r="H82" s="23">
        <v>7587000</v>
      </c>
      <c r="I82" s="23">
        <v>39934060</v>
      </c>
      <c r="J82" s="23">
        <f t="shared" si="33"/>
        <v>190065940</v>
      </c>
      <c r="K82" s="36">
        <f t="shared" si="29"/>
        <v>0.17362634782608696</v>
      </c>
      <c r="L82" s="113"/>
      <c r="M82" s="21" t="s">
        <v>367</v>
      </c>
      <c r="N82" s="22" t="s">
        <v>368</v>
      </c>
      <c r="O82" s="23">
        <v>230000000</v>
      </c>
      <c r="P82" s="23">
        <v>0</v>
      </c>
      <c r="Q82" s="23">
        <v>0</v>
      </c>
      <c r="R82" s="23">
        <v>230000000</v>
      </c>
      <c r="S82" s="23">
        <v>8135700</v>
      </c>
      <c r="T82" s="23">
        <v>7587000</v>
      </c>
      <c r="U82" s="23">
        <v>39934060</v>
      </c>
      <c r="V82" s="23">
        <v>190065940</v>
      </c>
      <c r="W82" s="36">
        <v>0.17362634782608696</v>
      </c>
      <c r="Y82" s="113">
        <f t="shared" si="30"/>
        <v>0</v>
      </c>
      <c r="Z82" s="113">
        <f t="shared" si="31"/>
        <v>0</v>
      </c>
    </row>
    <row r="83" spans="1:26" outlineLevel="4" x14ac:dyDescent="0.25">
      <c r="A83" s="25" t="s">
        <v>369</v>
      </c>
      <c r="B83" s="26" t="s">
        <v>370</v>
      </c>
      <c r="C83" s="27">
        <v>230000000</v>
      </c>
      <c r="D83" s="27"/>
      <c r="E83" s="34"/>
      <c r="F83" s="30">
        <f t="shared" si="32"/>
        <v>230000000</v>
      </c>
      <c r="G83" s="31">
        <v>39934060</v>
      </c>
      <c r="H83" s="27">
        <v>7587000</v>
      </c>
      <c r="I83" s="31">
        <v>39934060</v>
      </c>
      <c r="J83" s="32">
        <f t="shared" si="28"/>
        <v>190065940</v>
      </c>
      <c r="K83" s="33">
        <f t="shared" si="29"/>
        <v>0.17362634782608696</v>
      </c>
      <c r="L83" s="113"/>
      <c r="M83" s="25" t="s">
        <v>369</v>
      </c>
      <c r="N83" s="26" t="s">
        <v>370</v>
      </c>
      <c r="O83" s="27">
        <v>230000000</v>
      </c>
      <c r="P83" s="27"/>
      <c r="Q83" s="34"/>
      <c r="R83" s="30">
        <v>230000000</v>
      </c>
      <c r="S83" s="31">
        <v>8135700</v>
      </c>
      <c r="T83" s="27">
        <v>7587000</v>
      </c>
      <c r="U83" s="31">
        <v>39934060</v>
      </c>
      <c r="V83" s="32">
        <v>190065940</v>
      </c>
      <c r="W83" s="33">
        <v>0.17362634782608696</v>
      </c>
      <c r="Y83" s="113">
        <f t="shared" si="30"/>
        <v>0</v>
      </c>
      <c r="Z83" s="113">
        <f t="shared" si="31"/>
        <v>0</v>
      </c>
    </row>
    <row r="84" spans="1:26" s="20" customFormat="1" outlineLevel="3" x14ac:dyDescent="0.25">
      <c r="A84" s="16" t="s">
        <v>371</v>
      </c>
      <c r="B84" s="17" t="s">
        <v>372</v>
      </c>
      <c r="C84" s="18">
        <f>SUM(C85+C103+C108)</f>
        <v>1693296796</v>
      </c>
      <c r="D84" s="18">
        <f>SUM(D85+D103+D108)</f>
        <v>0</v>
      </c>
      <c r="E84" s="18">
        <f>SUM(E85+E103+E108)</f>
        <v>0</v>
      </c>
      <c r="F84" s="18">
        <f>SUM(F85+F103+F108)</f>
        <v>1693296796</v>
      </c>
      <c r="G84" s="18">
        <f>SUM(G85+G103+G108)</f>
        <v>369116533</v>
      </c>
      <c r="H84" s="18">
        <v>91286185</v>
      </c>
      <c r="I84" s="18">
        <v>369116533</v>
      </c>
      <c r="J84" s="18">
        <f>SUM(J85+J103+J108)</f>
        <v>1324180263</v>
      </c>
      <c r="K84" s="19">
        <f t="shared" si="29"/>
        <v>0.21798690806711951</v>
      </c>
      <c r="L84" s="113"/>
      <c r="M84" s="16" t="s">
        <v>371</v>
      </c>
      <c r="N84" s="17" t="s">
        <v>372</v>
      </c>
      <c r="O84" s="18">
        <v>1693296796</v>
      </c>
      <c r="P84" s="18">
        <v>0</v>
      </c>
      <c r="Q84" s="18">
        <v>0</v>
      </c>
      <c r="R84" s="18">
        <v>1693296796</v>
      </c>
      <c r="S84" s="18">
        <v>196104045</v>
      </c>
      <c r="T84" s="18">
        <v>91286185</v>
      </c>
      <c r="U84" s="18">
        <v>369116533</v>
      </c>
      <c r="V84" s="18">
        <v>1324180263</v>
      </c>
      <c r="W84" s="19">
        <v>0.21798690806711951</v>
      </c>
      <c r="Y84" s="113">
        <f t="shared" ref="Y84:Y141" si="34">+C84-O84</f>
        <v>0</v>
      </c>
      <c r="Z84" s="113">
        <f t="shared" ref="Z84:Z141" si="35">+D84-P84</f>
        <v>0</v>
      </c>
    </row>
    <row r="85" spans="1:26" outlineLevel="4" x14ac:dyDescent="0.25">
      <c r="A85" s="16" t="s">
        <v>373</v>
      </c>
      <c r="B85" s="17" t="s">
        <v>374</v>
      </c>
      <c r="C85" s="18">
        <f>SUM(C92+C86)</f>
        <v>346400000</v>
      </c>
      <c r="D85" s="18">
        <f t="shared" ref="D85:J85" si="36">SUM(D92+D86)</f>
        <v>0</v>
      </c>
      <c r="E85" s="18">
        <f t="shared" si="36"/>
        <v>0</v>
      </c>
      <c r="F85" s="18">
        <f t="shared" si="36"/>
        <v>346400000</v>
      </c>
      <c r="G85" s="18">
        <f t="shared" si="36"/>
        <v>144136646</v>
      </c>
      <c r="H85" s="18">
        <v>10869600</v>
      </c>
      <c r="I85" s="18">
        <v>144136646</v>
      </c>
      <c r="J85" s="18">
        <f t="shared" si="36"/>
        <v>202263354</v>
      </c>
      <c r="K85" s="19">
        <f t="shared" si="29"/>
        <v>0.41609886258660506</v>
      </c>
      <c r="L85" s="113"/>
      <c r="M85" s="16" t="s">
        <v>373</v>
      </c>
      <c r="N85" s="17" t="s">
        <v>374</v>
      </c>
      <c r="O85" s="18">
        <v>346400000</v>
      </c>
      <c r="P85" s="18">
        <v>0</v>
      </c>
      <c r="Q85" s="18">
        <v>0</v>
      </c>
      <c r="R85" s="18">
        <v>346400000</v>
      </c>
      <c r="S85" s="18">
        <v>127622146</v>
      </c>
      <c r="T85" s="18">
        <v>10869600</v>
      </c>
      <c r="U85" s="18">
        <v>144136646</v>
      </c>
      <c r="V85" s="18">
        <v>202263354</v>
      </c>
      <c r="W85" s="19">
        <v>0.41609886258660506</v>
      </c>
      <c r="Y85" s="113">
        <f t="shared" si="34"/>
        <v>0</v>
      </c>
      <c r="Z85" s="113">
        <f t="shared" si="35"/>
        <v>0</v>
      </c>
    </row>
    <row r="86" spans="1:26" outlineLevel="4" x14ac:dyDescent="0.25">
      <c r="A86" s="21" t="s">
        <v>375</v>
      </c>
      <c r="B86" s="22" t="s">
        <v>46</v>
      </c>
      <c r="C86" s="23">
        <f>SUM(C87:C91)</f>
        <v>180600000</v>
      </c>
      <c r="D86" s="23">
        <f t="shared" ref="D86:J86" si="37">SUM(D87:D91)</f>
        <v>0</v>
      </c>
      <c r="E86" s="23">
        <f t="shared" si="37"/>
        <v>0</v>
      </c>
      <c r="F86" s="23">
        <f t="shared" si="37"/>
        <v>180600000</v>
      </c>
      <c r="G86" s="23">
        <f t="shared" si="37"/>
        <v>110380646</v>
      </c>
      <c r="H86" s="23">
        <v>204100</v>
      </c>
      <c r="I86" s="23">
        <v>110380646</v>
      </c>
      <c r="J86" s="23">
        <f t="shared" si="37"/>
        <v>70219354</v>
      </c>
      <c r="K86" s="36">
        <f t="shared" si="29"/>
        <v>0.61118851605758584</v>
      </c>
      <c r="L86" s="113"/>
      <c r="M86" s="21" t="s">
        <v>375</v>
      </c>
      <c r="N86" s="22" t="s">
        <v>46</v>
      </c>
      <c r="O86" s="23">
        <v>180600000</v>
      </c>
      <c r="P86" s="23">
        <v>0</v>
      </c>
      <c r="Q86" s="23">
        <v>0</v>
      </c>
      <c r="R86" s="23">
        <v>180600000</v>
      </c>
      <c r="S86" s="23">
        <v>107936146</v>
      </c>
      <c r="T86" s="23">
        <v>204100</v>
      </c>
      <c r="U86" s="23">
        <v>110380646</v>
      </c>
      <c r="V86" s="23">
        <v>70219354</v>
      </c>
      <c r="W86" s="36">
        <v>0.61118851605758584</v>
      </c>
      <c r="Y86" s="113">
        <f t="shared" si="34"/>
        <v>0</v>
      </c>
      <c r="Z86" s="113">
        <f t="shared" si="35"/>
        <v>0</v>
      </c>
    </row>
    <row r="87" spans="1:26" outlineLevel="4" x14ac:dyDescent="0.25">
      <c r="A87" s="25" t="s">
        <v>376</v>
      </c>
      <c r="B87" s="26" t="s">
        <v>47</v>
      </c>
      <c r="C87" s="27">
        <v>169000000</v>
      </c>
      <c r="D87" s="27"/>
      <c r="E87" s="34"/>
      <c r="F87" s="30">
        <f t="shared" si="32"/>
        <v>169000000</v>
      </c>
      <c r="G87" s="31">
        <v>106095046</v>
      </c>
      <c r="H87" s="27"/>
      <c r="I87" s="31">
        <v>106095046</v>
      </c>
      <c r="J87" s="32">
        <f t="shared" si="28"/>
        <v>62904954</v>
      </c>
      <c r="K87" s="33">
        <f t="shared" si="29"/>
        <v>0.62778133727810648</v>
      </c>
      <c r="L87" s="113"/>
      <c r="M87" s="25" t="s">
        <v>376</v>
      </c>
      <c r="N87" s="26" t="s">
        <v>47</v>
      </c>
      <c r="O87" s="27">
        <v>169000000</v>
      </c>
      <c r="P87" s="27"/>
      <c r="Q87" s="34"/>
      <c r="R87" s="30">
        <v>169000000</v>
      </c>
      <c r="S87" s="31">
        <v>106095046</v>
      </c>
      <c r="T87" s="27"/>
      <c r="U87" s="31">
        <v>106095046</v>
      </c>
      <c r="V87" s="32">
        <v>62904954</v>
      </c>
      <c r="W87" s="33">
        <v>0.62778133727810648</v>
      </c>
      <c r="Y87" s="113">
        <f t="shared" si="34"/>
        <v>0</v>
      </c>
      <c r="Z87" s="113">
        <f t="shared" si="35"/>
        <v>0</v>
      </c>
    </row>
    <row r="88" spans="1:26" outlineLevel="4" x14ac:dyDescent="0.25">
      <c r="A88" s="25" t="s">
        <v>377</v>
      </c>
      <c r="B88" s="26" t="s">
        <v>48</v>
      </c>
      <c r="C88" s="27">
        <v>200000</v>
      </c>
      <c r="D88" s="27"/>
      <c r="E88" s="34"/>
      <c r="F88" s="30">
        <f t="shared" si="32"/>
        <v>200000</v>
      </c>
      <c r="G88" s="31"/>
      <c r="H88" s="27"/>
      <c r="I88" s="31"/>
      <c r="J88" s="32">
        <f t="shared" si="28"/>
        <v>200000</v>
      </c>
      <c r="K88" s="33">
        <f t="shared" si="29"/>
        <v>0</v>
      </c>
      <c r="L88" s="113"/>
      <c r="M88" s="25" t="s">
        <v>377</v>
      </c>
      <c r="N88" s="26" t="s">
        <v>48</v>
      </c>
      <c r="O88" s="27">
        <v>200000</v>
      </c>
      <c r="P88" s="27"/>
      <c r="Q88" s="34"/>
      <c r="R88" s="30">
        <v>200000</v>
      </c>
      <c r="S88" s="31"/>
      <c r="T88" s="27"/>
      <c r="U88" s="31"/>
      <c r="V88" s="32">
        <v>200000</v>
      </c>
      <c r="W88" s="33">
        <v>0</v>
      </c>
      <c r="Y88" s="113">
        <f t="shared" si="34"/>
        <v>0</v>
      </c>
      <c r="Z88" s="113">
        <f t="shared" si="35"/>
        <v>0</v>
      </c>
    </row>
    <row r="89" spans="1:26" outlineLevel="4" x14ac:dyDescent="0.25">
      <c r="A89" s="25" t="s">
        <v>378</v>
      </c>
      <c r="B89" s="26" t="s">
        <v>49</v>
      </c>
      <c r="C89" s="27">
        <v>200000</v>
      </c>
      <c r="D89" s="27"/>
      <c r="E89" s="34"/>
      <c r="F89" s="30">
        <f t="shared" si="32"/>
        <v>200000</v>
      </c>
      <c r="G89" s="31">
        <v>1491000</v>
      </c>
      <c r="H89" s="27">
        <v>20400</v>
      </c>
      <c r="I89" s="31">
        <v>1491000</v>
      </c>
      <c r="J89" s="32">
        <f t="shared" si="28"/>
        <v>-1291000</v>
      </c>
      <c r="K89" s="33">
        <f t="shared" si="29"/>
        <v>7.4550000000000001</v>
      </c>
      <c r="L89" s="113"/>
      <c r="M89" s="25" t="s">
        <v>378</v>
      </c>
      <c r="N89" s="26" t="s">
        <v>49</v>
      </c>
      <c r="O89" s="27">
        <v>200000</v>
      </c>
      <c r="P89" s="27"/>
      <c r="Q89" s="34"/>
      <c r="R89" s="30">
        <v>200000</v>
      </c>
      <c r="S89" s="31">
        <v>1122100</v>
      </c>
      <c r="T89" s="27">
        <v>20400</v>
      </c>
      <c r="U89" s="31">
        <v>1491000</v>
      </c>
      <c r="V89" s="32">
        <v>-1291000</v>
      </c>
      <c r="W89" s="33">
        <v>7.4550000000000001</v>
      </c>
      <c r="Y89" s="113">
        <f t="shared" si="34"/>
        <v>0</v>
      </c>
      <c r="Z89" s="113">
        <f t="shared" si="35"/>
        <v>0</v>
      </c>
    </row>
    <row r="90" spans="1:26" outlineLevel="4" x14ac:dyDescent="0.25">
      <c r="A90" s="25" t="s">
        <v>379</v>
      </c>
      <c r="B90" s="26" t="s">
        <v>50</v>
      </c>
      <c r="C90" s="27">
        <v>10000000</v>
      </c>
      <c r="D90" s="27"/>
      <c r="E90" s="34"/>
      <c r="F90" s="30">
        <f t="shared" si="32"/>
        <v>10000000</v>
      </c>
      <c r="G90" s="31">
        <v>2140600</v>
      </c>
      <c r="H90" s="27">
        <v>168700</v>
      </c>
      <c r="I90" s="31">
        <v>2140600</v>
      </c>
      <c r="J90" s="32">
        <f t="shared" si="28"/>
        <v>7859400</v>
      </c>
      <c r="K90" s="33">
        <f t="shared" si="29"/>
        <v>0.21406</v>
      </c>
      <c r="L90" s="113"/>
      <c r="M90" s="25" t="s">
        <v>379</v>
      </c>
      <c r="N90" s="26" t="s">
        <v>50</v>
      </c>
      <c r="O90" s="27">
        <v>10000000</v>
      </c>
      <c r="P90" s="27"/>
      <c r="Q90" s="34"/>
      <c r="R90" s="30">
        <v>10000000</v>
      </c>
      <c r="S90" s="31">
        <v>80000</v>
      </c>
      <c r="T90" s="27">
        <v>168700</v>
      </c>
      <c r="U90" s="31">
        <v>2140600</v>
      </c>
      <c r="V90" s="32">
        <v>7859400</v>
      </c>
      <c r="W90" s="33">
        <v>0.21406</v>
      </c>
      <c r="Y90" s="113">
        <f t="shared" si="34"/>
        <v>0</v>
      </c>
      <c r="Z90" s="113">
        <f t="shared" si="35"/>
        <v>0</v>
      </c>
    </row>
    <row r="91" spans="1:26" s="20" customFormat="1" outlineLevel="3" x14ac:dyDescent="0.25">
      <c r="A91" s="25" t="s">
        <v>380</v>
      </c>
      <c r="B91" s="26" t="s">
        <v>51</v>
      </c>
      <c r="C91" s="27">
        <v>1200000</v>
      </c>
      <c r="D91" s="27"/>
      <c r="E91" s="34"/>
      <c r="F91" s="30">
        <f t="shared" si="32"/>
        <v>1200000</v>
      </c>
      <c r="G91" s="31">
        <v>654000</v>
      </c>
      <c r="H91" s="27">
        <v>15000</v>
      </c>
      <c r="I91" s="31">
        <v>654000</v>
      </c>
      <c r="J91" s="32">
        <f t="shared" si="28"/>
        <v>546000</v>
      </c>
      <c r="K91" s="33">
        <f t="shared" si="29"/>
        <v>0.54500000000000004</v>
      </c>
      <c r="L91" s="113"/>
      <c r="M91" s="25" t="s">
        <v>380</v>
      </c>
      <c r="N91" s="26" t="s">
        <v>51</v>
      </c>
      <c r="O91" s="27">
        <v>1200000</v>
      </c>
      <c r="P91" s="27"/>
      <c r="Q91" s="34"/>
      <c r="R91" s="30">
        <v>1200000</v>
      </c>
      <c r="S91" s="31">
        <v>639000</v>
      </c>
      <c r="T91" s="27">
        <v>15000</v>
      </c>
      <c r="U91" s="31">
        <v>654000</v>
      </c>
      <c r="V91" s="32">
        <v>546000</v>
      </c>
      <c r="W91" s="33">
        <v>0.54500000000000004</v>
      </c>
      <c r="Y91" s="113">
        <f t="shared" si="34"/>
        <v>0</v>
      </c>
      <c r="Z91" s="113">
        <f t="shared" si="35"/>
        <v>0</v>
      </c>
    </row>
    <row r="92" spans="1:26" outlineLevel="4" x14ac:dyDescent="0.25">
      <c r="A92" s="16" t="s">
        <v>381</v>
      </c>
      <c r="B92" s="17" t="s">
        <v>52</v>
      </c>
      <c r="C92" s="18">
        <f>SUM(C93)</f>
        <v>165800000</v>
      </c>
      <c r="D92" s="18">
        <f t="shared" ref="D92:J92" si="38">SUM(D93)</f>
        <v>0</v>
      </c>
      <c r="E92" s="18">
        <f t="shared" si="38"/>
        <v>0</v>
      </c>
      <c r="F92" s="18">
        <f t="shared" si="38"/>
        <v>165800000</v>
      </c>
      <c r="G92" s="18">
        <f t="shared" si="38"/>
        <v>33756000</v>
      </c>
      <c r="H92" s="18">
        <v>10665500</v>
      </c>
      <c r="I92" s="18">
        <v>33756000</v>
      </c>
      <c r="J92" s="18">
        <f t="shared" si="38"/>
        <v>132044000</v>
      </c>
      <c r="K92" s="19">
        <f t="shared" si="29"/>
        <v>0.2035946924004825</v>
      </c>
      <c r="L92" s="113"/>
      <c r="M92" s="16" t="s">
        <v>381</v>
      </c>
      <c r="N92" s="17" t="s">
        <v>52</v>
      </c>
      <c r="O92" s="18">
        <v>165800000</v>
      </c>
      <c r="P92" s="18">
        <v>0</v>
      </c>
      <c r="Q92" s="18">
        <v>0</v>
      </c>
      <c r="R92" s="18">
        <v>165800000</v>
      </c>
      <c r="S92" s="18">
        <v>19686000</v>
      </c>
      <c r="T92" s="18">
        <v>10665500</v>
      </c>
      <c r="U92" s="18">
        <v>33756000</v>
      </c>
      <c r="V92" s="18">
        <v>132044000</v>
      </c>
      <c r="W92" s="19">
        <v>0.2035946924004825</v>
      </c>
      <c r="Y92" s="113">
        <f t="shared" si="34"/>
        <v>0</v>
      </c>
      <c r="Z92" s="113">
        <f t="shared" si="35"/>
        <v>0</v>
      </c>
    </row>
    <row r="93" spans="1:26" outlineLevel="4" x14ac:dyDescent="0.25">
      <c r="A93" s="21" t="s">
        <v>382</v>
      </c>
      <c r="B93" s="22" t="s">
        <v>53</v>
      </c>
      <c r="C93" s="23">
        <f>SUM(C94:C100)</f>
        <v>165800000</v>
      </c>
      <c r="D93" s="23">
        <f t="shared" ref="D93:J93" si="39">SUM(D94:D100)</f>
        <v>0</v>
      </c>
      <c r="E93" s="23">
        <f t="shared" si="39"/>
        <v>0</v>
      </c>
      <c r="F93" s="23">
        <f t="shared" si="39"/>
        <v>165800000</v>
      </c>
      <c r="G93" s="23">
        <f t="shared" si="39"/>
        <v>33756000</v>
      </c>
      <c r="H93" s="23">
        <v>10665500</v>
      </c>
      <c r="I93" s="23">
        <v>33756000</v>
      </c>
      <c r="J93" s="23">
        <f t="shared" si="39"/>
        <v>132044000</v>
      </c>
      <c r="K93" s="36">
        <f t="shared" si="29"/>
        <v>0.2035946924004825</v>
      </c>
      <c r="L93" s="113"/>
      <c r="M93" s="21" t="s">
        <v>382</v>
      </c>
      <c r="N93" s="22" t="s">
        <v>53</v>
      </c>
      <c r="O93" s="23">
        <v>165800000</v>
      </c>
      <c r="P93" s="23">
        <v>0</v>
      </c>
      <c r="Q93" s="23">
        <v>0</v>
      </c>
      <c r="R93" s="23">
        <v>165800000</v>
      </c>
      <c r="S93" s="23">
        <v>19686000</v>
      </c>
      <c r="T93" s="23">
        <v>10665500</v>
      </c>
      <c r="U93" s="23">
        <v>33756000</v>
      </c>
      <c r="V93" s="23">
        <v>132044000</v>
      </c>
      <c r="W93" s="36">
        <v>0.2035946924004825</v>
      </c>
      <c r="Y93" s="113">
        <f t="shared" si="34"/>
        <v>0</v>
      </c>
      <c r="Z93" s="113">
        <f t="shared" si="35"/>
        <v>0</v>
      </c>
    </row>
    <row r="94" spans="1:26" outlineLevel="4" x14ac:dyDescent="0.25">
      <c r="A94" s="25" t="s">
        <v>383</v>
      </c>
      <c r="B94" s="26" t="s">
        <v>54</v>
      </c>
      <c r="C94" s="27">
        <v>24000000</v>
      </c>
      <c r="D94" s="27"/>
      <c r="E94" s="34"/>
      <c r="F94" s="30">
        <f t="shared" si="32"/>
        <v>24000000</v>
      </c>
      <c r="G94" s="31">
        <v>500000</v>
      </c>
      <c r="H94" s="27"/>
      <c r="I94" s="31">
        <v>500000</v>
      </c>
      <c r="J94" s="32">
        <f t="shared" si="28"/>
        <v>23500000</v>
      </c>
      <c r="K94" s="33">
        <f t="shared" si="29"/>
        <v>2.0833333333333332E-2</v>
      </c>
      <c r="L94" s="113"/>
      <c r="M94" s="25" t="s">
        <v>383</v>
      </c>
      <c r="N94" s="26" t="s">
        <v>54</v>
      </c>
      <c r="O94" s="27">
        <v>24000000</v>
      </c>
      <c r="P94" s="27"/>
      <c r="Q94" s="34"/>
      <c r="R94" s="30">
        <v>24000000</v>
      </c>
      <c r="S94" s="31">
        <v>500000</v>
      </c>
      <c r="T94" s="27"/>
      <c r="U94" s="31">
        <v>500000</v>
      </c>
      <c r="V94" s="32">
        <v>23500000</v>
      </c>
      <c r="W94" s="33">
        <v>2.0833333333333332E-2</v>
      </c>
      <c r="Y94" s="113">
        <f t="shared" si="34"/>
        <v>0</v>
      </c>
      <c r="Z94" s="113">
        <f t="shared" si="35"/>
        <v>0</v>
      </c>
    </row>
    <row r="95" spans="1:26" outlineLevel="4" x14ac:dyDescent="0.25">
      <c r="A95" s="25" t="s">
        <v>384</v>
      </c>
      <c r="B95" s="26" t="s">
        <v>55</v>
      </c>
      <c r="C95" s="27">
        <v>1200000</v>
      </c>
      <c r="D95" s="27"/>
      <c r="E95" s="34"/>
      <c r="F95" s="30">
        <f t="shared" si="32"/>
        <v>1200000</v>
      </c>
      <c r="G95" s="31">
        <v>190000</v>
      </c>
      <c r="H95" s="27"/>
      <c r="I95" s="31">
        <v>190000</v>
      </c>
      <c r="J95" s="32">
        <f t="shared" si="28"/>
        <v>1010000</v>
      </c>
      <c r="K95" s="33">
        <f t="shared" si="29"/>
        <v>0.15833333333333333</v>
      </c>
      <c r="L95" s="113"/>
      <c r="M95" s="25" t="s">
        <v>384</v>
      </c>
      <c r="N95" s="26" t="s">
        <v>55</v>
      </c>
      <c r="O95" s="27">
        <v>1200000</v>
      </c>
      <c r="P95" s="27"/>
      <c r="Q95" s="34"/>
      <c r="R95" s="30">
        <v>1200000</v>
      </c>
      <c r="S95" s="31">
        <v>100000</v>
      </c>
      <c r="T95" s="27"/>
      <c r="U95" s="31">
        <v>190000</v>
      </c>
      <c r="V95" s="32">
        <v>1010000</v>
      </c>
      <c r="W95" s="33">
        <v>0.15833333333333333</v>
      </c>
      <c r="Y95" s="113">
        <f t="shared" si="34"/>
        <v>0</v>
      </c>
      <c r="Z95" s="113">
        <f t="shared" si="35"/>
        <v>0</v>
      </c>
    </row>
    <row r="96" spans="1:26" outlineLevel="4" x14ac:dyDescent="0.25">
      <c r="A96" s="25" t="s">
        <v>385</v>
      </c>
      <c r="B96" s="26" t="s">
        <v>56</v>
      </c>
      <c r="C96" s="27">
        <v>600000</v>
      </c>
      <c r="D96" s="27"/>
      <c r="E96" s="34"/>
      <c r="F96" s="30">
        <f t="shared" si="32"/>
        <v>600000</v>
      </c>
      <c r="G96" s="31"/>
      <c r="H96" s="27"/>
      <c r="I96" s="31"/>
      <c r="J96" s="32">
        <f t="shared" si="28"/>
        <v>600000</v>
      </c>
      <c r="K96" s="33">
        <f t="shared" si="29"/>
        <v>0</v>
      </c>
      <c r="L96" s="113"/>
      <c r="M96" s="25" t="s">
        <v>385</v>
      </c>
      <c r="N96" s="26" t="s">
        <v>56</v>
      </c>
      <c r="O96" s="27">
        <v>600000</v>
      </c>
      <c r="P96" s="27"/>
      <c r="Q96" s="34"/>
      <c r="R96" s="30">
        <v>600000</v>
      </c>
      <c r="S96" s="31"/>
      <c r="T96" s="27"/>
      <c r="U96" s="31"/>
      <c r="V96" s="32">
        <v>600000</v>
      </c>
      <c r="W96" s="33">
        <v>0</v>
      </c>
      <c r="Y96" s="113">
        <f t="shared" si="34"/>
        <v>0</v>
      </c>
      <c r="Z96" s="113">
        <f t="shared" si="35"/>
        <v>0</v>
      </c>
    </row>
    <row r="97" spans="1:26" outlineLevel="4" x14ac:dyDescent="0.25">
      <c r="A97" s="25" t="s">
        <v>386</v>
      </c>
      <c r="B97" s="26" t="s">
        <v>57</v>
      </c>
      <c r="C97" s="27">
        <v>28000000</v>
      </c>
      <c r="D97" s="27"/>
      <c r="E97" s="34"/>
      <c r="F97" s="30">
        <f t="shared" si="32"/>
        <v>28000000</v>
      </c>
      <c r="G97" s="31">
        <v>5428000</v>
      </c>
      <c r="H97" s="27">
        <v>480000</v>
      </c>
      <c r="I97" s="31">
        <v>5428000</v>
      </c>
      <c r="J97" s="32">
        <f t="shared" si="28"/>
        <v>22572000</v>
      </c>
      <c r="K97" s="33">
        <f t="shared" si="29"/>
        <v>0.19385714285714287</v>
      </c>
      <c r="L97" s="113"/>
      <c r="M97" s="25" t="s">
        <v>386</v>
      </c>
      <c r="N97" s="26" t="s">
        <v>57</v>
      </c>
      <c r="O97" s="27">
        <v>28000000</v>
      </c>
      <c r="P97" s="27"/>
      <c r="Q97" s="34"/>
      <c r="R97" s="30">
        <v>28000000</v>
      </c>
      <c r="S97" s="31">
        <v>4526000</v>
      </c>
      <c r="T97" s="27">
        <v>480000</v>
      </c>
      <c r="U97" s="31">
        <v>5428000</v>
      </c>
      <c r="V97" s="32">
        <v>22572000</v>
      </c>
      <c r="W97" s="33">
        <v>0.19385714285714287</v>
      </c>
      <c r="Y97" s="113">
        <f t="shared" si="34"/>
        <v>0</v>
      </c>
      <c r="Z97" s="113">
        <f t="shared" si="35"/>
        <v>0</v>
      </c>
    </row>
    <row r="98" spans="1:26" outlineLevel="4" x14ac:dyDescent="0.25">
      <c r="A98" s="25" t="s">
        <v>387</v>
      </c>
      <c r="B98" s="26" t="s">
        <v>58</v>
      </c>
      <c r="C98" s="27">
        <v>40000000</v>
      </c>
      <c r="D98" s="27"/>
      <c r="E98" s="34"/>
      <c r="F98" s="30">
        <f t="shared" si="32"/>
        <v>40000000</v>
      </c>
      <c r="G98" s="31">
        <v>4682000</v>
      </c>
      <c r="H98" s="27">
        <v>1252000</v>
      </c>
      <c r="I98" s="31">
        <v>4682000</v>
      </c>
      <c r="J98" s="32">
        <f t="shared" si="28"/>
        <v>35318000</v>
      </c>
      <c r="K98" s="33">
        <f t="shared" si="29"/>
        <v>0.11705</v>
      </c>
      <c r="L98" s="113"/>
      <c r="M98" s="25" t="s">
        <v>387</v>
      </c>
      <c r="N98" s="26" t="s">
        <v>58</v>
      </c>
      <c r="O98" s="27">
        <v>40000000</v>
      </c>
      <c r="P98" s="27"/>
      <c r="Q98" s="34"/>
      <c r="R98" s="30">
        <v>40000000</v>
      </c>
      <c r="S98" s="31">
        <v>1430000</v>
      </c>
      <c r="T98" s="27">
        <v>1252000</v>
      </c>
      <c r="U98" s="31">
        <v>4682000</v>
      </c>
      <c r="V98" s="32">
        <v>35318000</v>
      </c>
      <c r="W98" s="33">
        <v>0.11705</v>
      </c>
      <c r="Y98" s="113">
        <f t="shared" si="34"/>
        <v>0</v>
      </c>
      <c r="Z98" s="113">
        <f t="shared" si="35"/>
        <v>0</v>
      </c>
    </row>
    <row r="99" spans="1:26" outlineLevel="4" x14ac:dyDescent="0.25">
      <c r="A99" s="25" t="s">
        <v>388</v>
      </c>
      <c r="B99" s="26" t="s">
        <v>59</v>
      </c>
      <c r="C99" s="27">
        <v>12000000</v>
      </c>
      <c r="D99" s="27"/>
      <c r="E99" s="34"/>
      <c r="F99" s="30">
        <f t="shared" si="32"/>
        <v>12000000</v>
      </c>
      <c r="G99" s="31">
        <v>3943500</v>
      </c>
      <c r="H99" s="27">
        <v>1105000</v>
      </c>
      <c r="I99" s="31">
        <v>3943500</v>
      </c>
      <c r="J99" s="32">
        <f t="shared" si="28"/>
        <v>8056500</v>
      </c>
      <c r="K99" s="33">
        <f t="shared" si="29"/>
        <v>0.328625</v>
      </c>
      <c r="L99" s="113"/>
      <c r="M99" s="25" t="s">
        <v>388</v>
      </c>
      <c r="N99" s="26" t="s">
        <v>59</v>
      </c>
      <c r="O99" s="27">
        <v>12000000</v>
      </c>
      <c r="P99" s="27"/>
      <c r="Q99" s="34"/>
      <c r="R99" s="30">
        <v>12000000</v>
      </c>
      <c r="S99" s="31">
        <v>1946000</v>
      </c>
      <c r="T99" s="27">
        <v>1105000</v>
      </c>
      <c r="U99" s="31">
        <v>3943500</v>
      </c>
      <c r="V99" s="32">
        <v>8056500</v>
      </c>
      <c r="W99" s="33">
        <v>0.328625</v>
      </c>
      <c r="Y99" s="113">
        <f t="shared" si="34"/>
        <v>0</v>
      </c>
      <c r="Z99" s="113">
        <f t="shared" si="35"/>
        <v>0</v>
      </c>
    </row>
    <row r="100" spans="1:26" outlineLevel="4" x14ac:dyDescent="0.25">
      <c r="A100" s="25" t="s">
        <v>389</v>
      </c>
      <c r="B100" s="26" t="s">
        <v>60</v>
      </c>
      <c r="C100" s="27">
        <v>60000000</v>
      </c>
      <c r="D100" s="27"/>
      <c r="E100" s="34"/>
      <c r="F100" s="30">
        <f t="shared" si="32"/>
        <v>60000000</v>
      </c>
      <c r="G100" s="31">
        <v>19012500</v>
      </c>
      <c r="H100" s="27">
        <v>7828500</v>
      </c>
      <c r="I100" s="31">
        <v>19012500</v>
      </c>
      <c r="J100" s="32">
        <f t="shared" si="28"/>
        <v>40987500</v>
      </c>
      <c r="K100" s="33">
        <f t="shared" si="29"/>
        <v>0.31687500000000002</v>
      </c>
      <c r="L100" s="113"/>
      <c r="M100" s="25" t="s">
        <v>389</v>
      </c>
      <c r="N100" s="26" t="s">
        <v>60</v>
      </c>
      <c r="O100" s="27">
        <v>60000000</v>
      </c>
      <c r="P100" s="27"/>
      <c r="Q100" s="34"/>
      <c r="R100" s="30">
        <v>60000000</v>
      </c>
      <c r="S100" s="31">
        <v>11184000</v>
      </c>
      <c r="T100" s="27">
        <v>7828500</v>
      </c>
      <c r="U100" s="31">
        <v>19012500</v>
      </c>
      <c r="V100" s="32">
        <v>40987500</v>
      </c>
      <c r="W100" s="33">
        <v>0.31687500000000002</v>
      </c>
      <c r="Y100" s="113">
        <f t="shared" si="34"/>
        <v>0</v>
      </c>
      <c r="Z100" s="113">
        <f t="shared" si="35"/>
        <v>0</v>
      </c>
    </row>
    <row r="101" spans="1:26" outlineLevel="4" x14ac:dyDescent="0.25">
      <c r="A101" s="21">
        <v>11255</v>
      </c>
      <c r="B101" s="22" t="s">
        <v>874</v>
      </c>
      <c r="C101" s="23">
        <f>+C102</f>
        <v>0</v>
      </c>
      <c r="D101" s="23">
        <f t="shared" ref="D101:J101" si="40">+D102</f>
        <v>0</v>
      </c>
      <c r="E101" s="23">
        <f t="shared" si="40"/>
        <v>0</v>
      </c>
      <c r="F101" s="23">
        <f t="shared" si="40"/>
        <v>0</v>
      </c>
      <c r="G101" s="23">
        <f t="shared" si="40"/>
        <v>10854800</v>
      </c>
      <c r="H101" s="23">
        <f t="shared" si="40"/>
        <v>10854800</v>
      </c>
      <c r="I101" s="23">
        <f t="shared" si="40"/>
        <v>10854800</v>
      </c>
      <c r="J101" s="23">
        <f t="shared" si="40"/>
        <v>0</v>
      </c>
      <c r="K101" s="36" t="e">
        <f t="shared" si="29"/>
        <v>#DIV/0!</v>
      </c>
      <c r="L101" s="113"/>
      <c r="M101" s="21"/>
      <c r="N101" s="22"/>
      <c r="O101" s="23"/>
      <c r="P101" s="23"/>
      <c r="Q101" s="23"/>
      <c r="R101" s="23"/>
      <c r="S101" s="23"/>
      <c r="T101" s="23"/>
      <c r="U101" s="23"/>
      <c r="V101" s="23"/>
      <c r="W101" s="36"/>
      <c r="Y101" s="113">
        <f t="shared" si="34"/>
        <v>0</v>
      </c>
      <c r="Z101" s="113">
        <f t="shared" si="35"/>
        <v>0</v>
      </c>
    </row>
    <row r="102" spans="1:26" outlineLevel="4" x14ac:dyDescent="0.25">
      <c r="A102" s="25">
        <v>1125501</v>
      </c>
      <c r="B102" s="26" t="s">
        <v>873</v>
      </c>
      <c r="C102" s="27"/>
      <c r="D102" s="27"/>
      <c r="E102" s="34"/>
      <c r="F102" s="30">
        <f t="shared" ref="F102" si="41">+C102+D102</f>
        <v>0</v>
      </c>
      <c r="G102" s="31">
        <v>10854800</v>
      </c>
      <c r="H102" s="27">
        <v>10854800</v>
      </c>
      <c r="I102" s="31">
        <v>10854800</v>
      </c>
      <c r="J102" s="32"/>
      <c r="K102" s="33" t="e">
        <f t="shared" si="29"/>
        <v>#DIV/0!</v>
      </c>
      <c r="L102" s="113"/>
      <c r="M102" s="25"/>
      <c r="N102" s="26"/>
      <c r="O102" s="27"/>
      <c r="P102" s="27"/>
      <c r="Q102" s="34"/>
      <c r="R102" s="30"/>
      <c r="S102" s="31"/>
      <c r="T102" s="27">
        <v>10854800</v>
      </c>
      <c r="U102" s="31">
        <v>10854800</v>
      </c>
      <c r="V102" s="32"/>
      <c r="W102" s="33"/>
      <c r="Y102" s="113">
        <f t="shared" si="34"/>
        <v>0</v>
      </c>
      <c r="Z102" s="113">
        <f t="shared" si="35"/>
        <v>0</v>
      </c>
    </row>
    <row r="103" spans="1:26" outlineLevel="4" x14ac:dyDescent="0.25">
      <c r="A103" s="21" t="s">
        <v>390</v>
      </c>
      <c r="B103" s="22" t="s">
        <v>391</v>
      </c>
      <c r="C103" s="23">
        <f>SUM(C104)</f>
        <v>94000000</v>
      </c>
      <c r="D103" s="23">
        <f t="shared" ref="D103:J103" si="42">SUM(D104)</f>
        <v>0</v>
      </c>
      <c r="E103" s="23">
        <f t="shared" si="42"/>
        <v>0</v>
      </c>
      <c r="F103" s="23">
        <f t="shared" si="42"/>
        <v>94000000</v>
      </c>
      <c r="G103" s="23">
        <f t="shared" si="42"/>
        <v>48992686</v>
      </c>
      <c r="H103" s="23">
        <v>6971988</v>
      </c>
      <c r="I103" s="23">
        <v>48992686</v>
      </c>
      <c r="J103" s="23">
        <f t="shared" si="42"/>
        <v>45007314</v>
      </c>
      <c r="K103" s="36">
        <f t="shared" si="29"/>
        <v>0.52119878723404256</v>
      </c>
      <c r="L103" s="113"/>
      <c r="M103" s="21" t="s">
        <v>390</v>
      </c>
      <c r="N103" s="22" t="s">
        <v>391</v>
      </c>
      <c r="O103" s="23">
        <v>94000000</v>
      </c>
      <c r="P103" s="23">
        <v>0</v>
      </c>
      <c r="Q103" s="23">
        <v>0</v>
      </c>
      <c r="R103" s="23">
        <v>94000000</v>
      </c>
      <c r="S103" s="23">
        <v>8376760</v>
      </c>
      <c r="T103" s="23">
        <v>6971988</v>
      </c>
      <c r="U103" s="23">
        <v>48992686</v>
      </c>
      <c r="V103" s="23">
        <v>45007314</v>
      </c>
      <c r="W103" s="36">
        <v>0.52119878723404256</v>
      </c>
      <c r="Y103" s="113">
        <f t="shared" si="34"/>
        <v>0</v>
      </c>
      <c r="Z103" s="113">
        <f t="shared" si="35"/>
        <v>0</v>
      </c>
    </row>
    <row r="104" spans="1:26" s="20" customFormat="1" outlineLevel="3" x14ac:dyDescent="0.25">
      <c r="A104" s="25" t="s">
        <v>392</v>
      </c>
      <c r="B104" s="26" t="s">
        <v>393</v>
      </c>
      <c r="C104" s="27">
        <v>94000000</v>
      </c>
      <c r="D104" s="27"/>
      <c r="E104" s="34"/>
      <c r="F104" s="30">
        <f t="shared" si="32"/>
        <v>94000000</v>
      </c>
      <c r="G104" s="31">
        <v>48992686</v>
      </c>
      <c r="H104" s="27">
        <v>6971988</v>
      </c>
      <c r="I104" s="31">
        <v>48992686</v>
      </c>
      <c r="J104" s="32">
        <f t="shared" si="28"/>
        <v>45007314</v>
      </c>
      <c r="K104" s="33">
        <f t="shared" si="29"/>
        <v>0.52119878723404256</v>
      </c>
      <c r="L104" s="113"/>
      <c r="M104" s="25" t="s">
        <v>392</v>
      </c>
      <c r="N104" s="26" t="s">
        <v>393</v>
      </c>
      <c r="O104" s="27">
        <v>94000000</v>
      </c>
      <c r="P104" s="27"/>
      <c r="Q104" s="34"/>
      <c r="R104" s="30">
        <v>94000000</v>
      </c>
      <c r="S104" s="31">
        <v>8376760</v>
      </c>
      <c r="T104" s="27">
        <v>6971988</v>
      </c>
      <c r="U104" s="31">
        <v>48992686</v>
      </c>
      <c r="V104" s="32">
        <v>45007314</v>
      </c>
      <c r="W104" s="33">
        <v>0.52119878723404256</v>
      </c>
      <c r="Y104" s="113">
        <f t="shared" si="34"/>
        <v>0</v>
      </c>
      <c r="Z104" s="113">
        <f t="shared" si="35"/>
        <v>0</v>
      </c>
    </row>
    <row r="105" spans="1:26" s="20" customFormat="1" outlineLevel="3" x14ac:dyDescent="0.25">
      <c r="A105" s="16" t="s">
        <v>394</v>
      </c>
      <c r="B105" s="17" t="s">
        <v>395</v>
      </c>
      <c r="C105" s="18">
        <f>+C106+C107</f>
        <v>1252896796</v>
      </c>
      <c r="D105" s="18">
        <f t="shared" ref="D105:J105" si="43">+D106+D107</f>
        <v>0</v>
      </c>
      <c r="E105" s="18">
        <f t="shared" si="43"/>
        <v>0</v>
      </c>
      <c r="F105" s="18">
        <f t="shared" si="43"/>
        <v>1252896796</v>
      </c>
      <c r="G105" s="18">
        <f t="shared" si="43"/>
        <v>246998228</v>
      </c>
      <c r="H105" s="18">
        <v>133600824</v>
      </c>
      <c r="I105" s="18">
        <v>246998228</v>
      </c>
      <c r="J105" s="18">
        <f t="shared" si="43"/>
        <v>1076909595</v>
      </c>
      <c r="K105" s="19">
        <f t="shared" si="29"/>
        <v>0.19714171892574622</v>
      </c>
      <c r="L105" s="113"/>
      <c r="M105" s="16" t="s">
        <v>394</v>
      </c>
      <c r="N105" s="17" t="s">
        <v>395</v>
      </c>
      <c r="O105" s="18">
        <v>1252896796</v>
      </c>
      <c r="P105" s="18">
        <v>0</v>
      </c>
      <c r="Q105" s="18">
        <v>0</v>
      </c>
      <c r="R105" s="18">
        <v>1252896796</v>
      </c>
      <c r="S105" s="18">
        <v>60105139</v>
      </c>
      <c r="T105" s="18">
        <v>133600824</v>
      </c>
      <c r="U105" s="18">
        <v>246998228</v>
      </c>
      <c r="V105" s="18">
        <v>1076909595</v>
      </c>
      <c r="W105" s="19">
        <v>0.19714171892574622</v>
      </c>
      <c r="Y105" s="113">
        <f t="shared" si="34"/>
        <v>0</v>
      </c>
      <c r="Z105" s="113">
        <f t="shared" si="35"/>
        <v>0</v>
      </c>
    </row>
    <row r="106" spans="1:26" outlineLevel="4" x14ac:dyDescent="0.25">
      <c r="A106" s="16" t="s">
        <v>396</v>
      </c>
      <c r="B106" s="17" t="s">
        <v>397</v>
      </c>
      <c r="C106" s="18"/>
      <c r="D106" s="18"/>
      <c r="E106" s="18"/>
      <c r="F106" s="18">
        <f t="shared" ref="F106" si="44">+C106+D106</f>
        <v>0</v>
      </c>
      <c r="G106" s="18">
        <v>71011027</v>
      </c>
      <c r="H106" s="18">
        <v>71011027</v>
      </c>
      <c r="I106" s="18">
        <v>71011027</v>
      </c>
      <c r="J106" s="18"/>
      <c r="K106" s="19" t="e">
        <f t="shared" si="29"/>
        <v>#DIV/0!</v>
      </c>
      <c r="L106" s="113"/>
      <c r="M106" s="16" t="s">
        <v>396</v>
      </c>
      <c r="N106" s="17" t="s">
        <v>397</v>
      </c>
      <c r="O106" s="18"/>
      <c r="P106" s="18"/>
      <c r="Q106" s="18"/>
      <c r="R106" s="18"/>
      <c r="S106" s="18"/>
      <c r="T106" s="18">
        <v>71011027</v>
      </c>
      <c r="U106" s="18">
        <v>71011027</v>
      </c>
      <c r="V106" s="18"/>
      <c r="W106" s="19" t="e">
        <v>#DIV/0!</v>
      </c>
      <c r="Y106" s="113">
        <f t="shared" si="34"/>
        <v>0</v>
      </c>
      <c r="Z106" s="113">
        <f t="shared" si="35"/>
        <v>0</v>
      </c>
    </row>
    <row r="107" spans="1:26" outlineLevel="4" x14ac:dyDescent="0.25">
      <c r="A107" s="16" t="s">
        <v>398</v>
      </c>
      <c r="B107" s="17" t="s">
        <v>399</v>
      </c>
      <c r="C107" s="18">
        <f>+C108</f>
        <v>1252896796</v>
      </c>
      <c r="D107" s="18">
        <f t="shared" ref="D107:J107" si="45">+D108</f>
        <v>0</v>
      </c>
      <c r="E107" s="18">
        <f t="shared" si="45"/>
        <v>0</v>
      </c>
      <c r="F107" s="18">
        <f t="shared" si="45"/>
        <v>1252896796</v>
      </c>
      <c r="G107" s="18">
        <f t="shared" si="45"/>
        <v>175987201</v>
      </c>
      <c r="H107" s="18">
        <v>62589797</v>
      </c>
      <c r="I107" s="18">
        <v>175987201</v>
      </c>
      <c r="J107" s="18">
        <f t="shared" si="45"/>
        <v>1076909595</v>
      </c>
      <c r="K107" s="19">
        <f t="shared" si="29"/>
        <v>0.14046424379235142</v>
      </c>
      <c r="L107" s="113"/>
      <c r="M107" s="16" t="s">
        <v>398</v>
      </c>
      <c r="N107" s="17" t="s">
        <v>399</v>
      </c>
      <c r="O107" s="18">
        <v>1252896796</v>
      </c>
      <c r="P107" s="18">
        <v>0</v>
      </c>
      <c r="Q107" s="18">
        <v>0</v>
      </c>
      <c r="R107" s="18">
        <v>1252896796</v>
      </c>
      <c r="S107" s="18">
        <v>60105139</v>
      </c>
      <c r="T107" s="18">
        <v>62589797</v>
      </c>
      <c r="U107" s="18">
        <v>175987201</v>
      </c>
      <c r="V107" s="18">
        <v>1076909595</v>
      </c>
      <c r="W107" s="19"/>
      <c r="Y107" s="113">
        <f t="shared" si="34"/>
        <v>0</v>
      </c>
      <c r="Z107" s="113">
        <f t="shared" si="35"/>
        <v>0</v>
      </c>
    </row>
    <row r="108" spans="1:26" outlineLevel="4" x14ac:dyDescent="0.25">
      <c r="A108" s="21" t="s">
        <v>400</v>
      </c>
      <c r="B108" s="22" t="s">
        <v>401</v>
      </c>
      <c r="C108" s="23">
        <f>+C109+C110+C123</f>
        <v>1252896796</v>
      </c>
      <c r="D108" s="23">
        <f t="shared" ref="D108:J108" si="46">+D109+D110+D123</f>
        <v>0</v>
      </c>
      <c r="E108" s="23">
        <f t="shared" si="46"/>
        <v>0</v>
      </c>
      <c r="F108" s="23">
        <f t="shared" si="46"/>
        <v>1252896796</v>
      </c>
      <c r="G108" s="23">
        <f t="shared" si="46"/>
        <v>175987201</v>
      </c>
      <c r="H108" s="23">
        <v>62589797</v>
      </c>
      <c r="I108" s="23">
        <v>175987201</v>
      </c>
      <c r="J108" s="23">
        <f t="shared" si="46"/>
        <v>1076909595</v>
      </c>
      <c r="K108" s="36">
        <f t="shared" si="29"/>
        <v>0.14046424379235142</v>
      </c>
      <c r="L108" s="113"/>
      <c r="M108" s="21" t="s">
        <v>400</v>
      </c>
      <c r="N108" s="22" t="s">
        <v>401</v>
      </c>
      <c r="O108" s="23">
        <v>1252896796</v>
      </c>
      <c r="P108" s="23">
        <v>0</v>
      </c>
      <c r="Q108" s="23">
        <v>0</v>
      </c>
      <c r="R108" s="23">
        <v>1252896796</v>
      </c>
      <c r="S108" s="23">
        <v>60105139</v>
      </c>
      <c r="T108" s="23">
        <v>62589797</v>
      </c>
      <c r="U108" s="23">
        <v>175987201</v>
      </c>
      <c r="V108" s="23">
        <v>1076909595</v>
      </c>
      <c r="W108" s="36">
        <v>0.14046424379235142</v>
      </c>
      <c r="Y108" s="113">
        <f t="shared" si="34"/>
        <v>0</v>
      </c>
      <c r="Z108" s="113">
        <f t="shared" si="35"/>
        <v>0</v>
      </c>
    </row>
    <row r="109" spans="1:26" outlineLevel="4" x14ac:dyDescent="0.25">
      <c r="A109" s="25" t="s">
        <v>402</v>
      </c>
      <c r="B109" s="26" t="s">
        <v>403</v>
      </c>
      <c r="C109" s="27">
        <v>60000000</v>
      </c>
      <c r="D109" s="27"/>
      <c r="E109" s="34"/>
      <c r="F109" s="30">
        <f t="shared" si="32"/>
        <v>60000000</v>
      </c>
      <c r="G109" s="31"/>
      <c r="H109" s="27"/>
      <c r="I109" s="31"/>
      <c r="J109" s="32">
        <f t="shared" si="28"/>
        <v>60000000</v>
      </c>
      <c r="K109" s="33">
        <f t="shared" si="29"/>
        <v>0</v>
      </c>
      <c r="L109" s="113"/>
      <c r="M109" s="25" t="s">
        <v>402</v>
      </c>
      <c r="N109" s="26" t="s">
        <v>403</v>
      </c>
      <c r="O109" s="27">
        <v>60000000</v>
      </c>
      <c r="P109" s="27"/>
      <c r="Q109" s="34"/>
      <c r="R109" s="30">
        <v>60000000</v>
      </c>
      <c r="S109" s="31"/>
      <c r="T109" s="27"/>
      <c r="U109" s="31"/>
      <c r="V109" s="32">
        <v>60000000</v>
      </c>
      <c r="W109" s="33">
        <v>0</v>
      </c>
      <c r="Y109" s="113">
        <f t="shared" si="34"/>
        <v>0</v>
      </c>
      <c r="Z109" s="113">
        <f t="shared" si="35"/>
        <v>0</v>
      </c>
    </row>
    <row r="110" spans="1:26" outlineLevel="4" x14ac:dyDescent="0.25">
      <c r="A110" s="21" t="s">
        <v>404</v>
      </c>
      <c r="B110" s="22" t="s">
        <v>405</v>
      </c>
      <c r="C110" s="23">
        <f>SUM(C111:C122)</f>
        <v>1192896796</v>
      </c>
      <c r="D110" s="23">
        <f t="shared" ref="D110:J110" si="47">SUM(D111:D122)</f>
        <v>0</v>
      </c>
      <c r="E110" s="23">
        <f t="shared" si="47"/>
        <v>0</v>
      </c>
      <c r="F110" s="23">
        <f t="shared" si="47"/>
        <v>1192896796</v>
      </c>
      <c r="G110" s="23">
        <f t="shared" si="47"/>
        <v>165891634</v>
      </c>
      <c r="H110" s="23">
        <v>59579203</v>
      </c>
      <c r="I110" s="23">
        <v>165891634</v>
      </c>
      <c r="J110" s="23">
        <f t="shared" si="47"/>
        <v>1027005162</v>
      </c>
      <c r="K110" s="36">
        <f t="shared" si="29"/>
        <v>0.13906620803766498</v>
      </c>
      <c r="L110" s="113"/>
      <c r="M110" s="21" t="s">
        <v>404</v>
      </c>
      <c r="N110" s="22" t="s">
        <v>405</v>
      </c>
      <c r="O110" s="23">
        <v>1192896796</v>
      </c>
      <c r="P110" s="23">
        <v>0</v>
      </c>
      <c r="Q110" s="23">
        <v>0</v>
      </c>
      <c r="R110" s="23">
        <v>1192896796</v>
      </c>
      <c r="S110" s="23">
        <v>56733054</v>
      </c>
      <c r="T110" s="23">
        <v>59579203</v>
      </c>
      <c r="U110" s="23">
        <v>165891634</v>
      </c>
      <c r="V110" s="23">
        <v>1027005162</v>
      </c>
      <c r="W110" s="36">
        <v>0.13906620803766498</v>
      </c>
      <c r="Y110" s="113">
        <f t="shared" si="34"/>
        <v>0</v>
      </c>
      <c r="Z110" s="113">
        <f t="shared" si="35"/>
        <v>0</v>
      </c>
    </row>
    <row r="111" spans="1:26" outlineLevel="4" x14ac:dyDescent="0.25">
      <c r="A111" s="25" t="s">
        <v>406</v>
      </c>
      <c r="B111" s="26" t="s">
        <v>407</v>
      </c>
      <c r="C111" s="27">
        <v>63999996</v>
      </c>
      <c r="D111" s="27"/>
      <c r="E111" s="34"/>
      <c r="F111" s="30">
        <f t="shared" si="32"/>
        <v>63999996</v>
      </c>
      <c r="G111" s="31">
        <v>34456496</v>
      </c>
      <c r="H111" s="27">
        <v>16488727</v>
      </c>
      <c r="I111" s="31">
        <v>34456496</v>
      </c>
      <c r="J111" s="32">
        <f t="shared" si="28"/>
        <v>29543500</v>
      </c>
      <c r="K111" s="33">
        <f t="shared" si="29"/>
        <v>0.538382783648924</v>
      </c>
      <c r="L111" s="113"/>
      <c r="M111" s="25" t="s">
        <v>406</v>
      </c>
      <c r="N111" s="26" t="s">
        <v>407</v>
      </c>
      <c r="O111" s="27">
        <v>63999996</v>
      </c>
      <c r="P111" s="27"/>
      <c r="Q111" s="34"/>
      <c r="R111" s="30">
        <v>63999996</v>
      </c>
      <c r="S111" s="31"/>
      <c r="T111" s="27">
        <v>16488727</v>
      </c>
      <c r="U111" s="31">
        <v>34456496</v>
      </c>
      <c r="V111" s="32">
        <v>29543500</v>
      </c>
      <c r="W111" s="33">
        <v>0.538382783648924</v>
      </c>
      <c r="Y111" s="113">
        <f t="shared" si="34"/>
        <v>0</v>
      </c>
      <c r="Z111" s="113">
        <f t="shared" si="35"/>
        <v>0</v>
      </c>
    </row>
    <row r="112" spans="1:26" outlineLevel="4" x14ac:dyDescent="0.25">
      <c r="A112" s="25" t="s">
        <v>408</v>
      </c>
      <c r="B112" s="26" t="s">
        <v>409</v>
      </c>
      <c r="C112" s="27">
        <v>164736000</v>
      </c>
      <c r="D112" s="27"/>
      <c r="E112" s="34"/>
      <c r="F112" s="30">
        <f t="shared" si="32"/>
        <v>164736000</v>
      </c>
      <c r="G112" s="31">
        <v>41784019</v>
      </c>
      <c r="H112" s="27">
        <v>22522221</v>
      </c>
      <c r="I112" s="31">
        <v>41784019</v>
      </c>
      <c r="J112" s="32">
        <f t="shared" si="28"/>
        <v>122951981</v>
      </c>
      <c r="K112" s="33">
        <f t="shared" si="29"/>
        <v>0.25364230647824398</v>
      </c>
      <c r="L112" s="113"/>
      <c r="M112" s="25" t="s">
        <v>408</v>
      </c>
      <c r="N112" s="26" t="s">
        <v>409</v>
      </c>
      <c r="O112" s="27">
        <v>164736000</v>
      </c>
      <c r="P112" s="27"/>
      <c r="Q112" s="34"/>
      <c r="R112" s="30">
        <v>164736000</v>
      </c>
      <c r="S112" s="31">
        <v>10842496</v>
      </c>
      <c r="T112" s="27">
        <v>22522221</v>
      </c>
      <c r="U112" s="31">
        <v>41784019</v>
      </c>
      <c r="V112" s="32">
        <v>122951981</v>
      </c>
      <c r="W112" s="33">
        <v>0.25364230647824398</v>
      </c>
      <c r="Y112" s="113">
        <f t="shared" si="34"/>
        <v>0</v>
      </c>
      <c r="Z112" s="113">
        <f t="shared" si="35"/>
        <v>0</v>
      </c>
    </row>
    <row r="113" spans="1:26" outlineLevel="4" x14ac:dyDescent="0.25">
      <c r="A113" s="25" t="s">
        <v>410</v>
      </c>
      <c r="B113" s="26" t="s">
        <v>411</v>
      </c>
      <c r="C113" s="27">
        <v>47712000</v>
      </c>
      <c r="D113" s="27"/>
      <c r="E113" s="34"/>
      <c r="F113" s="30">
        <f t="shared" si="32"/>
        <v>47712000</v>
      </c>
      <c r="G113" s="31">
        <v>20892981</v>
      </c>
      <c r="H113" s="27">
        <v>5488964</v>
      </c>
      <c r="I113" s="31">
        <v>20892981</v>
      </c>
      <c r="J113" s="32">
        <f t="shared" si="28"/>
        <v>26819019</v>
      </c>
      <c r="K113" s="33">
        <f t="shared" si="29"/>
        <v>0.43789782444668007</v>
      </c>
      <c r="L113" s="113"/>
      <c r="M113" s="25" t="s">
        <v>410</v>
      </c>
      <c r="N113" s="26" t="s">
        <v>411</v>
      </c>
      <c r="O113" s="27">
        <v>47712000</v>
      </c>
      <c r="P113" s="27"/>
      <c r="Q113" s="34"/>
      <c r="R113" s="30">
        <v>47712000</v>
      </c>
      <c r="S113" s="31">
        <v>8569672</v>
      </c>
      <c r="T113" s="27">
        <v>5488964</v>
      </c>
      <c r="U113" s="31">
        <v>20892981</v>
      </c>
      <c r="V113" s="32">
        <v>26819019</v>
      </c>
      <c r="W113" s="33">
        <v>0.43789782444668007</v>
      </c>
      <c r="Y113" s="113">
        <f t="shared" si="34"/>
        <v>0</v>
      </c>
      <c r="Z113" s="113">
        <f t="shared" si="35"/>
        <v>0</v>
      </c>
    </row>
    <row r="114" spans="1:26" outlineLevel="4" x14ac:dyDescent="0.25">
      <c r="A114" s="25" t="s">
        <v>412</v>
      </c>
      <c r="B114" s="26" t="s">
        <v>413</v>
      </c>
      <c r="C114" s="27">
        <v>48000000</v>
      </c>
      <c r="D114" s="27"/>
      <c r="E114" s="34"/>
      <c r="F114" s="30">
        <f t="shared" si="32"/>
        <v>48000000</v>
      </c>
      <c r="G114" s="31">
        <v>4904887</v>
      </c>
      <c r="H114" s="27">
        <v>1844269</v>
      </c>
      <c r="I114" s="31">
        <v>4904887</v>
      </c>
      <c r="J114" s="32">
        <f t="shared" si="28"/>
        <v>43095113</v>
      </c>
      <c r="K114" s="33">
        <f t="shared" si="29"/>
        <v>0.10218514583333334</v>
      </c>
      <c r="L114" s="113"/>
      <c r="M114" s="25" t="s">
        <v>412</v>
      </c>
      <c r="N114" s="26" t="s">
        <v>413</v>
      </c>
      <c r="O114" s="27">
        <v>48000000</v>
      </c>
      <c r="P114" s="27"/>
      <c r="Q114" s="34"/>
      <c r="R114" s="30">
        <v>48000000</v>
      </c>
      <c r="S114" s="31">
        <v>1060797</v>
      </c>
      <c r="T114" s="27">
        <v>1844269</v>
      </c>
      <c r="U114" s="31">
        <v>4904887</v>
      </c>
      <c r="V114" s="32">
        <v>43095113</v>
      </c>
      <c r="W114" s="33">
        <v>0.10218514583333334</v>
      </c>
      <c r="Y114" s="113">
        <f t="shared" si="34"/>
        <v>0</v>
      </c>
      <c r="Z114" s="113">
        <f t="shared" si="35"/>
        <v>0</v>
      </c>
    </row>
    <row r="115" spans="1:26" outlineLevel="4" x14ac:dyDescent="0.25">
      <c r="A115" s="25" t="s">
        <v>414</v>
      </c>
      <c r="B115" s="26" t="s">
        <v>415</v>
      </c>
      <c r="C115" s="27">
        <v>132099996</v>
      </c>
      <c r="D115" s="27"/>
      <c r="E115" s="34"/>
      <c r="F115" s="30">
        <f t="shared" si="32"/>
        <v>132099996</v>
      </c>
      <c r="G115" s="31">
        <v>27912370</v>
      </c>
      <c r="H115" s="27">
        <v>7293231</v>
      </c>
      <c r="I115" s="31">
        <v>27912370</v>
      </c>
      <c r="J115" s="32">
        <f t="shared" si="28"/>
        <v>104187626</v>
      </c>
      <c r="K115" s="33">
        <f t="shared" si="29"/>
        <v>0.21129728118992525</v>
      </c>
      <c r="L115" s="113"/>
      <c r="M115" s="25" t="s">
        <v>414</v>
      </c>
      <c r="N115" s="26" t="s">
        <v>415</v>
      </c>
      <c r="O115" s="27">
        <v>132099996</v>
      </c>
      <c r="P115" s="27"/>
      <c r="Q115" s="34"/>
      <c r="R115" s="30">
        <v>132099996</v>
      </c>
      <c r="S115" s="31">
        <v>11733612</v>
      </c>
      <c r="T115" s="27">
        <v>7293231</v>
      </c>
      <c r="U115" s="31">
        <v>27912370</v>
      </c>
      <c r="V115" s="32">
        <v>104187626</v>
      </c>
      <c r="W115" s="33">
        <v>0.21129728118992525</v>
      </c>
      <c r="Y115" s="113">
        <f t="shared" si="34"/>
        <v>0</v>
      </c>
      <c r="Z115" s="113">
        <f t="shared" si="35"/>
        <v>0</v>
      </c>
    </row>
    <row r="116" spans="1:26" outlineLevel="4" x14ac:dyDescent="0.25">
      <c r="A116" s="25" t="s">
        <v>416</v>
      </c>
      <c r="B116" s="26" t="s">
        <v>417</v>
      </c>
      <c r="C116" s="27">
        <v>168000000</v>
      </c>
      <c r="D116" s="27"/>
      <c r="E116" s="34"/>
      <c r="F116" s="30">
        <f t="shared" si="32"/>
        <v>168000000</v>
      </c>
      <c r="G116" s="31">
        <v>15030426</v>
      </c>
      <c r="H116" s="27">
        <v>3375024</v>
      </c>
      <c r="I116" s="31">
        <v>15030426</v>
      </c>
      <c r="J116" s="32">
        <f t="shared" si="28"/>
        <v>152969574</v>
      </c>
      <c r="K116" s="33">
        <f t="shared" si="29"/>
        <v>8.946682142857143E-2</v>
      </c>
      <c r="L116" s="113"/>
      <c r="M116" s="25" t="s">
        <v>416</v>
      </c>
      <c r="N116" s="26" t="s">
        <v>417</v>
      </c>
      <c r="O116" s="27">
        <v>168000000</v>
      </c>
      <c r="P116" s="27"/>
      <c r="Q116" s="34"/>
      <c r="R116" s="30">
        <v>168000000</v>
      </c>
      <c r="S116" s="31">
        <v>6180786</v>
      </c>
      <c r="T116" s="27">
        <v>3375024</v>
      </c>
      <c r="U116" s="31">
        <v>15030426</v>
      </c>
      <c r="V116" s="32">
        <v>152969574</v>
      </c>
      <c r="W116" s="33">
        <v>8.946682142857143E-2</v>
      </c>
      <c r="Y116" s="113">
        <f t="shared" si="34"/>
        <v>0</v>
      </c>
      <c r="Z116" s="113">
        <f t="shared" si="35"/>
        <v>0</v>
      </c>
    </row>
    <row r="117" spans="1:26" outlineLevel="4" x14ac:dyDescent="0.25">
      <c r="A117" s="25" t="s">
        <v>418</v>
      </c>
      <c r="B117" s="26" t="s">
        <v>419</v>
      </c>
      <c r="C117" s="27">
        <v>99840000</v>
      </c>
      <c r="D117" s="27"/>
      <c r="E117" s="34"/>
      <c r="F117" s="30">
        <f t="shared" si="32"/>
        <v>99840000</v>
      </c>
      <c r="G117" s="31"/>
      <c r="H117" s="27"/>
      <c r="I117" s="31"/>
      <c r="J117" s="32">
        <f t="shared" si="28"/>
        <v>99840000</v>
      </c>
      <c r="K117" s="33">
        <f t="shared" si="29"/>
        <v>0</v>
      </c>
      <c r="L117" s="113"/>
      <c r="M117" s="25" t="s">
        <v>418</v>
      </c>
      <c r="N117" s="26" t="s">
        <v>419</v>
      </c>
      <c r="O117" s="27">
        <v>99840000</v>
      </c>
      <c r="P117" s="27"/>
      <c r="Q117" s="34"/>
      <c r="R117" s="30">
        <v>99840000</v>
      </c>
      <c r="S117" s="31"/>
      <c r="T117" s="27"/>
      <c r="U117" s="31"/>
      <c r="V117" s="32">
        <v>99840000</v>
      </c>
      <c r="W117" s="33">
        <v>0</v>
      </c>
      <c r="Y117" s="113">
        <f t="shared" si="34"/>
        <v>0</v>
      </c>
      <c r="Z117" s="113">
        <f t="shared" si="35"/>
        <v>0</v>
      </c>
    </row>
    <row r="118" spans="1:26" outlineLevel="3" x14ac:dyDescent="0.25">
      <c r="A118" s="25" t="s">
        <v>420</v>
      </c>
      <c r="B118" s="26" t="s">
        <v>421</v>
      </c>
      <c r="C118" s="27">
        <v>50400000</v>
      </c>
      <c r="D118" s="27"/>
      <c r="E118" s="34"/>
      <c r="F118" s="30">
        <f t="shared" si="32"/>
        <v>50400000</v>
      </c>
      <c r="G118" s="31"/>
      <c r="H118" s="27"/>
      <c r="I118" s="31"/>
      <c r="J118" s="32">
        <f t="shared" si="28"/>
        <v>50400000</v>
      </c>
      <c r="K118" s="33">
        <f t="shared" si="29"/>
        <v>0</v>
      </c>
      <c r="L118" s="113"/>
      <c r="M118" s="25" t="s">
        <v>420</v>
      </c>
      <c r="N118" s="26" t="s">
        <v>421</v>
      </c>
      <c r="O118" s="27">
        <v>50400000</v>
      </c>
      <c r="P118" s="27"/>
      <c r="Q118" s="34"/>
      <c r="R118" s="30">
        <v>50400000</v>
      </c>
      <c r="S118" s="31"/>
      <c r="T118" s="27"/>
      <c r="U118" s="31"/>
      <c r="V118" s="32">
        <v>50400000</v>
      </c>
      <c r="W118" s="33">
        <v>0</v>
      </c>
      <c r="Y118" s="113">
        <f t="shared" si="34"/>
        <v>0</v>
      </c>
      <c r="Z118" s="113">
        <f t="shared" si="35"/>
        <v>0</v>
      </c>
    </row>
    <row r="119" spans="1:26" outlineLevel="4" x14ac:dyDescent="0.25">
      <c r="A119" s="25" t="s">
        <v>422</v>
      </c>
      <c r="B119" s="26" t="s">
        <v>423</v>
      </c>
      <c r="C119" s="27">
        <v>36108804</v>
      </c>
      <c r="D119" s="27"/>
      <c r="E119" s="34"/>
      <c r="F119" s="30">
        <f t="shared" si="32"/>
        <v>36108804</v>
      </c>
      <c r="G119" s="31">
        <v>144245</v>
      </c>
      <c r="H119" s="27">
        <v>23797</v>
      </c>
      <c r="I119" s="31">
        <v>144245</v>
      </c>
      <c r="J119" s="32">
        <f t="shared" si="28"/>
        <v>35964559</v>
      </c>
      <c r="K119" s="33">
        <f t="shared" si="29"/>
        <v>3.9947321434406968E-3</v>
      </c>
      <c r="L119" s="113"/>
      <c r="M119" s="25" t="s">
        <v>422</v>
      </c>
      <c r="N119" s="26" t="s">
        <v>423</v>
      </c>
      <c r="O119" s="27">
        <v>36108804</v>
      </c>
      <c r="P119" s="27"/>
      <c r="Q119" s="34"/>
      <c r="R119" s="30">
        <v>36108804</v>
      </c>
      <c r="S119" s="31">
        <v>22451</v>
      </c>
      <c r="T119" s="27">
        <v>23797</v>
      </c>
      <c r="U119" s="31">
        <v>144245</v>
      </c>
      <c r="V119" s="32">
        <v>35964559</v>
      </c>
      <c r="W119" s="33">
        <v>3.9947321434406968E-3</v>
      </c>
      <c r="Y119" s="113">
        <f t="shared" si="34"/>
        <v>0</v>
      </c>
      <c r="Z119" s="113">
        <f t="shared" si="35"/>
        <v>0</v>
      </c>
    </row>
    <row r="120" spans="1:26" outlineLevel="4" x14ac:dyDescent="0.25">
      <c r="A120" s="25" t="s">
        <v>424</v>
      </c>
      <c r="B120" s="26" t="s">
        <v>425</v>
      </c>
      <c r="C120" s="27">
        <v>220000000</v>
      </c>
      <c r="D120" s="27"/>
      <c r="E120" s="34"/>
      <c r="F120" s="30">
        <f>+C120+D120</f>
        <v>220000000</v>
      </c>
      <c r="G120" s="31">
        <v>20766210</v>
      </c>
      <c r="H120" s="27">
        <v>2542970</v>
      </c>
      <c r="I120" s="31">
        <v>20766210</v>
      </c>
      <c r="J120" s="32">
        <f>SUM(F120-I120)</f>
        <v>199233790</v>
      </c>
      <c r="K120" s="33">
        <f t="shared" si="29"/>
        <v>9.4391863636363635E-2</v>
      </c>
      <c r="L120" s="113"/>
      <c r="M120" s="25" t="s">
        <v>424</v>
      </c>
      <c r="N120" s="26" t="s">
        <v>425</v>
      </c>
      <c r="O120" s="27">
        <v>220000000</v>
      </c>
      <c r="P120" s="27"/>
      <c r="Q120" s="34"/>
      <c r="R120" s="30">
        <v>220000000</v>
      </c>
      <c r="S120" s="31">
        <v>18323240</v>
      </c>
      <c r="T120" s="27">
        <v>2542970</v>
      </c>
      <c r="U120" s="31">
        <v>20766210</v>
      </c>
      <c r="V120" s="32">
        <v>199233790</v>
      </c>
      <c r="W120" s="33">
        <v>9.4391863636363635E-2</v>
      </c>
      <c r="Y120" s="113">
        <f t="shared" si="34"/>
        <v>0</v>
      </c>
      <c r="Z120" s="113">
        <f t="shared" si="35"/>
        <v>0</v>
      </c>
    </row>
    <row r="121" spans="1:26" outlineLevel="4" x14ac:dyDescent="0.25">
      <c r="A121" s="25" t="s">
        <v>426</v>
      </c>
      <c r="B121" s="26" t="s">
        <v>427</v>
      </c>
      <c r="C121" s="27">
        <v>12000000</v>
      </c>
      <c r="D121" s="27"/>
      <c r="E121" s="34"/>
      <c r="F121" s="30">
        <f>+C121+D121</f>
        <v>12000000</v>
      </c>
      <c r="G121" s="31"/>
      <c r="H121" s="27"/>
      <c r="I121" s="31"/>
      <c r="J121" s="32">
        <f>SUM(F121-I121)</f>
        <v>12000000</v>
      </c>
      <c r="K121" s="33">
        <f t="shared" si="29"/>
        <v>0</v>
      </c>
      <c r="L121" s="113"/>
      <c r="M121" s="25" t="s">
        <v>426</v>
      </c>
      <c r="N121" s="26" t="s">
        <v>427</v>
      </c>
      <c r="O121" s="27">
        <v>12000000</v>
      </c>
      <c r="P121" s="27"/>
      <c r="Q121" s="34"/>
      <c r="R121" s="30">
        <v>12000000</v>
      </c>
      <c r="S121" s="31"/>
      <c r="T121" s="27"/>
      <c r="U121" s="31"/>
      <c r="V121" s="32">
        <v>12000000</v>
      </c>
      <c r="W121" s="33">
        <v>0</v>
      </c>
      <c r="Y121" s="113">
        <f t="shared" si="34"/>
        <v>0</v>
      </c>
      <c r="Z121" s="113">
        <f t="shared" si="35"/>
        <v>0</v>
      </c>
    </row>
    <row r="122" spans="1:26" outlineLevel="4" x14ac:dyDescent="0.25">
      <c r="A122" s="25" t="s">
        <v>428</v>
      </c>
      <c r="B122" s="26" t="s">
        <v>429</v>
      </c>
      <c r="C122" s="27">
        <v>150000000</v>
      </c>
      <c r="D122" s="27"/>
      <c r="E122" s="34"/>
      <c r="F122" s="30">
        <f>+C122+D122</f>
        <v>150000000</v>
      </c>
      <c r="G122" s="31"/>
      <c r="H122" s="27"/>
      <c r="I122" s="31"/>
      <c r="J122" s="32">
        <f>SUM(F122-I122)</f>
        <v>150000000</v>
      </c>
      <c r="K122" s="33">
        <f t="shared" si="29"/>
        <v>0</v>
      </c>
      <c r="L122" s="113"/>
      <c r="M122" s="25" t="s">
        <v>428</v>
      </c>
      <c r="N122" s="26" t="s">
        <v>429</v>
      </c>
      <c r="O122" s="27">
        <v>150000000</v>
      </c>
      <c r="P122" s="27"/>
      <c r="Q122" s="34"/>
      <c r="R122" s="30">
        <v>150000000</v>
      </c>
      <c r="S122" s="31"/>
      <c r="T122" s="27"/>
      <c r="U122" s="31"/>
      <c r="V122" s="32">
        <v>150000000</v>
      </c>
      <c r="W122" s="33">
        <v>0</v>
      </c>
      <c r="Y122" s="113">
        <f t="shared" si="34"/>
        <v>0</v>
      </c>
      <c r="Z122" s="113">
        <f t="shared" si="35"/>
        <v>0</v>
      </c>
    </row>
    <row r="123" spans="1:26" outlineLevel="4" x14ac:dyDescent="0.25">
      <c r="A123" s="25" t="s">
        <v>430</v>
      </c>
      <c r="B123" s="26" t="s">
        <v>431</v>
      </c>
      <c r="C123" s="27"/>
      <c r="D123" s="27"/>
      <c r="E123" s="34"/>
      <c r="F123" s="30">
        <f t="shared" si="32"/>
        <v>0</v>
      </c>
      <c r="G123" s="31">
        <v>10095567</v>
      </c>
      <c r="H123" s="27">
        <v>3010594</v>
      </c>
      <c r="I123" s="31">
        <v>10095567</v>
      </c>
      <c r="J123" s="32">
        <f t="shared" si="28"/>
        <v>-10095567</v>
      </c>
      <c r="K123" s="33" t="e">
        <f t="shared" si="29"/>
        <v>#DIV/0!</v>
      </c>
      <c r="L123" s="113"/>
      <c r="M123" s="25" t="s">
        <v>430</v>
      </c>
      <c r="N123" s="26" t="s">
        <v>431</v>
      </c>
      <c r="O123" s="27"/>
      <c r="P123" s="27"/>
      <c r="Q123" s="34"/>
      <c r="R123" s="30">
        <v>0</v>
      </c>
      <c r="S123" s="31">
        <v>3372085</v>
      </c>
      <c r="T123" s="27">
        <v>3010594</v>
      </c>
      <c r="U123" s="31">
        <v>10095567</v>
      </c>
      <c r="V123" s="32">
        <v>-10095567</v>
      </c>
      <c r="W123" s="33" t="e">
        <v>#DIV/0!</v>
      </c>
      <c r="Y123" s="113">
        <f t="shared" si="34"/>
        <v>0</v>
      </c>
      <c r="Z123" s="113">
        <f t="shared" si="35"/>
        <v>0</v>
      </c>
    </row>
    <row r="124" spans="1:26" outlineLevel="4" x14ac:dyDescent="0.25">
      <c r="A124" s="12" t="s">
        <v>432</v>
      </c>
      <c r="B124" s="13" t="s">
        <v>433</v>
      </c>
      <c r="C124" s="14">
        <f>+C125+C139+C141</f>
        <v>81745252610</v>
      </c>
      <c r="D124" s="14">
        <f t="shared" ref="D124:J124" si="48">+D125+D139+D141</f>
        <v>793207514</v>
      </c>
      <c r="E124" s="14">
        <f t="shared" si="48"/>
        <v>0</v>
      </c>
      <c r="F124" s="14">
        <f t="shared" si="48"/>
        <v>82538460124</v>
      </c>
      <c r="G124" s="14">
        <f t="shared" si="48"/>
        <v>17191229388.419998</v>
      </c>
      <c r="H124" s="14">
        <v>4356423034.4200001</v>
      </c>
      <c r="I124" s="14">
        <v>17191229388.419998</v>
      </c>
      <c r="J124" s="14">
        <f t="shared" si="48"/>
        <v>64347966493</v>
      </c>
      <c r="K124" s="15">
        <f t="shared" si="29"/>
        <v>0.20828144070767857</v>
      </c>
      <c r="L124" s="113"/>
      <c r="M124" s="12" t="s">
        <v>432</v>
      </c>
      <c r="N124" s="13" t="s">
        <v>433</v>
      </c>
      <c r="O124" s="14">
        <v>81745252610</v>
      </c>
      <c r="P124" s="14">
        <v>793207514</v>
      </c>
      <c r="Q124" s="14">
        <v>0</v>
      </c>
      <c r="R124" s="14">
        <v>82538460124</v>
      </c>
      <c r="S124" s="14">
        <v>4275804192</v>
      </c>
      <c r="T124" s="14">
        <v>4356423034.4200001</v>
      </c>
      <c r="U124" s="14">
        <v>17191229388.419998</v>
      </c>
      <c r="V124" s="14">
        <v>64347966493</v>
      </c>
      <c r="W124" s="15">
        <v>0.20828144070767857</v>
      </c>
      <c r="Y124" s="113">
        <f t="shared" si="34"/>
        <v>0</v>
      </c>
      <c r="Z124" s="113">
        <f t="shared" si="35"/>
        <v>0</v>
      </c>
    </row>
    <row r="125" spans="1:26" outlineLevel="4" x14ac:dyDescent="0.25">
      <c r="A125" s="16" t="s">
        <v>434</v>
      </c>
      <c r="B125" s="17" t="s">
        <v>435</v>
      </c>
      <c r="C125" s="18">
        <f>+C126</f>
        <v>80649929936</v>
      </c>
      <c r="D125" s="18">
        <f t="shared" ref="D125:J125" si="49">+D126</f>
        <v>0</v>
      </c>
      <c r="E125" s="18">
        <f t="shared" si="49"/>
        <v>0</v>
      </c>
      <c r="F125" s="18">
        <f t="shared" si="49"/>
        <v>80649929936</v>
      </c>
      <c r="G125" s="18">
        <f t="shared" si="49"/>
        <v>16270255692.42</v>
      </c>
      <c r="H125" s="18">
        <v>4246648034.4200001</v>
      </c>
      <c r="I125" s="18">
        <v>16270255692.42</v>
      </c>
      <c r="J125" s="18">
        <f t="shared" si="49"/>
        <v>63252643819</v>
      </c>
      <c r="K125" s="19">
        <f t="shared" si="29"/>
        <v>0.20173924150127981</v>
      </c>
      <c r="L125" s="113"/>
      <c r="M125" s="16" t="s">
        <v>434</v>
      </c>
      <c r="N125" s="17" t="s">
        <v>435</v>
      </c>
      <c r="O125" s="18">
        <v>80649929936</v>
      </c>
      <c r="P125" s="18">
        <v>0</v>
      </c>
      <c r="Q125" s="18">
        <v>0</v>
      </c>
      <c r="R125" s="18">
        <v>80649929936</v>
      </c>
      <c r="S125" s="18">
        <v>4007869219</v>
      </c>
      <c r="T125" s="18">
        <v>4246648034.4200001</v>
      </c>
      <c r="U125" s="18">
        <v>16270255692.42</v>
      </c>
      <c r="V125" s="18">
        <v>63252643819</v>
      </c>
      <c r="W125" s="19">
        <v>0.20173924150127981</v>
      </c>
      <c r="Y125" s="113">
        <f t="shared" si="34"/>
        <v>0</v>
      </c>
      <c r="Z125" s="113">
        <f t="shared" si="35"/>
        <v>0</v>
      </c>
    </row>
    <row r="126" spans="1:26" outlineLevel="4" x14ac:dyDescent="0.25">
      <c r="A126" s="21" t="s">
        <v>436</v>
      </c>
      <c r="B126" s="22" t="s">
        <v>437</v>
      </c>
      <c r="C126" s="23">
        <f>SUM(C127:C133)</f>
        <v>80649929936</v>
      </c>
      <c r="D126" s="23">
        <f t="shared" ref="D126:J126" si="50">SUM(D127:D133)</f>
        <v>0</v>
      </c>
      <c r="E126" s="23">
        <f t="shared" si="50"/>
        <v>0</v>
      </c>
      <c r="F126" s="23">
        <f t="shared" si="50"/>
        <v>80649929936</v>
      </c>
      <c r="G126" s="23">
        <f t="shared" si="50"/>
        <v>16270255692.42</v>
      </c>
      <c r="H126" s="23">
        <v>4246648034.4200001</v>
      </c>
      <c r="I126" s="23">
        <v>16270255692.42</v>
      </c>
      <c r="J126" s="23">
        <f t="shared" si="50"/>
        <v>63252643819</v>
      </c>
      <c r="K126" s="36">
        <f t="shared" si="29"/>
        <v>0.20173924150127981</v>
      </c>
      <c r="L126" s="113"/>
      <c r="M126" s="21" t="s">
        <v>436</v>
      </c>
      <c r="N126" s="22" t="s">
        <v>437</v>
      </c>
      <c r="O126" s="23">
        <v>80649929936</v>
      </c>
      <c r="P126" s="23">
        <v>0</v>
      </c>
      <c r="Q126" s="23">
        <v>0</v>
      </c>
      <c r="R126" s="23">
        <v>80649929936</v>
      </c>
      <c r="S126" s="23">
        <v>4007869219</v>
      </c>
      <c r="T126" s="23">
        <v>4246648034.4200001</v>
      </c>
      <c r="U126" s="23">
        <v>16270255692.42</v>
      </c>
      <c r="V126" s="23">
        <v>63252643819</v>
      </c>
      <c r="W126" s="36">
        <v>0.20173924150127981</v>
      </c>
      <c r="Y126" s="113">
        <f t="shared" si="34"/>
        <v>0</v>
      </c>
      <c r="Z126" s="113">
        <f t="shared" si="35"/>
        <v>0</v>
      </c>
    </row>
    <row r="127" spans="1:26" outlineLevel="4" x14ac:dyDescent="0.25">
      <c r="A127" s="25" t="s">
        <v>438</v>
      </c>
      <c r="B127" s="26" t="s">
        <v>439</v>
      </c>
      <c r="C127" s="27">
        <v>62787807977</v>
      </c>
      <c r="D127" s="27"/>
      <c r="E127" s="34"/>
      <c r="F127" s="30">
        <f t="shared" si="32"/>
        <v>62787807977</v>
      </c>
      <c r="G127" s="31">
        <v>16031476877</v>
      </c>
      <c r="H127" s="27">
        <v>4007869219</v>
      </c>
      <c r="I127" s="31">
        <v>16031476877</v>
      </c>
      <c r="J127" s="32">
        <f t="shared" si="28"/>
        <v>46756331100</v>
      </c>
      <c r="K127" s="33">
        <f t="shared" si="29"/>
        <v>0.25532786369724103</v>
      </c>
      <c r="L127" s="113">
        <f>+H127*15</f>
        <v>60118038285</v>
      </c>
      <c r="M127" s="25" t="s">
        <v>438</v>
      </c>
      <c r="N127" s="26" t="s">
        <v>439</v>
      </c>
      <c r="O127" s="27">
        <v>62787807977</v>
      </c>
      <c r="P127" s="27"/>
      <c r="Q127" s="34"/>
      <c r="R127" s="30">
        <v>62787807977</v>
      </c>
      <c r="S127" s="31">
        <v>4007869219</v>
      </c>
      <c r="T127" s="27">
        <v>4007869219</v>
      </c>
      <c r="U127" s="31">
        <v>16031476877</v>
      </c>
      <c r="V127" s="32">
        <v>46756331100</v>
      </c>
      <c r="W127" s="33">
        <v>0.25532786369724103</v>
      </c>
      <c r="Y127" s="113">
        <f t="shared" si="34"/>
        <v>0</v>
      </c>
      <c r="Z127" s="113">
        <f t="shared" si="35"/>
        <v>0</v>
      </c>
    </row>
    <row r="128" spans="1:26" outlineLevel="4" x14ac:dyDescent="0.25">
      <c r="A128" s="25" t="s">
        <v>440</v>
      </c>
      <c r="B128" s="26" t="s">
        <v>441</v>
      </c>
      <c r="C128" s="27">
        <v>1334382815</v>
      </c>
      <c r="D128" s="27"/>
      <c r="E128" s="34"/>
      <c r="F128" s="30">
        <f t="shared" si="32"/>
        <v>1334382815</v>
      </c>
      <c r="G128" s="31"/>
      <c r="H128" s="27"/>
      <c r="I128" s="31"/>
      <c r="J128" s="32">
        <f t="shared" si="28"/>
        <v>1334382815</v>
      </c>
      <c r="K128" s="33">
        <f t="shared" si="29"/>
        <v>0</v>
      </c>
      <c r="L128" s="113">
        <v>2924365843</v>
      </c>
      <c r="M128" s="25" t="s">
        <v>440</v>
      </c>
      <c r="N128" s="26" t="s">
        <v>441</v>
      </c>
      <c r="O128" s="27">
        <v>1334382815</v>
      </c>
      <c r="P128" s="27"/>
      <c r="Q128" s="34"/>
      <c r="R128" s="30">
        <v>1334382815</v>
      </c>
      <c r="S128" s="31"/>
      <c r="T128" s="27"/>
      <c r="U128" s="31"/>
      <c r="V128" s="32">
        <v>1334382815</v>
      </c>
      <c r="W128" s="33">
        <v>0</v>
      </c>
      <c r="Y128" s="113">
        <f t="shared" si="34"/>
        <v>0</v>
      </c>
      <c r="Z128" s="113">
        <f t="shared" si="35"/>
        <v>0</v>
      </c>
    </row>
    <row r="129" spans="1:26" outlineLevel="4" x14ac:dyDescent="0.25">
      <c r="A129" s="25" t="s">
        <v>442</v>
      </c>
      <c r="B129" s="26" t="s">
        <v>443</v>
      </c>
      <c r="C129" s="27">
        <v>956870000</v>
      </c>
      <c r="D129" s="27"/>
      <c r="E129" s="34"/>
      <c r="F129" s="30">
        <f t="shared" si="32"/>
        <v>956870000</v>
      </c>
      <c r="G129" s="31"/>
      <c r="H129" s="27"/>
      <c r="I129" s="31"/>
      <c r="J129" s="32">
        <f t="shared" si="28"/>
        <v>956870000</v>
      </c>
      <c r="K129" s="33">
        <f t="shared" si="29"/>
        <v>0</v>
      </c>
      <c r="L129" s="113">
        <f>+L128+L127</f>
        <v>63042404128</v>
      </c>
      <c r="M129" s="25" t="s">
        <v>442</v>
      </c>
      <c r="N129" s="26" t="s">
        <v>443</v>
      </c>
      <c r="O129" s="27">
        <v>956870000</v>
      </c>
      <c r="P129" s="27"/>
      <c r="Q129" s="34"/>
      <c r="R129" s="30">
        <v>956870000</v>
      </c>
      <c r="S129" s="31"/>
      <c r="T129" s="27"/>
      <c r="U129" s="31"/>
      <c r="V129" s="32">
        <v>956870000</v>
      </c>
      <c r="W129" s="33">
        <v>0</v>
      </c>
      <c r="Y129" s="113">
        <f t="shared" si="34"/>
        <v>0</v>
      </c>
      <c r="Z129" s="113">
        <f t="shared" si="35"/>
        <v>0</v>
      </c>
    </row>
    <row r="130" spans="1:26" outlineLevel="4" x14ac:dyDescent="0.25">
      <c r="A130" s="25" t="s">
        <v>444</v>
      </c>
      <c r="B130" s="26" t="s">
        <v>445</v>
      </c>
      <c r="C130" s="27">
        <v>2500000000</v>
      </c>
      <c r="D130" s="27"/>
      <c r="E130" s="34"/>
      <c r="F130" s="30">
        <f t="shared" si="32"/>
        <v>2500000000</v>
      </c>
      <c r="G130" s="31"/>
      <c r="H130" s="27"/>
      <c r="I130" s="31"/>
      <c r="J130" s="32">
        <f t="shared" ref="J130:J172" si="51">SUM(F130-I130)</f>
        <v>2500000000</v>
      </c>
      <c r="K130" s="33">
        <f t="shared" si="29"/>
        <v>0</v>
      </c>
      <c r="L130" s="113">
        <f>+F127-L129</f>
        <v>-254596151</v>
      </c>
      <c r="M130" s="25" t="s">
        <v>444</v>
      </c>
      <c r="N130" s="26" t="s">
        <v>445</v>
      </c>
      <c r="O130" s="27">
        <v>2500000000</v>
      </c>
      <c r="P130" s="27"/>
      <c r="Q130" s="34"/>
      <c r="R130" s="30">
        <v>2500000000</v>
      </c>
      <c r="S130" s="31"/>
      <c r="T130" s="27"/>
      <c r="U130" s="31"/>
      <c r="V130" s="32">
        <v>2500000000</v>
      </c>
      <c r="W130" s="33">
        <v>0</v>
      </c>
      <c r="Y130" s="113">
        <f t="shared" si="34"/>
        <v>0</v>
      </c>
      <c r="Z130" s="113">
        <f t="shared" si="35"/>
        <v>0</v>
      </c>
    </row>
    <row r="131" spans="1:26" outlineLevel="4" x14ac:dyDescent="0.25">
      <c r="A131" s="25" t="s">
        <v>446</v>
      </c>
      <c r="B131" s="26" t="s">
        <v>447</v>
      </c>
      <c r="C131" s="27">
        <v>3200000000</v>
      </c>
      <c r="D131" s="27"/>
      <c r="E131" s="34"/>
      <c r="F131" s="30">
        <f t="shared" si="32"/>
        <v>3200000000</v>
      </c>
      <c r="G131" s="31"/>
      <c r="H131" s="27"/>
      <c r="I131" s="31"/>
      <c r="J131" s="32">
        <f t="shared" si="51"/>
        <v>3200000000</v>
      </c>
      <c r="K131" s="33">
        <f t="shared" si="29"/>
        <v>0</v>
      </c>
      <c r="L131" s="113"/>
      <c r="M131" s="25" t="s">
        <v>446</v>
      </c>
      <c r="N131" s="26" t="s">
        <v>447</v>
      </c>
      <c r="O131" s="27">
        <v>3200000000</v>
      </c>
      <c r="P131" s="27"/>
      <c r="Q131" s="34"/>
      <c r="R131" s="30">
        <v>3200000000</v>
      </c>
      <c r="S131" s="31"/>
      <c r="T131" s="27"/>
      <c r="U131" s="31"/>
      <c r="V131" s="32">
        <v>3200000000</v>
      </c>
      <c r="W131" s="33">
        <v>0</v>
      </c>
      <c r="Y131" s="113">
        <f t="shared" si="34"/>
        <v>0</v>
      </c>
      <c r="Z131" s="113">
        <f t="shared" si="35"/>
        <v>0</v>
      </c>
    </row>
    <row r="132" spans="1:26" outlineLevel="4" x14ac:dyDescent="0.25">
      <c r="A132" s="25" t="s">
        <v>448</v>
      </c>
      <c r="B132" s="26" t="s">
        <v>449</v>
      </c>
      <c r="C132" s="27">
        <v>8505059904</v>
      </c>
      <c r="D132" s="27"/>
      <c r="E132" s="34"/>
      <c r="F132" s="30">
        <f t="shared" si="32"/>
        <v>8505059904</v>
      </c>
      <c r="G132" s="31"/>
      <c r="H132" s="27"/>
      <c r="I132" s="31"/>
      <c r="J132" s="32">
        <f t="shared" si="51"/>
        <v>8505059904</v>
      </c>
      <c r="K132" s="33">
        <f t="shared" si="29"/>
        <v>0</v>
      </c>
      <c r="L132" s="113"/>
      <c r="M132" s="25" t="s">
        <v>448</v>
      </c>
      <c r="N132" s="26" t="s">
        <v>449</v>
      </c>
      <c r="O132" s="27">
        <v>8505059904</v>
      </c>
      <c r="P132" s="27"/>
      <c r="Q132" s="34"/>
      <c r="R132" s="30">
        <v>8505059904</v>
      </c>
      <c r="S132" s="31"/>
      <c r="T132" s="27"/>
      <c r="U132" s="31"/>
      <c r="V132" s="32">
        <v>8505059904</v>
      </c>
      <c r="W132" s="33">
        <v>0</v>
      </c>
      <c r="Y132" s="113">
        <f t="shared" si="34"/>
        <v>0</v>
      </c>
      <c r="Z132" s="113">
        <f t="shared" si="35"/>
        <v>0</v>
      </c>
    </row>
    <row r="133" spans="1:26" outlineLevel="4" x14ac:dyDescent="0.25">
      <c r="A133" s="16" t="s">
        <v>450</v>
      </c>
      <c r="B133" s="17" t="s">
        <v>451</v>
      </c>
      <c r="C133" s="18">
        <f>+C134</f>
        <v>1365809240</v>
      </c>
      <c r="D133" s="18">
        <f t="shared" ref="D133:J134" si="52">+D134</f>
        <v>0</v>
      </c>
      <c r="E133" s="18">
        <f t="shared" si="52"/>
        <v>0</v>
      </c>
      <c r="F133" s="18">
        <f t="shared" si="52"/>
        <v>1365809240</v>
      </c>
      <c r="G133" s="18">
        <f t="shared" si="52"/>
        <v>238778815.41999999</v>
      </c>
      <c r="H133" s="18">
        <v>238778815.41999999</v>
      </c>
      <c r="I133" s="18">
        <v>238778815.41999999</v>
      </c>
      <c r="J133" s="18">
        <f t="shared" si="52"/>
        <v>0</v>
      </c>
      <c r="K133" s="19">
        <f t="shared" si="29"/>
        <v>0.17482588960959144</v>
      </c>
      <c r="L133" s="113"/>
      <c r="M133" s="16" t="s">
        <v>450</v>
      </c>
      <c r="N133" s="17" t="s">
        <v>451</v>
      </c>
      <c r="O133" s="18">
        <v>1365809240</v>
      </c>
      <c r="P133" s="18">
        <v>0</v>
      </c>
      <c r="Q133" s="18">
        <v>0</v>
      </c>
      <c r="R133" s="18">
        <v>1365809240</v>
      </c>
      <c r="S133" s="18">
        <v>0</v>
      </c>
      <c r="T133" s="18">
        <v>238778815.41999999</v>
      </c>
      <c r="U133" s="18">
        <v>238778815.41999999</v>
      </c>
      <c r="V133" s="18">
        <v>0</v>
      </c>
      <c r="W133" s="19">
        <v>0.17482588960959144</v>
      </c>
      <c r="Y133" s="113">
        <f t="shared" si="34"/>
        <v>0</v>
      </c>
      <c r="Z133" s="113">
        <f t="shared" si="35"/>
        <v>0</v>
      </c>
    </row>
    <row r="134" spans="1:26" outlineLevel="4" x14ac:dyDescent="0.25">
      <c r="A134" s="16" t="s">
        <v>452</v>
      </c>
      <c r="B134" s="17" t="s">
        <v>453</v>
      </c>
      <c r="C134" s="18">
        <f>+C135</f>
        <v>1365809240</v>
      </c>
      <c r="D134" s="18">
        <f t="shared" si="52"/>
        <v>0</v>
      </c>
      <c r="E134" s="18">
        <f t="shared" si="52"/>
        <v>0</v>
      </c>
      <c r="F134" s="18">
        <f t="shared" si="52"/>
        <v>1365809240</v>
      </c>
      <c r="G134" s="18">
        <f t="shared" si="52"/>
        <v>238778815.41999999</v>
      </c>
      <c r="H134" s="18">
        <v>238778815.41999999</v>
      </c>
      <c r="I134" s="18">
        <v>238778815.41999999</v>
      </c>
      <c r="J134" s="18">
        <f t="shared" si="52"/>
        <v>0</v>
      </c>
      <c r="K134" s="19">
        <f t="shared" ref="K134:K175" si="53">+I134/F134</f>
        <v>0.17482588960959144</v>
      </c>
      <c r="L134" s="113"/>
      <c r="M134" s="16" t="s">
        <v>452</v>
      </c>
      <c r="N134" s="17" t="s">
        <v>453</v>
      </c>
      <c r="O134" s="18">
        <v>1365809240</v>
      </c>
      <c r="P134" s="18">
        <v>0</v>
      </c>
      <c r="Q134" s="18">
        <v>0</v>
      </c>
      <c r="R134" s="18">
        <v>1365809240</v>
      </c>
      <c r="S134" s="18">
        <v>0</v>
      </c>
      <c r="T134" s="18">
        <v>238778815.41999999</v>
      </c>
      <c r="U134" s="18">
        <v>238778815.41999999</v>
      </c>
      <c r="V134" s="18">
        <v>0</v>
      </c>
      <c r="W134" s="19">
        <v>0.17482588960959144</v>
      </c>
      <c r="Y134" s="113">
        <f t="shared" si="34"/>
        <v>0</v>
      </c>
      <c r="Z134" s="113">
        <f t="shared" si="35"/>
        <v>0</v>
      </c>
    </row>
    <row r="135" spans="1:26" outlineLevel="4" x14ac:dyDescent="0.25">
      <c r="A135" s="21" t="s">
        <v>454</v>
      </c>
      <c r="B135" s="22" t="s">
        <v>455</v>
      </c>
      <c r="C135" s="23">
        <f>+C136+C137+C138</f>
        <v>1365809240</v>
      </c>
      <c r="D135" s="23">
        <f t="shared" ref="D135:J135" si="54">+D136+D137+D138</f>
        <v>0</v>
      </c>
      <c r="E135" s="23">
        <f t="shared" si="54"/>
        <v>0</v>
      </c>
      <c r="F135" s="23">
        <f t="shared" si="54"/>
        <v>1365809240</v>
      </c>
      <c r="G135" s="23">
        <f t="shared" si="54"/>
        <v>238778815.41999999</v>
      </c>
      <c r="H135" s="23">
        <v>238778815.41999999</v>
      </c>
      <c r="I135" s="23">
        <v>238778815.41999999</v>
      </c>
      <c r="J135" s="23">
        <f t="shared" si="54"/>
        <v>0</v>
      </c>
      <c r="K135" s="36">
        <f t="shared" si="53"/>
        <v>0.17482588960959144</v>
      </c>
      <c r="L135" s="113"/>
      <c r="M135" s="21" t="s">
        <v>454</v>
      </c>
      <c r="N135" s="22" t="s">
        <v>455</v>
      </c>
      <c r="O135" s="23">
        <v>1365809240</v>
      </c>
      <c r="P135" s="23">
        <v>0</v>
      </c>
      <c r="Q135" s="23">
        <v>0</v>
      </c>
      <c r="R135" s="23">
        <v>1365809240</v>
      </c>
      <c r="S135" s="23">
        <v>0</v>
      </c>
      <c r="T135" s="23">
        <v>238778815.41999999</v>
      </c>
      <c r="U135" s="23">
        <v>238778815.41999999</v>
      </c>
      <c r="V135" s="23">
        <v>0</v>
      </c>
      <c r="W135" s="36">
        <v>0.17482588960959144</v>
      </c>
      <c r="Y135" s="113">
        <f t="shared" si="34"/>
        <v>0</v>
      </c>
      <c r="Z135" s="113">
        <f t="shared" si="35"/>
        <v>0</v>
      </c>
    </row>
    <row r="136" spans="1:26" outlineLevel="4" x14ac:dyDescent="0.25">
      <c r="A136" s="25" t="s">
        <v>456</v>
      </c>
      <c r="B136" s="26" t="s">
        <v>457</v>
      </c>
      <c r="C136" s="27">
        <v>515924814</v>
      </c>
      <c r="D136" s="27"/>
      <c r="E136" s="34"/>
      <c r="F136" s="30">
        <f t="shared" si="32"/>
        <v>515924814</v>
      </c>
      <c r="G136" s="31">
        <v>238778815.41999999</v>
      </c>
      <c r="H136" s="27">
        <v>238778815.41999999</v>
      </c>
      <c r="I136" s="31">
        <v>238778815.41999999</v>
      </c>
      <c r="J136" s="32"/>
      <c r="K136" s="33">
        <f t="shared" si="53"/>
        <v>0.46281707904051306</v>
      </c>
      <c r="L136" s="113"/>
      <c r="M136" s="25" t="s">
        <v>456</v>
      </c>
      <c r="N136" s="26" t="s">
        <v>457</v>
      </c>
      <c r="O136" s="27">
        <v>515924814</v>
      </c>
      <c r="P136" s="27"/>
      <c r="Q136" s="34"/>
      <c r="R136" s="30">
        <v>515924814</v>
      </c>
      <c r="S136" s="31"/>
      <c r="T136" s="27">
        <v>238778815.41999999</v>
      </c>
      <c r="U136" s="31">
        <v>238778815.41999999</v>
      </c>
      <c r="V136" s="32"/>
      <c r="W136" s="33">
        <v>0.46281707904051306</v>
      </c>
      <c r="Y136" s="113">
        <f t="shared" si="34"/>
        <v>0</v>
      </c>
      <c r="Z136" s="113">
        <f t="shared" si="35"/>
        <v>0</v>
      </c>
    </row>
    <row r="137" spans="1:26" outlineLevel="4" x14ac:dyDescent="0.25">
      <c r="A137" s="25" t="s">
        <v>458</v>
      </c>
      <c r="B137" s="26" t="s">
        <v>459</v>
      </c>
      <c r="C137" s="27">
        <v>474667785</v>
      </c>
      <c r="D137" s="27"/>
      <c r="E137" s="34"/>
      <c r="F137" s="30">
        <f t="shared" si="32"/>
        <v>474667785</v>
      </c>
      <c r="G137" s="31"/>
      <c r="H137" s="27"/>
      <c r="I137" s="31"/>
      <c r="J137" s="32"/>
      <c r="K137" s="33">
        <f t="shared" si="53"/>
        <v>0</v>
      </c>
      <c r="L137" s="113"/>
      <c r="M137" s="25" t="s">
        <v>458</v>
      </c>
      <c r="N137" s="26" t="s">
        <v>459</v>
      </c>
      <c r="O137" s="27">
        <v>474667785</v>
      </c>
      <c r="P137" s="27"/>
      <c r="Q137" s="34"/>
      <c r="R137" s="30">
        <v>474667785</v>
      </c>
      <c r="S137" s="31"/>
      <c r="T137" s="27"/>
      <c r="U137" s="31"/>
      <c r="V137" s="32"/>
      <c r="W137" s="33">
        <v>0</v>
      </c>
      <c r="Y137" s="113">
        <f t="shared" si="34"/>
        <v>0</v>
      </c>
      <c r="Z137" s="113">
        <f t="shared" si="35"/>
        <v>0</v>
      </c>
    </row>
    <row r="138" spans="1:26" outlineLevel="4" x14ac:dyDescent="0.25">
      <c r="A138" s="25" t="s">
        <v>460</v>
      </c>
      <c r="B138" s="26" t="s">
        <v>461</v>
      </c>
      <c r="C138" s="27">
        <v>375216641</v>
      </c>
      <c r="D138" s="27"/>
      <c r="E138" s="34"/>
      <c r="F138" s="30">
        <f t="shared" si="32"/>
        <v>375216641</v>
      </c>
      <c r="G138" s="31"/>
      <c r="H138" s="27"/>
      <c r="I138" s="31"/>
      <c r="J138" s="32"/>
      <c r="K138" s="33">
        <f t="shared" si="53"/>
        <v>0</v>
      </c>
      <c r="L138" s="113"/>
      <c r="M138" s="25" t="s">
        <v>460</v>
      </c>
      <c r="N138" s="26" t="s">
        <v>461</v>
      </c>
      <c r="O138" s="27">
        <v>375216641</v>
      </c>
      <c r="P138" s="27"/>
      <c r="Q138" s="34"/>
      <c r="R138" s="30">
        <v>375216641</v>
      </c>
      <c r="S138" s="31"/>
      <c r="T138" s="27"/>
      <c r="U138" s="31"/>
      <c r="V138" s="32"/>
      <c r="W138" s="33">
        <v>0</v>
      </c>
      <c r="Y138" s="113">
        <f t="shared" si="34"/>
        <v>0</v>
      </c>
      <c r="Z138" s="113">
        <f t="shared" si="35"/>
        <v>0</v>
      </c>
    </row>
    <row r="139" spans="1:26" outlineLevel="3" x14ac:dyDescent="0.25">
      <c r="A139" s="16" t="s">
        <v>462</v>
      </c>
      <c r="B139" s="17" t="s">
        <v>463</v>
      </c>
      <c r="C139" s="18">
        <f>+C140</f>
        <v>1095322674</v>
      </c>
      <c r="D139" s="18">
        <f t="shared" ref="D139:J139" si="55">+D140</f>
        <v>0</v>
      </c>
      <c r="E139" s="18">
        <f t="shared" si="55"/>
        <v>0</v>
      </c>
      <c r="F139" s="18">
        <f t="shared" si="55"/>
        <v>1095322674</v>
      </c>
      <c r="G139" s="18">
        <f t="shared" si="55"/>
        <v>0</v>
      </c>
      <c r="H139" s="18">
        <v>0</v>
      </c>
      <c r="I139" s="18">
        <v>0</v>
      </c>
      <c r="J139" s="18">
        <f t="shared" si="55"/>
        <v>1095322674</v>
      </c>
      <c r="K139" s="19">
        <f t="shared" si="53"/>
        <v>0</v>
      </c>
      <c r="L139" s="113"/>
      <c r="M139" s="16" t="s">
        <v>462</v>
      </c>
      <c r="N139" s="17" t="s">
        <v>463</v>
      </c>
      <c r="O139" s="18">
        <v>1095322674</v>
      </c>
      <c r="P139" s="18">
        <v>0</v>
      </c>
      <c r="Q139" s="18">
        <v>0</v>
      </c>
      <c r="R139" s="18">
        <v>1095322674</v>
      </c>
      <c r="S139" s="18">
        <v>0</v>
      </c>
      <c r="T139" s="18">
        <v>0</v>
      </c>
      <c r="U139" s="18">
        <v>0</v>
      </c>
      <c r="V139" s="18">
        <v>1095322674</v>
      </c>
      <c r="W139" s="19">
        <v>0</v>
      </c>
      <c r="Y139" s="113">
        <f t="shared" si="34"/>
        <v>0</v>
      </c>
      <c r="Z139" s="113">
        <f t="shared" si="35"/>
        <v>0</v>
      </c>
    </row>
    <row r="140" spans="1:26" outlineLevel="3" x14ac:dyDescent="0.25">
      <c r="A140" s="25" t="s">
        <v>464</v>
      </c>
      <c r="B140" s="26" t="s">
        <v>465</v>
      </c>
      <c r="C140" s="27">
        <v>1095322674</v>
      </c>
      <c r="D140" s="27"/>
      <c r="E140" s="34"/>
      <c r="F140" s="30">
        <f t="shared" si="32"/>
        <v>1095322674</v>
      </c>
      <c r="G140" s="31"/>
      <c r="H140" s="27"/>
      <c r="I140" s="31"/>
      <c r="J140" s="32">
        <f t="shared" si="51"/>
        <v>1095322674</v>
      </c>
      <c r="K140" s="33">
        <f t="shared" si="53"/>
        <v>0</v>
      </c>
      <c r="L140" s="113"/>
      <c r="M140" s="25" t="s">
        <v>464</v>
      </c>
      <c r="N140" s="26" t="s">
        <v>465</v>
      </c>
      <c r="O140" s="27">
        <v>1095322674</v>
      </c>
      <c r="P140" s="27"/>
      <c r="Q140" s="34"/>
      <c r="R140" s="30">
        <v>1095322674</v>
      </c>
      <c r="S140" s="31"/>
      <c r="T140" s="27"/>
      <c r="U140" s="31"/>
      <c r="V140" s="32">
        <v>1095322674</v>
      </c>
      <c r="W140" s="33">
        <v>0</v>
      </c>
      <c r="Y140" s="113">
        <f t="shared" si="34"/>
        <v>0</v>
      </c>
      <c r="Z140" s="113">
        <f t="shared" si="35"/>
        <v>0</v>
      </c>
    </row>
    <row r="141" spans="1:26" outlineLevel="4" x14ac:dyDescent="0.25">
      <c r="A141" s="16" t="s">
        <v>466</v>
      </c>
      <c r="B141" s="17" t="s">
        <v>467</v>
      </c>
      <c r="C141" s="18">
        <f>+C142</f>
        <v>0</v>
      </c>
      <c r="D141" s="18">
        <f t="shared" ref="D141:J142" si="56">+D142</f>
        <v>793207514</v>
      </c>
      <c r="E141" s="18">
        <f t="shared" si="56"/>
        <v>0</v>
      </c>
      <c r="F141" s="18">
        <f t="shared" si="56"/>
        <v>793207514</v>
      </c>
      <c r="G141" s="18">
        <f t="shared" si="56"/>
        <v>920973696</v>
      </c>
      <c r="H141" s="18">
        <v>109775000</v>
      </c>
      <c r="I141" s="18">
        <v>920973696</v>
      </c>
      <c r="J141" s="18">
        <f t="shared" si="56"/>
        <v>0</v>
      </c>
      <c r="K141" s="19">
        <f t="shared" si="53"/>
        <v>1.161075355118232</v>
      </c>
      <c r="L141" s="113"/>
      <c r="M141" s="16" t="s">
        <v>466</v>
      </c>
      <c r="N141" s="17" t="s">
        <v>467</v>
      </c>
      <c r="O141" s="18">
        <v>0</v>
      </c>
      <c r="P141" s="18">
        <v>793207514</v>
      </c>
      <c r="Q141" s="18">
        <v>0</v>
      </c>
      <c r="R141" s="18">
        <v>793207514</v>
      </c>
      <c r="S141" s="18">
        <v>267934973</v>
      </c>
      <c r="T141" s="18">
        <v>109775000</v>
      </c>
      <c r="U141" s="18">
        <v>920973696</v>
      </c>
      <c r="V141" s="18">
        <v>0</v>
      </c>
      <c r="W141" s="19">
        <v>1.161075355118232</v>
      </c>
      <c r="Y141" s="113">
        <f t="shared" si="34"/>
        <v>0</v>
      </c>
      <c r="Z141" s="113">
        <f t="shared" si="35"/>
        <v>0</v>
      </c>
    </row>
    <row r="142" spans="1:26" outlineLevel="3" x14ac:dyDescent="0.25">
      <c r="A142" s="16" t="s">
        <v>468</v>
      </c>
      <c r="B142" s="17" t="s">
        <v>469</v>
      </c>
      <c r="C142" s="18">
        <f>+C143</f>
        <v>0</v>
      </c>
      <c r="D142" s="18">
        <f t="shared" si="56"/>
        <v>793207514</v>
      </c>
      <c r="E142" s="18">
        <f t="shared" si="56"/>
        <v>0</v>
      </c>
      <c r="F142" s="18">
        <f t="shared" si="56"/>
        <v>793207514</v>
      </c>
      <c r="G142" s="18">
        <f t="shared" si="56"/>
        <v>920973696</v>
      </c>
      <c r="H142" s="18">
        <v>109775000</v>
      </c>
      <c r="I142" s="18">
        <v>920973696</v>
      </c>
      <c r="J142" s="18">
        <f t="shared" si="56"/>
        <v>0</v>
      </c>
      <c r="K142" s="19">
        <f t="shared" si="53"/>
        <v>1.161075355118232</v>
      </c>
      <c r="L142" s="113"/>
      <c r="M142" s="16" t="s">
        <v>468</v>
      </c>
      <c r="N142" s="17" t="s">
        <v>469</v>
      </c>
      <c r="O142" s="18">
        <v>0</v>
      </c>
      <c r="P142" s="18">
        <v>793207514</v>
      </c>
      <c r="Q142" s="18">
        <v>0</v>
      </c>
      <c r="R142" s="18">
        <v>793207514</v>
      </c>
      <c r="S142" s="18">
        <v>267934973</v>
      </c>
      <c r="T142" s="18">
        <v>109775000</v>
      </c>
      <c r="U142" s="18">
        <v>920973696</v>
      </c>
      <c r="V142" s="18">
        <v>0</v>
      </c>
      <c r="W142" s="19">
        <v>1.161075355118232</v>
      </c>
      <c r="Y142" s="113">
        <f t="shared" ref="Y142:Y151" si="57">+C142-O142</f>
        <v>0</v>
      </c>
      <c r="Z142" s="113">
        <f t="shared" ref="Z142:Z151" si="58">+D142-P142</f>
        <v>0</v>
      </c>
    </row>
    <row r="143" spans="1:26" outlineLevel="4" x14ac:dyDescent="0.25">
      <c r="A143" s="21" t="s">
        <v>470</v>
      </c>
      <c r="B143" s="22" t="s">
        <v>471</v>
      </c>
      <c r="C143" s="23">
        <f>SUM(C144:C155)</f>
        <v>0</v>
      </c>
      <c r="D143" s="23">
        <f t="shared" ref="D143:J143" si="59">SUM(D144:D155)</f>
        <v>793207514</v>
      </c>
      <c r="E143" s="23">
        <f t="shared" si="59"/>
        <v>0</v>
      </c>
      <c r="F143" s="23">
        <f t="shared" si="59"/>
        <v>793207514</v>
      </c>
      <c r="G143" s="23">
        <f t="shared" si="59"/>
        <v>920973696</v>
      </c>
      <c r="H143" s="23">
        <v>109775000</v>
      </c>
      <c r="I143" s="23">
        <v>920973696</v>
      </c>
      <c r="J143" s="23">
        <f t="shared" si="59"/>
        <v>0</v>
      </c>
      <c r="K143" s="24">
        <f t="shared" si="53"/>
        <v>1.161075355118232</v>
      </c>
      <c r="L143" s="113"/>
      <c r="M143" s="21" t="s">
        <v>470</v>
      </c>
      <c r="N143" s="22" t="s">
        <v>471</v>
      </c>
      <c r="O143" s="23">
        <v>0</v>
      </c>
      <c r="P143" s="23">
        <v>793207514</v>
      </c>
      <c r="Q143" s="23">
        <v>0</v>
      </c>
      <c r="R143" s="23">
        <v>793207514</v>
      </c>
      <c r="S143" s="23">
        <v>267934973</v>
      </c>
      <c r="T143" s="23">
        <v>109775000</v>
      </c>
      <c r="U143" s="23">
        <v>920973696</v>
      </c>
      <c r="V143" s="23">
        <v>0</v>
      </c>
      <c r="W143" s="36">
        <v>1.161075355118232</v>
      </c>
      <c r="Y143" s="113">
        <f t="shared" si="57"/>
        <v>0</v>
      </c>
      <c r="Z143" s="113">
        <f t="shared" si="58"/>
        <v>0</v>
      </c>
    </row>
    <row r="144" spans="1:26" outlineLevel="4" x14ac:dyDescent="0.25">
      <c r="A144" s="25">
        <v>112670102</v>
      </c>
      <c r="B144" s="26" t="s">
        <v>472</v>
      </c>
      <c r="C144" s="27"/>
      <c r="D144" s="27">
        <v>267934973</v>
      </c>
      <c r="E144" s="34"/>
      <c r="F144" s="30">
        <f t="shared" si="32"/>
        <v>267934973</v>
      </c>
      <c r="G144" s="31">
        <v>267934973</v>
      </c>
      <c r="H144" s="27"/>
      <c r="I144" s="31">
        <v>267934973</v>
      </c>
      <c r="J144" s="32">
        <f t="shared" si="51"/>
        <v>0</v>
      </c>
      <c r="K144" s="33">
        <f t="shared" si="53"/>
        <v>1</v>
      </c>
      <c r="L144" s="113"/>
      <c r="M144" s="25">
        <v>112670102</v>
      </c>
      <c r="N144" s="26" t="s">
        <v>857</v>
      </c>
      <c r="O144" s="27"/>
      <c r="P144" s="31">
        <v>267934973</v>
      </c>
      <c r="Q144" s="34"/>
      <c r="R144" s="30">
        <v>267934973</v>
      </c>
      <c r="S144" s="31">
        <v>267934973</v>
      </c>
      <c r="T144" s="123"/>
      <c r="U144" s="31">
        <v>267934973</v>
      </c>
      <c r="V144" s="32">
        <v>0</v>
      </c>
      <c r="W144" s="33">
        <v>1</v>
      </c>
      <c r="Y144" s="113">
        <f t="shared" si="57"/>
        <v>0</v>
      </c>
      <c r="Z144" s="113">
        <f t="shared" si="58"/>
        <v>0</v>
      </c>
    </row>
    <row r="145" spans="1:26" outlineLevel="4" x14ac:dyDescent="0.25">
      <c r="A145" s="25">
        <v>112670103</v>
      </c>
      <c r="B145" s="26" t="s">
        <v>858</v>
      </c>
      <c r="C145" s="27"/>
      <c r="D145" s="27"/>
      <c r="E145" s="34"/>
      <c r="F145" s="30">
        <f t="shared" si="32"/>
        <v>0</v>
      </c>
      <c r="G145" s="31"/>
      <c r="H145" s="27"/>
      <c r="I145" s="31"/>
      <c r="J145" s="32"/>
      <c r="K145" s="33" t="e">
        <f t="shared" si="53"/>
        <v>#DIV/0!</v>
      </c>
      <c r="L145" s="113"/>
      <c r="M145" s="25">
        <v>112670103</v>
      </c>
      <c r="N145" s="26" t="s">
        <v>858</v>
      </c>
      <c r="O145" s="27"/>
      <c r="P145" s="27"/>
      <c r="Q145" s="34"/>
      <c r="R145" s="30">
        <v>0</v>
      </c>
      <c r="S145" s="31"/>
      <c r="T145" s="123"/>
      <c r="U145" s="31">
        <v>450000000</v>
      </c>
      <c r="V145" s="32"/>
      <c r="W145" s="33"/>
      <c r="Y145" s="113">
        <f t="shared" si="57"/>
        <v>0</v>
      </c>
      <c r="Z145" s="113">
        <f t="shared" si="58"/>
        <v>0</v>
      </c>
    </row>
    <row r="146" spans="1:26" outlineLevel="4" x14ac:dyDescent="0.25">
      <c r="A146" s="25">
        <v>112670104</v>
      </c>
      <c r="B146" s="26" t="s">
        <v>859</v>
      </c>
      <c r="C146" s="27"/>
      <c r="D146" s="27"/>
      <c r="E146" s="34"/>
      <c r="F146" s="30">
        <f t="shared" ref="F146:F155" si="60">+C146+D146</f>
        <v>0</v>
      </c>
      <c r="G146" s="31">
        <v>1397800</v>
      </c>
      <c r="H146" s="27"/>
      <c r="I146" s="31">
        <v>1397800</v>
      </c>
      <c r="J146" s="32"/>
      <c r="K146" s="33" t="e">
        <f t="shared" si="53"/>
        <v>#DIV/0!</v>
      </c>
      <c r="L146" s="113"/>
      <c r="M146" s="25">
        <v>112670104</v>
      </c>
      <c r="N146" s="26" t="s">
        <v>859</v>
      </c>
      <c r="O146" s="27"/>
      <c r="P146" s="27"/>
      <c r="Q146" s="34"/>
      <c r="R146" s="30">
        <v>0</v>
      </c>
      <c r="S146" s="31"/>
      <c r="T146" s="123"/>
      <c r="U146" s="31">
        <v>1397800</v>
      </c>
      <c r="V146" s="32"/>
      <c r="W146" s="33"/>
      <c r="Y146" s="113">
        <f t="shared" si="57"/>
        <v>0</v>
      </c>
      <c r="Z146" s="113">
        <f t="shared" si="58"/>
        <v>0</v>
      </c>
    </row>
    <row r="147" spans="1:26" outlineLevel="4" x14ac:dyDescent="0.25">
      <c r="A147" s="25">
        <v>112670105</v>
      </c>
      <c r="B147" s="26" t="s">
        <v>860</v>
      </c>
      <c r="C147" s="27"/>
      <c r="D147" s="27">
        <v>450000000</v>
      </c>
      <c r="E147" s="34"/>
      <c r="F147" s="30">
        <f t="shared" si="60"/>
        <v>450000000</v>
      </c>
      <c r="G147" s="31">
        <v>450000000</v>
      </c>
      <c r="H147" s="27"/>
      <c r="I147" s="31">
        <v>450000000</v>
      </c>
      <c r="J147" s="32"/>
      <c r="K147" s="33">
        <f t="shared" si="53"/>
        <v>1</v>
      </c>
      <c r="L147" s="113"/>
      <c r="M147" s="25">
        <v>112670105</v>
      </c>
      <c r="N147" s="26" t="s">
        <v>860</v>
      </c>
      <c r="O147" s="27"/>
      <c r="P147" s="27">
        <v>450000000</v>
      </c>
      <c r="Q147" s="34"/>
      <c r="R147" s="30">
        <v>450000000</v>
      </c>
      <c r="S147" s="31"/>
      <c r="T147" s="123"/>
      <c r="U147" s="31"/>
      <c r="V147" s="32"/>
      <c r="W147" s="33"/>
      <c r="Y147" s="113">
        <f t="shared" si="57"/>
        <v>0</v>
      </c>
      <c r="Z147" s="113">
        <f t="shared" si="58"/>
        <v>0</v>
      </c>
    </row>
    <row r="148" spans="1:26" outlineLevel="4" x14ac:dyDescent="0.25">
      <c r="A148" s="25">
        <v>112670106</v>
      </c>
      <c r="B148" s="26" t="s">
        <v>861</v>
      </c>
      <c r="C148" s="27"/>
      <c r="D148" s="27"/>
      <c r="E148" s="34"/>
      <c r="F148" s="30">
        <f t="shared" si="60"/>
        <v>0</v>
      </c>
      <c r="G148" s="31"/>
      <c r="H148" s="27"/>
      <c r="I148" s="31"/>
      <c r="J148" s="32"/>
      <c r="K148" s="33" t="e">
        <f t="shared" si="53"/>
        <v>#DIV/0!</v>
      </c>
      <c r="L148" s="113"/>
      <c r="M148" s="25">
        <v>112670106</v>
      </c>
      <c r="N148" s="26" t="s">
        <v>861</v>
      </c>
      <c r="O148" s="27"/>
      <c r="P148" s="27"/>
      <c r="Q148" s="34"/>
      <c r="R148" s="30">
        <v>0</v>
      </c>
      <c r="S148" s="31"/>
      <c r="T148" s="123"/>
      <c r="U148" s="31"/>
      <c r="V148" s="32"/>
      <c r="W148" s="33"/>
      <c r="Y148" s="113">
        <f t="shared" si="57"/>
        <v>0</v>
      </c>
      <c r="Z148" s="113">
        <f t="shared" si="58"/>
        <v>0</v>
      </c>
    </row>
    <row r="149" spans="1:26" outlineLevel="4" x14ac:dyDescent="0.25">
      <c r="A149" s="25">
        <v>112670107</v>
      </c>
      <c r="B149" s="26" t="s">
        <v>862</v>
      </c>
      <c r="C149" s="27"/>
      <c r="D149" s="27"/>
      <c r="E149" s="34"/>
      <c r="F149" s="30">
        <f t="shared" si="60"/>
        <v>0</v>
      </c>
      <c r="G149" s="31">
        <v>6800000</v>
      </c>
      <c r="H149" s="27">
        <v>6800000</v>
      </c>
      <c r="I149" s="31">
        <v>6800000</v>
      </c>
      <c r="J149" s="32"/>
      <c r="K149" s="33" t="e">
        <f t="shared" si="53"/>
        <v>#DIV/0!</v>
      </c>
      <c r="L149" s="113"/>
      <c r="M149" s="25">
        <v>112670107</v>
      </c>
      <c r="N149" s="26" t="s">
        <v>862</v>
      </c>
      <c r="O149" s="27"/>
      <c r="P149" s="27"/>
      <c r="Q149" s="34"/>
      <c r="R149" s="30">
        <v>0</v>
      </c>
      <c r="S149" s="31"/>
      <c r="T149" s="123">
        <v>6800000</v>
      </c>
      <c r="U149" s="31">
        <v>6800000</v>
      </c>
      <c r="V149" s="32"/>
      <c r="W149" s="33"/>
      <c r="Y149" s="113">
        <f t="shared" si="57"/>
        <v>0</v>
      </c>
      <c r="Z149" s="113">
        <f t="shared" si="58"/>
        <v>0</v>
      </c>
    </row>
    <row r="150" spans="1:26" outlineLevel="4" x14ac:dyDescent="0.25">
      <c r="A150" s="25">
        <v>112670108</v>
      </c>
      <c r="B150" s="26" t="s">
        <v>863</v>
      </c>
      <c r="C150" s="27"/>
      <c r="D150" s="27"/>
      <c r="E150" s="34"/>
      <c r="F150" s="30">
        <f t="shared" si="60"/>
        <v>0</v>
      </c>
      <c r="G150" s="31"/>
      <c r="H150" s="27"/>
      <c r="I150" s="31"/>
      <c r="J150" s="32"/>
      <c r="K150" s="33" t="e">
        <f t="shared" si="53"/>
        <v>#DIV/0!</v>
      </c>
      <c r="L150" s="113"/>
      <c r="M150" s="25">
        <v>112670108</v>
      </c>
      <c r="N150" s="26" t="s">
        <v>863</v>
      </c>
      <c r="O150" s="27"/>
      <c r="P150" s="27"/>
      <c r="Q150" s="34"/>
      <c r="R150" s="30">
        <v>0</v>
      </c>
      <c r="S150" s="31"/>
      <c r="T150" s="123"/>
      <c r="U150" s="31"/>
      <c r="V150" s="32"/>
      <c r="W150" s="33"/>
      <c r="Y150" s="113">
        <f t="shared" si="57"/>
        <v>0</v>
      </c>
      <c r="Z150" s="113">
        <f t="shared" si="58"/>
        <v>0</v>
      </c>
    </row>
    <row r="151" spans="1:26" outlineLevel="4" x14ac:dyDescent="0.25">
      <c r="A151" s="25">
        <v>112670109</v>
      </c>
      <c r="B151" s="26" t="s">
        <v>864</v>
      </c>
      <c r="C151" s="27"/>
      <c r="D151" s="27"/>
      <c r="E151" s="34"/>
      <c r="F151" s="30">
        <f t="shared" si="60"/>
        <v>0</v>
      </c>
      <c r="G151" s="31"/>
      <c r="H151" s="27"/>
      <c r="I151" s="31"/>
      <c r="J151" s="32"/>
      <c r="K151" s="33" t="e">
        <f t="shared" si="53"/>
        <v>#DIV/0!</v>
      </c>
      <c r="L151" s="113"/>
      <c r="M151" s="25">
        <v>112670109</v>
      </c>
      <c r="N151" s="26" t="s">
        <v>864</v>
      </c>
      <c r="O151" s="27"/>
      <c r="P151" s="27"/>
      <c r="Q151" s="34"/>
      <c r="R151" s="30">
        <v>0</v>
      </c>
      <c r="S151" s="31"/>
      <c r="T151" s="123"/>
      <c r="U151" s="31"/>
      <c r="V151" s="32"/>
      <c r="W151" s="33"/>
      <c r="Y151" s="113">
        <f t="shared" si="57"/>
        <v>0</v>
      </c>
      <c r="Z151" s="113">
        <f t="shared" si="58"/>
        <v>0</v>
      </c>
    </row>
    <row r="152" spans="1:26" outlineLevel="4" x14ac:dyDescent="0.25">
      <c r="A152" s="25">
        <v>112670110</v>
      </c>
      <c r="B152" s="26" t="s">
        <v>865</v>
      </c>
      <c r="C152" s="27"/>
      <c r="D152" s="27"/>
      <c r="E152" s="34"/>
      <c r="F152" s="30">
        <f t="shared" si="60"/>
        <v>0</v>
      </c>
      <c r="G152" s="31">
        <v>50483923</v>
      </c>
      <c r="H152" s="27"/>
      <c r="I152" s="31">
        <v>50483923</v>
      </c>
      <c r="J152" s="32"/>
      <c r="K152" s="33" t="e">
        <f t="shared" si="53"/>
        <v>#DIV/0!</v>
      </c>
      <c r="L152" s="113"/>
      <c r="M152" s="25">
        <v>112670110</v>
      </c>
      <c r="N152" s="26" t="s">
        <v>865</v>
      </c>
      <c r="O152" s="27"/>
      <c r="P152" s="27"/>
      <c r="Q152" s="34"/>
      <c r="R152" s="30">
        <v>0</v>
      </c>
      <c r="S152" s="31"/>
      <c r="T152" s="123"/>
      <c r="U152" s="31">
        <v>50483923</v>
      </c>
      <c r="V152" s="32"/>
      <c r="W152" s="33"/>
      <c r="Y152" s="113">
        <f t="shared" ref="Y152:Y175" si="61">+C152-O152</f>
        <v>0</v>
      </c>
      <c r="Z152" s="113">
        <f t="shared" ref="Z152:Z175" si="62">+D152-P152</f>
        <v>0</v>
      </c>
    </row>
    <row r="153" spans="1:26" outlineLevel="4" x14ac:dyDescent="0.25">
      <c r="A153" s="25">
        <v>112670111</v>
      </c>
      <c r="B153" s="26" t="s">
        <v>866</v>
      </c>
      <c r="C153" s="27"/>
      <c r="D153" s="27">
        <v>75272541</v>
      </c>
      <c r="E153" s="34"/>
      <c r="F153" s="30">
        <f t="shared" si="60"/>
        <v>75272541</v>
      </c>
      <c r="G153" s="31">
        <v>102975000</v>
      </c>
      <c r="H153" s="27">
        <v>102975000</v>
      </c>
      <c r="I153" s="31">
        <v>102975000</v>
      </c>
      <c r="J153" s="32"/>
      <c r="K153" s="33">
        <f t="shared" si="53"/>
        <v>1.3680287476943285</v>
      </c>
      <c r="L153" s="113"/>
      <c r="M153" s="25">
        <v>112670111</v>
      </c>
      <c r="N153" s="26" t="s">
        <v>866</v>
      </c>
      <c r="O153" s="27"/>
      <c r="P153" s="27">
        <v>75272541</v>
      </c>
      <c r="Q153" s="34"/>
      <c r="R153" s="30">
        <v>75272541</v>
      </c>
      <c r="S153" s="31"/>
      <c r="T153" s="123">
        <v>102975000</v>
      </c>
      <c r="U153" s="31">
        <v>102975000</v>
      </c>
      <c r="V153" s="32"/>
      <c r="W153" s="33"/>
      <c r="Y153" s="113">
        <f t="shared" si="61"/>
        <v>0</v>
      </c>
      <c r="Z153" s="113">
        <f t="shared" si="62"/>
        <v>0</v>
      </c>
    </row>
    <row r="154" spans="1:26" outlineLevel="4" x14ac:dyDescent="0.25">
      <c r="A154" s="25">
        <v>112670112</v>
      </c>
      <c r="B154" s="26" t="s">
        <v>867</v>
      </c>
      <c r="C154" s="27"/>
      <c r="D154" s="27"/>
      <c r="E154" s="34"/>
      <c r="F154" s="30">
        <f t="shared" si="60"/>
        <v>0</v>
      </c>
      <c r="G154" s="31">
        <v>30882000</v>
      </c>
      <c r="H154" s="27"/>
      <c r="I154" s="31">
        <v>30882000</v>
      </c>
      <c r="J154" s="32"/>
      <c r="K154" s="33" t="e">
        <f t="shared" si="53"/>
        <v>#DIV/0!</v>
      </c>
      <c r="L154" s="113"/>
      <c r="M154" s="25">
        <v>112670112</v>
      </c>
      <c r="N154" s="26" t="s">
        <v>867</v>
      </c>
      <c r="O154" s="27"/>
      <c r="P154" s="27"/>
      <c r="Q154" s="34"/>
      <c r="R154" s="30">
        <v>0</v>
      </c>
      <c r="S154" s="31"/>
      <c r="T154" s="123"/>
      <c r="U154" s="31">
        <v>30882000</v>
      </c>
      <c r="V154" s="32"/>
      <c r="W154" s="33"/>
      <c r="Y154" s="113">
        <f t="shared" si="61"/>
        <v>0</v>
      </c>
      <c r="Z154" s="113">
        <f t="shared" si="62"/>
        <v>0</v>
      </c>
    </row>
    <row r="155" spans="1:26" outlineLevel="4" x14ac:dyDescent="0.25">
      <c r="A155" s="25">
        <v>112670113</v>
      </c>
      <c r="B155" s="26" t="s">
        <v>868</v>
      </c>
      <c r="C155" s="27"/>
      <c r="D155" s="27"/>
      <c r="E155" s="34"/>
      <c r="F155" s="30">
        <f t="shared" si="60"/>
        <v>0</v>
      </c>
      <c r="G155" s="31">
        <v>10500000</v>
      </c>
      <c r="H155" s="27">
        <v>10500000</v>
      </c>
      <c r="I155" s="31">
        <v>10500000</v>
      </c>
      <c r="J155" s="32"/>
      <c r="K155" s="33" t="e">
        <f t="shared" si="53"/>
        <v>#DIV/0!</v>
      </c>
      <c r="L155" s="113"/>
      <c r="M155" s="25">
        <v>112670113</v>
      </c>
      <c r="N155" s="124" t="s">
        <v>868</v>
      </c>
      <c r="O155" s="27"/>
      <c r="P155" s="27"/>
      <c r="Q155" s="34"/>
      <c r="R155" s="30">
        <v>0</v>
      </c>
      <c r="S155" s="31"/>
      <c r="T155" s="123">
        <v>10500000</v>
      </c>
      <c r="U155" s="31">
        <v>10500000</v>
      </c>
      <c r="V155" s="32"/>
      <c r="W155" s="33"/>
      <c r="Y155" s="113">
        <f t="shared" si="61"/>
        <v>0</v>
      </c>
      <c r="Z155" s="113">
        <f t="shared" si="62"/>
        <v>0</v>
      </c>
    </row>
    <row r="156" spans="1:26" outlineLevel="4" x14ac:dyDescent="0.25">
      <c r="A156" s="12" t="s">
        <v>473</v>
      </c>
      <c r="B156" s="13" t="s">
        <v>474</v>
      </c>
      <c r="C156" s="14">
        <f>+C157+C159+C161</f>
        <v>360566197</v>
      </c>
      <c r="D156" s="14">
        <f t="shared" ref="D156:E156" si="63">+D157+D159+D161</f>
        <v>22716756840.469997</v>
      </c>
      <c r="E156" s="14">
        <f t="shared" si="63"/>
        <v>0</v>
      </c>
      <c r="F156" s="14">
        <f>+F157+F159+F161</f>
        <v>23077323037.469997</v>
      </c>
      <c r="G156" s="14">
        <f t="shared" ref="G156:J156" si="64">+G157+G159+G161</f>
        <v>21553556467.359997</v>
      </c>
      <c r="H156" s="14">
        <f t="shared" si="64"/>
        <v>107523239.87</v>
      </c>
      <c r="I156" s="14">
        <f t="shared" si="64"/>
        <v>21553556467.359997</v>
      </c>
      <c r="J156" s="14">
        <f t="shared" si="64"/>
        <v>1523766570.1099992</v>
      </c>
      <c r="K156" s="15">
        <f t="shared" si="53"/>
        <v>0.93397125968051387</v>
      </c>
      <c r="L156" s="113"/>
      <c r="M156" s="12" t="s">
        <v>473</v>
      </c>
      <c r="N156" s="13" t="s">
        <v>474</v>
      </c>
      <c r="O156" s="14">
        <f t="shared" ref="O156:W156" si="65">+O157+O159+O161</f>
        <v>360566197</v>
      </c>
      <c r="P156" s="14">
        <f t="shared" si="65"/>
        <v>22716756813.469997</v>
      </c>
      <c r="Q156" s="14">
        <f t="shared" si="65"/>
        <v>0</v>
      </c>
      <c r="R156" s="14">
        <f t="shared" si="65"/>
        <v>23077323010.469997</v>
      </c>
      <c r="S156" s="14">
        <f t="shared" si="65"/>
        <v>21440196788.099998</v>
      </c>
      <c r="T156" s="14">
        <f t="shared" si="65"/>
        <v>65756247.869999997</v>
      </c>
      <c r="U156" s="14">
        <f t="shared" si="65"/>
        <v>21552248237.359997</v>
      </c>
      <c r="V156" s="14">
        <f t="shared" si="65"/>
        <v>1483635156.1099992</v>
      </c>
      <c r="W156" s="14">
        <f t="shared" si="65"/>
        <v>2.357008810501116</v>
      </c>
      <c r="Y156" s="113">
        <f t="shared" si="61"/>
        <v>0</v>
      </c>
      <c r="Z156" s="113">
        <f t="shared" si="62"/>
        <v>27</v>
      </c>
    </row>
    <row r="157" spans="1:26" outlineLevel="4" x14ac:dyDescent="0.25">
      <c r="A157" s="12" t="s">
        <v>475</v>
      </c>
      <c r="B157" s="13" t="s">
        <v>476</v>
      </c>
      <c r="C157" s="14">
        <f>+C158</f>
        <v>0</v>
      </c>
      <c r="D157" s="14">
        <f t="shared" ref="D157:F157" si="66">+D158</f>
        <v>22370712214</v>
      </c>
      <c r="E157" s="14">
        <f t="shared" si="66"/>
        <v>0</v>
      </c>
      <c r="F157" s="14">
        <f t="shared" si="66"/>
        <v>22370712214</v>
      </c>
      <c r="G157" s="14">
        <f t="shared" ref="G157" si="67">+G158</f>
        <v>21080946306.790001</v>
      </c>
      <c r="H157" s="14">
        <f t="shared" ref="H157" si="68">+H158</f>
        <v>0</v>
      </c>
      <c r="I157" s="14">
        <f t="shared" ref="I157" si="69">+I158</f>
        <v>21080946306.790001</v>
      </c>
      <c r="J157" s="14">
        <f t="shared" ref="J157" si="70">+J158</f>
        <v>1289765907.2099991</v>
      </c>
      <c r="K157" s="15">
        <f t="shared" si="53"/>
        <v>0.94234578251814261</v>
      </c>
      <c r="L157" s="113"/>
      <c r="M157" s="12" t="s">
        <v>475</v>
      </c>
      <c r="N157" s="13" t="s">
        <v>476</v>
      </c>
      <c r="O157" s="14">
        <f t="shared" ref="O157:W157" si="71">+O158</f>
        <v>0</v>
      </c>
      <c r="P157" s="14">
        <f t="shared" si="71"/>
        <v>22370712214</v>
      </c>
      <c r="Q157" s="14">
        <f t="shared" si="71"/>
        <v>0</v>
      </c>
      <c r="R157" s="14">
        <f t="shared" si="71"/>
        <v>22370712214</v>
      </c>
      <c r="S157" s="14">
        <f t="shared" si="71"/>
        <v>21080946306.790001</v>
      </c>
      <c r="T157" s="14">
        <f t="shared" si="71"/>
        <v>0</v>
      </c>
      <c r="U157" s="14">
        <f t="shared" si="71"/>
        <v>21080946306.790001</v>
      </c>
      <c r="V157" s="14">
        <f t="shared" si="71"/>
        <v>1289765907.2099991</v>
      </c>
      <c r="W157" s="14">
        <f t="shared" si="71"/>
        <v>0.94234578251814261</v>
      </c>
      <c r="Y157" s="113">
        <f t="shared" si="61"/>
        <v>0</v>
      </c>
      <c r="Z157" s="113">
        <f t="shared" si="62"/>
        <v>0</v>
      </c>
    </row>
    <row r="158" spans="1:26" outlineLevel="4" x14ac:dyDescent="0.25">
      <c r="A158" s="25" t="s">
        <v>477</v>
      </c>
      <c r="B158" s="26" t="s">
        <v>478</v>
      </c>
      <c r="C158" s="27"/>
      <c r="D158" s="27">
        <v>22370712214</v>
      </c>
      <c r="E158" s="34"/>
      <c r="F158" s="30">
        <f t="shared" ref="F158:F175" si="72">+C158+D158</f>
        <v>22370712214</v>
      </c>
      <c r="G158" s="31">
        <v>21080946306.790001</v>
      </c>
      <c r="H158" s="27"/>
      <c r="I158" s="31">
        <v>21080946306.790001</v>
      </c>
      <c r="J158" s="32">
        <f t="shared" si="51"/>
        <v>1289765907.2099991</v>
      </c>
      <c r="K158" s="33">
        <f t="shared" si="53"/>
        <v>0.94234578251814261</v>
      </c>
      <c r="L158" s="113"/>
      <c r="M158" s="25" t="s">
        <v>477</v>
      </c>
      <c r="N158" s="26" t="s">
        <v>478</v>
      </c>
      <c r="O158" s="27"/>
      <c r="P158" s="27">
        <v>22370712214</v>
      </c>
      <c r="Q158" s="34"/>
      <c r="R158" s="30">
        <v>22370712214</v>
      </c>
      <c r="S158" s="31">
        <v>21080946306.790001</v>
      </c>
      <c r="T158" s="27"/>
      <c r="U158" s="31">
        <v>21080946306.790001</v>
      </c>
      <c r="V158" s="32">
        <v>1289765907.2099991</v>
      </c>
      <c r="W158" s="33">
        <v>0.94234578251814261</v>
      </c>
      <c r="Y158" s="113">
        <f t="shared" si="61"/>
        <v>0</v>
      </c>
      <c r="Z158" s="113">
        <f t="shared" si="62"/>
        <v>0</v>
      </c>
    </row>
    <row r="159" spans="1:26" outlineLevel="4" x14ac:dyDescent="0.25">
      <c r="A159" s="12">
        <v>123</v>
      </c>
      <c r="B159" s="13" t="s">
        <v>869</v>
      </c>
      <c r="C159" s="14">
        <f>+C160</f>
        <v>0</v>
      </c>
      <c r="D159" s="14">
        <f t="shared" ref="D159:J159" si="73">+D160</f>
        <v>304604982.46999699</v>
      </c>
      <c r="E159" s="14">
        <f t="shared" si="73"/>
        <v>0</v>
      </c>
      <c r="F159" s="14">
        <f t="shared" si="73"/>
        <v>304604982.46999699</v>
      </c>
      <c r="G159" s="14">
        <f t="shared" si="73"/>
        <v>304604982.46999699</v>
      </c>
      <c r="H159" s="14">
        <f t="shared" si="73"/>
        <v>0</v>
      </c>
      <c r="I159" s="14">
        <f t="shared" si="73"/>
        <v>304604982.46999699</v>
      </c>
      <c r="J159" s="14">
        <f t="shared" si="73"/>
        <v>0</v>
      </c>
      <c r="K159" s="15">
        <f t="shared" si="53"/>
        <v>1</v>
      </c>
      <c r="L159" s="113"/>
      <c r="M159" s="12">
        <v>123</v>
      </c>
      <c r="N159" s="13" t="s">
        <v>869</v>
      </c>
      <c r="O159" s="14"/>
      <c r="P159" s="14">
        <v>304604982.46999699</v>
      </c>
      <c r="Q159" s="14">
        <v>0</v>
      </c>
      <c r="R159" s="14">
        <v>304604982.46999699</v>
      </c>
      <c r="S159" s="14">
        <v>304604982.46999699</v>
      </c>
      <c r="T159" s="14">
        <v>0</v>
      </c>
      <c r="U159" s="14">
        <v>304604982.46999699</v>
      </c>
      <c r="V159" s="14"/>
      <c r="W159" s="14">
        <v>1</v>
      </c>
      <c r="Y159" s="113">
        <f t="shared" si="61"/>
        <v>0</v>
      </c>
      <c r="Z159" s="113">
        <f t="shared" si="62"/>
        <v>0</v>
      </c>
    </row>
    <row r="160" spans="1:26" outlineLevel="4" x14ac:dyDescent="0.25">
      <c r="A160" s="12">
        <v>1232</v>
      </c>
      <c r="B160" s="13" t="s">
        <v>870</v>
      </c>
      <c r="C160" s="14"/>
      <c r="D160" s="14">
        <v>304604982.46999699</v>
      </c>
      <c r="E160" s="14"/>
      <c r="F160" s="14">
        <f t="shared" si="72"/>
        <v>304604982.46999699</v>
      </c>
      <c r="G160" s="14">
        <v>304604982.46999699</v>
      </c>
      <c r="H160" s="14"/>
      <c r="I160" s="14">
        <v>304604982.46999699</v>
      </c>
      <c r="J160" s="14"/>
      <c r="K160" s="15">
        <f t="shared" si="53"/>
        <v>1</v>
      </c>
      <c r="L160" s="113"/>
      <c r="M160" s="12">
        <v>1232</v>
      </c>
      <c r="N160" s="13" t="s">
        <v>870</v>
      </c>
      <c r="O160" s="14"/>
      <c r="P160" s="14">
        <v>304604982.46999699</v>
      </c>
      <c r="Q160" s="14"/>
      <c r="R160" s="14">
        <v>304604982.46999699</v>
      </c>
      <c r="S160" s="14">
        <v>304604982.46999699</v>
      </c>
      <c r="T160" s="14"/>
      <c r="U160" s="14">
        <v>304604982.46999699</v>
      </c>
      <c r="V160" s="14"/>
      <c r="W160" s="14">
        <v>1</v>
      </c>
      <c r="Y160" s="113">
        <f t="shared" si="61"/>
        <v>0</v>
      </c>
      <c r="Z160" s="113">
        <f t="shared" si="62"/>
        <v>0</v>
      </c>
    </row>
    <row r="161" spans="1:26" x14ac:dyDescent="0.25">
      <c r="A161" s="12" t="s">
        <v>479</v>
      </c>
      <c r="B161" s="13" t="s">
        <v>480</v>
      </c>
      <c r="C161" s="14">
        <f>+C162+C175</f>
        <v>360566197</v>
      </c>
      <c r="D161" s="14">
        <f t="shared" ref="D161:F161" si="74">+D162+D175</f>
        <v>41439644</v>
      </c>
      <c r="E161" s="14">
        <f t="shared" si="74"/>
        <v>0</v>
      </c>
      <c r="F161" s="14">
        <f t="shared" si="74"/>
        <v>402005841</v>
      </c>
      <c r="G161" s="14">
        <f t="shared" ref="G161" si="75">+G162+G175</f>
        <v>168005178.09999999</v>
      </c>
      <c r="H161" s="14">
        <f t="shared" ref="H161" si="76">+H162+H175</f>
        <v>107523239.87</v>
      </c>
      <c r="I161" s="14">
        <f t="shared" ref="I161" si="77">+I162+I175</f>
        <v>168005178.09999999</v>
      </c>
      <c r="J161" s="14">
        <f t="shared" ref="J161" si="78">+J162+J175</f>
        <v>234000662.89999998</v>
      </c>
      <c r="K161" s="15">
        <f t="shared" si="53"/>
        <v>0.41791725633160637</v>
      </c>
      <c r="L161" s="113"/>
      <c r="M161" s="12" t="s">
        <v>479</v>
      </c>
      <c r="N161" s="13" t="s">
        <v>480</v>
      </c>
      <c r="O161" s="14">
        <f>+O162+O175</f>
        <v>360566197</v>
      </c>
      <c r="P161" s="14">
        <f>+P162+P175</f>
        <v>41439617</v>
      </c>
      <c r="Q161" s="14">
        <v>0</v>
      </c>
      <c r="R161" s="14">
        <v>402005814</v>
      </c>
      <c r="S161" s="14">
        <v>54645498.840000004</v>
      </c>
      <c r="T161" s="14">
        <v>65756247.869999997</v>
      </c>
      <c r="U161" s="14">
        <v>166696948.09999999</v>
      </c>
      <c r="V161" s="14">
        <v>193869248.89999998</v>
      </c>
      <c r="W161" s="15">
        <v>0.41466302798297339</v>
      </c>
      <c r="Y161" s="113">
        <f t="shared" si="61"/>
        <v>0</v>
      </c>
      <c r="Z161" s="113">
        <f t="shared" si="62"/>
        <v>27</v>
      </c>
    </row>
    <row r="162" spans="1:26" x14ac:dyDescent="0.25">
      <c r="A162" s="21" t="s">
        <v>481</v>
      </c>
      <c r="B162" s="22" t="s">
        <v>482</v>
      </c>
      <c r="C162" s="23">
        <f t="shared" ref="C162" si="79">SUM(C163:C174)</f>
        <v>360566197</v>
      </c>
      <c r="D162" s="23">
        <f>SUM(D163:D174)</f>
        <v>0</v>
      </c>
      <c r="E162" s="23">
        <f t="shared" ref="E162:F162" si="80">SUM(E163:E174)</f>
        <v>0</v>
      </c>
      <c r="F162" s="23">
        <f t="shared" si="80"/>
        <v>360566197</v>
      </c>
      <c r="G162" s="23">
        <f t="shared" ref="G162" si="81">SUM(G163:G174)</f>
        <v>167351063.09999999</v>
      </c>
      <c r="H162" s="23">
        <f t="shared" ref="H162" si="82">SUM(H163:H174)</f>
        <v>66083622.869999997</v>
      </c>
      <c r="I162" s="23">
        <f t="shared" ref="I162" si="83">SUM(I163:I174)</f>
        <v>167351063.09999999</v>
      </c>
      <c r="J162" s="23">
        <f t="shared" ref="J162" si="84">SUM(J163:J174)</f>
        <v>193215133.89999998</v>
      </c>
      <c r="K162" s="24">
        <f t="shared" si="53"/>
        <v>0.46413408825453484</v>
      </c>
      <c r="L162" s="113"/>
      <c r="M162" s="21" t="s">
        <v>481</v>
      </c>
      <c r="N162" s="22" t="s">
        <v>482</v>
      </c>
      <c r="O162" s="23">
        <f>SUM(O163:O174)</f>
        <v>360566197</v>
      </c>
      <c r="P162" s="23">
        <f>SUM(P163:P174)</f>
        <v>0</v>
      </c>
      <c r="Q162" s="23">
        <v>0</v>
      </c>
      <c r="R162" s="23">
        <v>402005814</v>
      </c>
      <c r="S162" s="23">
        <v>54645498.840000004</v>
      </c>
      <c r="T162" s="23">
        <v>65756247.869999997</v>
      </c>
      <c r="U162" s="23">
        <v>166696948.09999999</v>
      </c>
      <c r="V162" s="23">
        <v>193869248.89999998</v>
      </c>
      <c r="W162" s="36">
        <v>0.41466302798297339</v>
      </c>
      <c r="Y162" s="113">
        <f t="shared" si="61"/>
        <v>0</v>
      </c>
      <c r="Z162" s="113">
        <f t="shared" si="62"/>
        <v>0</v>
      </c>
    </row>
    <row r="163" spans="1:26" x14ac:dyDescent="0.25">
      <c r="A163" s="25" t="s">
        <v>483</v>
      </c>
      <c r="B163" s="26" t="s">
        <v>484</v>
      </c>
      <c r="C163" s="30"/>
      <c r="D163" s="27"/>
      <c r="E163" s="34"/>
      <c r="F163" s="30">
        <f t="shared" si="72"/>
        <v>0</v>
      </c>
      <c r="G163" s="31">
        <v>4586981.59</v>
      </c>
      <c r="H163" s="27">
        <v>1770379.74</v>
      </c>
      <c r="I163" s="31">
        <v>4586981.59</v>
      </c>
      <c r="J163" s="32">
        <f t="shared" si="51"/>
        <v>-4586981.59</v>
      </c>
      <c r="K163" s="33" t="e">
        <f t="shared" si="53"/>
        <v>#DIV/0!</v>
      </c>
      <c r="L163" s="113"/>
      <c r="M163" s="25" t="s">
        <v>483</v>
      </c>
      <c r="N163" s="26" t="s">
        <v>484</v>
      </c>
      <c r="O163" s="30"/>
      <c r="P163" s="27"/>
      <c r="Q163" s="34"/>
      <c r="R163" s="30">
        <v>0</v>
      </c>
      <c r="S163" s="31">
        <v>1261285.0900000001</v>
      </c>
      <c r="T163" s="27">
        <v>1770379.74</v>
      </c>
      <c r="U163" s="31">
        <v>4586981.59</v>
      </c>
      <c r="V163" s="32">
        <v>-4586981.59</v>
      </c>
      <c r="W163" s="33" t="e">
        <v>#DIV/0!</v>
      </c>
      <c r="Y163" s="113">
        <f t="shared" si="61"/>
        <v>0</v>
      </c>
      <c r="Z163" s="113">
        <f t="shared" si="62"/>
        <v>0</v>
      </c>
    </row>
    <row r="164" spans="1:26" x14ac:dyDescent="0.25">
      <c r="A164" s="25" t="s">
        <v>485</v>
      </c>
      <c r="B164" s="26" t="s">
        <v>486</v>
      </c>
      <c r="C164" s="27"/>
      <c r="D164" s="27"/>
      <c r="E164" s="34"/>
      <c r="F164" s="30">
        <f t="shared" si="72"/>
        <v>0</v>
      </c>
      <c r="G164" s="31">
        <v>3885621.34</v>
      </c>
      <c r="H164" s="27">
        <v>1107682.5</v>
      </c>
      <c r="I164" s="31">
        <v>3885621.34</v>
      </c>
      <c r="J164" s="32">
        <f t="shared" si="51"/>
        <v>-3885621.34</v>
      </c>
      <c r="K164" s="33" t="e">
        <f t="shared" si="53"/>
        <v>#DIV/0!</v>
      </c>
      <c r="L164" s="113"/>
      <c r="M164" s="25" t="s">
        <v>485</v>
      </c>
      <c r="N164" s="26" t="s">
        <v>486</v>
      </c>
      <c r="O164" s="27"/>
      <c r="P164" s="27"/>
      <c r="Q164" s="34"/>
      <c r="R164" s="30">
        <v>0</v>
      </c>
      <c r="S164" s="31">
        <v>1654730.09</v>
      </c>
      <c r="T164" s="27">
        <v>1107682.5</v>
      </c>
      <c r="U164" s="31">
        <v>3885621.34</v>
      </c>
      <c r="V164" s="32">
        <v>-3885621.34</v>
      </c>
      <c r="W164" s="33" t="e">
        <v>#DIV/0!</v>
      </c>
      <c r="Y164" s="113">
        <f t="shared" si="61"/>
        <v>0</v>
      </c>
      <c r="Z164" s="113">
        <f t="shared" si="62"/>
        <v>0</v>
      </c>
    </row>
    <row r="165" spans="1:26" x14ac:dyDescent="0.25">
      <c r="A165" s="25" t="s">
        <v>487</v>
      </c>
      <c r="B165" s="26" t="s">
        <v>488</v>
      </c>
      <c r="C165" s="27"/>
      <c r="D165" s="27"/>
      <c r="E165" s="34"/>
      <c r="F165" s="30">
        <f t="shared" si="72"/>
        <v>0</v>
      </c>
      <c r="G165" s="31">
        <v>20740155.869999997</v>
      </c>
      <c r="H165" s="27">
        <v>14045821.869999999</v>
      </c>
      <c r="I165" s="31">
        <v>20740155.869999997</v>
      </c>
      <c r="J165" s="32">
        <f t="shared" si="51"/>
        <v>-20740155.869999997</v>
      </c>
      <c r="K165" s="33" t="e">
        <f t="shared" si="53"/>
        <v>#DIV/0!</v>
      </c>
      <c r="L165" s="113"/>
      <c r="M165" s="25" t="s">
        <v>487</v>
      </c>
      <c r="N165" s="26" t="s">
        <v>488</v>
      </c>
      <c r="O165" s="27"/>
      <c r="P165" s="27"/>
      <c r="Q165" s="34"/>
      <c r="R165" s="30">
        <v>0</v>
      </c>
      <c r="S165" s="31">
        <v>105302.35</v>
      </c>
      <c r="T165" s="27">
        <v>14045821.869999999</v>
      </c>
      <c r="U165" s="31">
        <v>20740155.869999997</v>
      </c>
      <c r="V165" s="32">
        <v>-20740155.869999997</v>
      </c>
      <c r="W165" s="33" t="e">
        <v>#DIV/0!</v>
      </c>
      <c r="Y165" s="113">
        <f t="shared" si="61"/>
        <v>0</v>
      </c>
      <c r="Z165" s="113">
        <f t="shared" si="62"/>
        <v>0</v>
      </c>
    </row>
    <row r="166" spans="1:26" x14ac:dyDescent="0.25">
      <c r="A166" s="25" t="s">
        <v>489</v>
      </c>
      <c r="B166" s="26" t="s">
        <v>490</v>
      </c>
      <c r="C166" s="27"/>
      <c r="D166" s="27"/>
      <c r="E166" s="34"/>
      <c r="F166" s="30">
        <f t="shared" si="72"/>
        <v>0</v>
      </c>
      <c r="G166" s="31">
        <v>1579921.17</v>
      </c>
      <c r="H166" s="27">
        <v>383094.8</v>
      </c>
      <c r="I166" s="31">
        <v>1579921.17</v>
      </c>
      <c r="J166" s="32">
        <f t="shared" si="51"/>
        <v>-1579921.17</v>
      </c>
      <c r="K166" s="33" t="e">
        <f t="shared" si="53"/>
        <v>#DIV/0!</v>
      </c>
      <c r="L166" s="113"/>
      <c r="M166" s="25" t="s">
        <v>489</v>
      </c>
      <c r="N166" s="26" t="s">
        <v>490</v>
      </c>
      <c r="O166" s="27"/>
      <c r="P166" s="27"/>
      <c r="Q166" s="34"/>
      <c r="R166" s="30">
        <v>0</v>
      </c>
      <c r="S166" s="31">
        <v>732212.89</v>
      </c>
      <c r="T166" s="27">
        <v>383094.8</v>
      </c>
      <c r="U166" s="31">
        <v>1579921.17</v>
      </c>
      <c r="V166" s="32">
        <v>-1579921.17</v>
      </c>
      <c r="W166" s="33" t="e">
        <v>#DIV/0!</v>
      </c>
      <c r="Y166" s="113">
        <f t="shared" si="61"/>
        <v>0</v>
      </c>
      <c r="Z166" s="113">
        <f t="shared" si="62"/>
        <v>0</v>
      </c>
    </row>
    <row r="167" spans="1:26" x14ac:dyDescent="0.25">
      <c r="A167" s="25" t="s">
        <v>491</v>
      </c>
      <c r="B167" s="26" t="s">
        <v>492</v>
      </c>
      <c r="C167" s="27"/>
      <c r="D167" s="27"/>
      <c r="E167" s="34"/>
      <c r="F167" s="30">
        <f t="shared" si="72"/>
        <v>0</v>
      </c>
      <c r="G167" s="31">
        <v>58066245</v>
      </c>
      <c r="H167" s="27">
        <v>19903717</v>
      </c>
      <c r="I167" s="31">
        <v>58066245</v>
      </c>
      <c r="J167" s="32">
        <f t="shared" si="51"/>
        <v>-58066245</v>
      </c>
      <c r="K167" s="33" t="e">
        <f t="shared" si="53"/>
        <v>#DIV/0!</v>
      </c>
      <c r="L167" s="113"/>
      <c r="M167" s="25" t="s">
        <v>491</v>
      </c>
      <c r="N167" s="26" t="s">
        <v>492</v>
      </c>
      <c r="O167" s="27"/>
      <c r="P167" s="27"/>
      <c r="Q167" s="34"/>
      <c r="R167" s="30">
        <v>0</v>
      </c>
      <c r="S167" s="31">
        <v>20212629</v>
      </c>
      <c r="T167" s="27">
        <v>19903717</v>
      </c>
      <c r="U167" s="31">
        <v>58066245</v>
      </c>
      <c r="V167" s="32">
        <v>-58066245</v>
      </c>
      <c r="W167" s="33" t="e">
        <v>#DIV/0!</v>
      </c>
      <c r="Y167" s="113">
        <f t="shared" si="61"/>
        <v>0</v>
      </c>
      <c r="Z167" s="113">
        <f t="shared" si="62"/>
        <v>0</v>
      </c>
    </row>
    <row r="168" spans="1:26" x14ac:dyDescent="0.25">
      <c r="A168" s="25" t="s">
        <v>493</v>
      </c>
      <c r="B168" s="26" t="s">
        <v>494</v>
      </c>
      <c r="C168" s="27"/>
      <c r="D168" s="27"/>
      <c r="E168" s="34"/>
      <c r="F168" s="30">
        <f t="shared" si="72"/>
        <v>0</v>
      </c>
      <c r="G168" s="31">
        <v>1944939.8</v>
      </c>
      <c r="H168" s="27">
        <v>276248.21000000002</v>
      </c>
      <c r="I168" s="31">
        <v>1944939.8</v>
      </c>
      <c r="J168" s="32">
        <f t="shared" si="51"/>
        <v>-1944939.8</v>
      </c>
      <c r="K168" s="33" t="e">
        <f t="shared" si="53"/>
        <v>#DIV/0!</v>
      </c>
      <c r="L168" s="113"/>
      <c r="M168" s="25" t="s">
        <v>493</v>
      </c>
      <c r="N168" s="26" t="s">
        <v>494</v>
      </c>
      <c r="O168" s="27"/>
      <c r="P168" s="27"/>
      <c r="Q168" s="34"/>
      <c r="R168" s="30">
        <v>0</v>
      </c>
      <c r="S168" s="31">
        <v>881368.77</v>
      </c>
      <c r="T168" s="27">
        <v>276248.21000000002</v>
      </c>
      <c r="U168" s="31">
        <v>1944939.8</v>
      </c>
      <c r="V168" s="32">
        <v>-1944939.8</v>
      </c>
      <c r="W168" s="33" t="e">
        <v>#DIV/0!</v>
      </c>
      <c r="Y168" s="113">
        <f t="shared" si="61"/>
        <v>0</v>
      </c>
      <c r="Z168" s="113">
        <f t="shared" si="62"/>
        <v>0</v>
      </c>
    </row>
    <row r="169" spans="1:26" x14ac:dyDescent="0.25">
      <c r="A169" s="25" t="s">
        <v>495</v>
      </c>
      <c r="B169" s="26" t="s">
        <v>496</v>
      </c>
      <c r="C169" s="27"/>
      <c r="D169" s="27"/>
      <c r="E169" s="34"/>
      <c r="F169" s="30">
        <f t="shared" si="72"/>
        <v>0</v>
      </c>
      <c r="G169" s="31">
        <v>1096762.48</v>
      </c>
      <c r="H169" s="27">
        <v>178984</v>
      </c>
      <c r="I169" s="31">
        <v>1096762.48</v>
      </c>
      <c r="J169" s="32">
        <f t="shared" si="51"/>
        <v>-1096762.48</v>
      </c>
      <c r="K169" s="33" t="e">
        <f t="shared" si="53"/>
        <v>#DIV/0!</v>
      </c>
      <c r="L169" s="113"/>
      <c r="M169" s="25" t="s">
        <v>495</v>
      </c>
      <c r="N169" s="26" t="s">
        <v>496</v>
      </c>
      <c r="O169" s="27"/>
      <c r="P169" s="27"/>
      <c r="Q169" s="34"/>
      <c r="R169" s="30">
        <v>0</v>
      </c>
      <c r="S169" s="31">
        <v>764903</v>
      </c>
      <c r="T169" s="27">
        <v>178984</v>
      </c>
      <c r="U169" s="31">
        <v>1096762.48</v>
      </c>
      <c r="V169" s="32">
        <v>-1096762.48</v>
      </c>
      <c r="W169" s="33" t="e">
        <v>#DIV/0!</v>
      </c>
      <c r="Y169" s="113">
        <f t="shared" si="61"/>
        <v>0</v>
      </c>
      <c r="Z169" s="113">
        <f t="shared" si="62"/>
        <v>0</v>
      </c>
    </row>
    <row r="170" spans="1:26" x14ac:dyDescent="0.25">
      <c r="A170" s="25" t="s">
        <v>497</v>
      </c>
      <c r="B170" s="26" t="s">
        <v>498</v>
      </c>
      <c r="C170" s="27">
        <v>360566197</v>
      </c>
      <c r="D170" s="27"/>
      <c r="E170" s="34"/>
      <c r="F170" s="30">
        <f t="shared" si="72"/>
        <v>360566197</v>
      </c>
      <c r="G170" s="31">
        <v>41494557.850000001</v>
      </c>
      <c r="H170" s="27">
        <v>17513294.75</v>
      </c>
      <c r="I170" s="31">
        <v>41494557.850000001</v>
      </c>
      <c r="J170" s="32">
        <f t="shared" si="51"/>
        <v>319071639.14999998</v>
      </c>
      <c r="K170" s="33">
        <f t="shared" si="53"/>
        <v>0.11508166377005108</v>
      </c>
      <c r="L170" s="113"/>
      <c r="M170" s="25" t="s">
        <v>497</v>
      </c>
      <c r="N170" s="26" t="s">
        <v>498</v>
      </c>
      <c r="O170" s="27">
        <v>360566197</v>
      </c>
      <c r="P170" s="27"/>
      <c r="Q170" s="34"/>
      <c r="R170" s="30">
        <v>360566197</v>
      </c>
      <c r="S170" s="31">
        <v>18686046.649999999</v>
      </c>
      <c r="T170" s="27">
        <v>17513294.75</v>
      </c>
      <c r="U170" s="31">
        <v>41494557.850000001</v>
      </c>
      <c r="V170" s="32">
        <v>319071639.14999998</v>
      </c>
      <c r="W170" s="33">
        <v>0.11508166377005108</v>
      </c>
      <c r="Y170" s="113">
        <f t="shared" si="61"/>
        <v>0</v>
      </c>
      <c r="Z170" s="113">
        <f t="shared" si="62"/>
        <v>0</v>
      </c>
    </row>
    <row r="171" spans="1:26" x14ac:dyDescent="0.25">
      <c r="A171" s="25" t="s">
        <v>499</v>
      </c>
      <c r="B171" s="26" t="s">
        <v>500</v>
      </c>
      <c r="C171" s="27"/>
      <c r="D171" s="27"/>
      <c r="E171" s="34"/>
      <c r="F171" s="30">
        <f t="shared" si="72"/>
        <v>0</v>
      </c>
      <c r="G171" s="31">
        <v>684596</v>
      </c>
      <c r="H171" s="27">
        <v>189861</v>
      </c>
      <c r="I171" s="31">
        <v>684596</v>
      </c>
      <c r="J171" s="32">
        <f t="shared" si="51"/>
        <v>-684596</v>
      </c>
      <c r="K171" s="33" t="e">
        <f t="shared" si="53"/>
        <v>#DIV/0!</v>
      </c>
      <c r="L171" s="113"/>
      <c r="M171" s="25" t="s">
        <v>499</v>
      </c>
      <c r="N171" s="26" t="s">
        <v>500</v>
      </c>
      <c r="O171" s="27"/>
      <c r="P171" s="27"/>
      <c r="Q171" s="34"/>
      <c r="R171" s="30">
        <v>0</v>
      </c>
      <c r="S171" s="31"/>
      <c r="T171" s="27">
        <v>189861</v>
      </c>
      <c r="U171" s="31">
        <v>684596</v>
      </c>
      <c r="V171" s="32">
        <v>-684596</v>
      </c>
      <c r="W171" s="33" t="e">
        <v>#DIV/0!</v>
      </c>
      <c r="Y171" s="113">
        <f t="shared" si="61"/>
        <v>0</v>
      </c>
      <c r="Z171" s="113">
        <f t="shared" si="62"/>
        <v>0</v>
      </c>
    </row>
    <row r="172" spans="1:26" x14ac:dyDescent="0.25">
      <c r="A172" s="25" t="s">
        <v>501</v>
      </c>
      <c r="B172" s="26" t="s">
        <v>502</v>
      </c>
      <c r="C172" s="27"/>
      <c r="D172" s="27"/>
      <c r="E172" s="34"/>
      <c r="F172" s="30">
        <f t="shared" si="72"/>
        <v>0</v>
      </c>
      <c r="G172" s="31">
        <v>1533913</v>
      </c>
      <c r="H172" s="27">
        <v>568741</v>
      </c>
      <c r="I172" s="31">
        <v>1533913</v>
      </c>
      <c r="J172" s="32">
        <f t="shared" si="51"/>
        <v>-1533913</v>
      </c>
      <c r="K172" s="33" t="e">
        <f t="shared" si="53"/>
        <v>#DIV/0!</v>
      </c>
      <c r="L172" s="113"/>
      <c r="M172" s="25" t="s">
        <v>501</v>
      </c>
      <c r="N172" s="26" t="s">
        <v>502</v>
      </c>
      <c r="O172" s="27"/>
      <c r="P172" s="27"/>
      <c r="Q172" s="34"/>
      <c r="R172" s="30">
        <v>0</v>
      </c>
      <c r="S172" s="31">
        <v>449692</v>
      </c>
      <c r="T172" s="27">
        <v>568741</v>
      </c>
      <c r="U172" s="31">
        <v>1533913</v>
      </c>
      <c r="V172" s="32">
        <v>-1533913</v>
      </c>
      <c r="W172" s="33" t="e">
        <v>#DIV/0!</v>
      </c>
      <c r="Y172" s="113">
        <f t="shared" si="61"/>
        <v>0</v>
      </c>
      <c r="Z172" s="113">
        <f t="shared" si="62"/>
        <v>0</v>
      </c>
    </row>
    <row r="173" spans="1:26" x14ac:dyDescent="0.25">
      <c r="A173" s="25" t="s">
        <v>503</v>
      </c>
      <c r="B173" s="26" t="s">
        <v>504</v>
      </c>
      <c r="C173" s="27"/>
      <c r="D173" s="27"/>
      <c r="E173" s="34"/>
      <c r="F173" s="30">
        <f t="shared" si="72"/>
        <v>0</v>
      </c>
      <c r="G173" s="31">
        <v>31083254</v>
      </c>
      <c r="H173" s="27">
        <v>9818423</v>
      </c>
      <c r="I173" s="31">
        <v>31083254</v>
      </c>
      <c r="J173" s="32">
        <f t="shared" ref="J173:J176" si="85">SUM(F173-I173)</f>
        <v>-31083254</v>
      </c>
      <c r="K173" s="33" t="e">
        <f t="shared" si="53"/>
        <v>#DIV/0!</v>
      </c>
      <c r="L173" s="113"/>
      <c r="M173" s="25" t="s">
        <v>503</v>
      </c>
      <c r="N173" s="26" t="s">
        <v>504</v>
      </c>
      <c r="O173" s="27"/>
      <c r="P173" s="27"/>
      <c r="Q173" s="34"/>
      <c r="R173" s="30">
        <v>0</v>
      </c>
      <c r="S173" s="31">
        <v>9897329</v>
      </c>
      <c r="T173" s="27">
        <v>9818423</v>
      </c>
      <c r="U173" s="31">
        <v>31083254</v>
      </c>
      <c r="V173" s="32">
        <v>-31083254</v>
      </c>
      <c r="W173" s="33" t="e">
        <v>#DIV/0!</v>
      </c>
      <c r="Y173" s="113">
        <f t="shared" si="61"/>
        <v>0</v>
      </c>
      <c r="Z173" s="113">
        <f t="shared" si="62"/>
        <v>0</v>
      </c>
    </row>
    <row r="174" spans="1:26" x14ac:dyDescent="0.25">
      <c r="A174" s="125">
        <v>1262212</v>
      </c>
      <c r="B174" s="26" t="s">
        <v>871</v>
      </c>
      <c r="C174" s="34"/>
      <c r="D174" s="34"/>
      <c r="E174" s="34"/>
      <c r="F174" s="30">
        <f t="shared" si="72"/>
        <v>0</v>
      </c>
      <c r="G174" s="31">
        <v>654115</v>
      </c>
      <c r="H174" s="27">
        <v>327375</v>
      </c>
      <c r="I174" s="31">
        <v>654115</v>
      </c>
      <c r="J174" s="32">
        <f t="shared" si="85"/>
        <v>-654115</v>
      </c>
      <c r="K174" s="33" t="e">
        <f t="shared" si="53"/>
        <v>#DIV/0!</v>
      </c>
      <c r="L174" s="113"/>
      <c r="M174" s="125">
        <v>1262212</v>
      </c>
      <c r="N174" s="26" t="s">
        <v>871</v>
      </c>
      <c r="O174" s="34"/>
      <c r="P174" s="34"/>
      <c r="Q174" s="34"/>
      <c r="R174" s="30">
        <v>0</v>
      </c>
      <c r="S174" s="31"/>
      <c r="T174" s="126">
        <v>327375</v>
      </c>
      <c r="U174" s="31">
        <v>654115</v>
      </c>
      <c r="V174" s="32">
        <v>-654115</v>
      </c>
      <c r="W174" s="33"/>
      <c r="Y174" s="113">
        <f t="shared" si="61"/>
        <v>0</v>
      </c>
      <c r="Z174" s="113">
        <f t="shared" si="62"/>
        <v>0</v>
      </c>
    </row>
    <row r="175" spans="1:26" x14ac:dyDescent="0.25">
      <c r="A175" s="125">
        <v>12627</v>
      </c>
      <c r="B175" s="26" t="s">
        <v>872</v>
      </c>
      <c r="C175" s="34"/>
      <c r="D175" s="34">
        <f>41439617+27</f>
        <v>41439644</v>
      </c>
      <c r="E175" s="34"/>
      <c r="F175" s="30">
        <f t="shared" si="72"/>
        <v>41439644</v>
      </c>
      <c r="G175" s="31">
        <v>654115</v>
      </c>
      <c r="H175" s="27">
        <v>41439617</v>
      </c>
      <c r="I175" s="31">
        <v>654115</v>
      </c>
      <c r="J175" s="32">
        <f t="shared" si="85"/>
        <v>40785529</v>
      </c>
      <c r="K175" s="33">
        <f t="shared" si="53"/>
        <v>1.5784763981080533E-2</v>
      </c>
      <c r="L175" s="113"/>
      <c r="M175" s="125">
        <v>12627</v>
      </c>
      <c r="N175" s="26" t="s">
        <v>872</v>
      </c>
      <c r="O175" s="34"/>
      <c r="P175" s="34">
        <v>41439617</v>
      </c>
      <c r="Q175" s="30"/>
      <c r="R175" s="30">
        <v>41439617</v>
      </c>
      <c r="S175" s="31"/>
      <c r="T175" s="126">
        <v>41439617</v>
      </c>
      <c r="U175" s="31">
        <v>654115</v>
      </c>
      <c r="V175" s="32">
        <v>40785502</v>
      </c>
      <c r="W175" s="33"/>
      <c r="Y175" s="113">
        <f t="shared" si="61"/>
        <v>0</v>
      </c>
      <c r="Z175" s="113">
        <f t="shared" si="62"/>
        <v>27</v>
      </c>
    </row>
    <row r="176" spans="1:26" x14ac:dyDescent="0.25">
      <c r="A176" s="37"/>
      <c r="B176" s="38"/>
      <c r="C176" s="39"/>
      <c r="D176" s="39"/>
      <c r="E176" s="39"/>
      <c r="F176" s="40"/>
      <c r="G176" s="41"/>
      <c r="H176" s="40"/>
      <c r="I176" s="41"/>
      <c r="J176" s="42">
        <f t="shared" si="85"/>
        <v>0</v>
      </c>
      <c r="K176" s="43"/>
      <c r="L176" s="113"/>
      <c r="Y176" s="113">
        <f t="shared" ref="Y176:Z182" si="86">+C178-O176</f>
        <v>0</v>
      </c>
      <c r="Z176" s="113">
        <f t="shared" si="86"/>
        <v>0</v>
      </c>
    </row>
    <row r="177" spans="3:26" x14ac:dyDescent="0.25">
      <c r="C177" s="4"/>
      <c r="D177" s="4"/>
      <c r="F177" s="4"/>
      <c r="Y177" s="113">
        <f t="shared" si="86"/>
        <v>0</v>
      </c>
      <c r="Z177" s="113">
        <f t="shared" si="86"/>
        <v>0</v>
      </c>
    </row>
    <row r="178" spans="3:26" x14ac:dyDescent="0.25">
      <c r="C178" s="4"/>
      <c r="D178" s="4"/>
      <c r="F178" s="4"/>
      <c r="Y178" s="113">
        <f t="shared" si="86"/>
        <v>0</v>
      </c>
      <c r="Z178" s="113">
        <f t="shared" si="86"/>
        <v>0</v>
      </c>
    </row>
    <row r="179" spans="3:26" x14ac:dyDescent="0.25">
      <c r="Y179" s="113">
        <f t="shared" si="86"/>
        <v>0</v>
      </c>
      <c r="Z179" s="113">
        <f t="shared" si="86"/>
        <v>0</v>
      </c>
    </row>
    <row r="180" spans="3:26" x14ac:dyDescent="0.25">
      <c r="D180" s="127"/>
      <c r="F180" s="4"/>
      <c r="Y180" s="113">
        <f t="shared" si="86"/>
        <v>0</v>
      </c>
      <c r="Z180" s="113">
        <f t="shared" si="86"/>
        <v>0</v>
      </c>
    </row>
    <row r="181" spans="3:26" x14ac:dyDescent="0.25">
      <c r="D181" s="127"/>
      <c r="F181" s="127"/>
      <c r="Y181" s="113">
        <f t="shared" si="86"/>
        <v>0</v>
      </c>
      <c r="Z181" s="113">
        <f t="shared" si="86"/>
        <v>0</v>
      </c>
    </row>
    <row r="182" spans="3:26" x14ac:dyDescent="0.25">
      <c r="D182" s="127">
        <f>+D181-D180</f>
        <v>0</v>
      </c>
      <c r="F182" s="113">
        <f>+F181-F180</f>
        <v>0</v>
      </c>
      <c r="Y182" s="113">
        <f t="shared" si="86"/>
        <v>0</v>
      </c>
      <c r="Z182" s="113">
        <f t="shared" si="86"/>
        <v>0</v>
      </c>
    </row>
  </sheetData>
  <autoFilter ref="A4:BT166"/>
  <mergeCells count="1">
    <mergeCell ref="C3:K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X424"/>
  <sheetViews>
    <sheetView showGridLines="0" zoomScale="90" zoomScaleNormal="90" workbookViewId="0">
      <pane xSplit="2" ySplit="5" topLeftCell="C218" activePane="bottomRight" state="frozen"/>
      <selection pane="topRight" activeCell="C1" sqref="C1"/>
      <selection pane="bottomLeft" activeCell="A2" sqref="A2"/>
      <selection pane="bottomRight" activeCell="H1" sqref="H1:P1048576"/>
    </sheetView>
  </sheetViews>
  <sheetFormatPr baseColWidth="10" defaultColWidth="11.42578125" defaultRowHeight="15" x14ac:dyDescent="0.25"/>
  <cols>
    <col min="1" max="1" width="12.85546875" style="84" bestFit="1" customWidth="1"/>
    <col min="2" max="2" width="71" style="84" bestFit="1" customWidth="1"/>
    <col min="3" max="3" width="18.42578125" style="89" hidden="1" customWidth="1"/>
    <col min="4" max="4" width="16.42578125" style="89" hidden="1" customWidth="1"/>
    <col min="5" max="5" width="22.140625" style="89" hidden="1" customWidth="1"/>
    <col min="6" max="6" width="17.42578125" style="89" hidden="1" customWidth="1"/>
    <col min="7" max="7" width="21.42578125" style="89" customWidth="1"/>
    <col min="8" max="8" width="18" style="89" bestFit="1" customWidth="1"/>
    <col min="9" max="9" width="26.140625" style="89" bestFit="1" customWidth="1"/>
    <col min="10" max="10" width="19.7109375" style="89" bestFit="1" customWidth="1"/>
    <col min="11" max="11" width="16.42578125" style="89" bestFit="1" customWidth="1"/>
    <col min="12" max="12" width="17.42578125" style="89" bestFit="1" customWidth="1"/>
    <col min="13" max="13" width="21.5703125" style="89" bestFit="1" customWidth="1"/>
    <col min="14" max="14" width="17.42578125" style="89" bestFit="1" customWidth="1"/>
    <col min="15" max="15" width="19.7109375" style="89" bestFit="1" customWidth="1"/>
    <col min="16" max="16" width="22.7109375" style="89" bestFit="1" customWidth="1"/>
    <col min="17" max="17" width="17.42578125" style="89" bestFit="1" customWidth="1"/>
    <col min="18" max="18" width="16.42578125" style="84" bestFit="1" customWidth="1"/>
    <col min="19" max="19" width="12" style="92" hidden="1" customWidth="1"/>
    <col min="20" max="20" width="70.85546875" style="114" hidden="1" customWidth="1"/>
    <col min="21" max="21" width="18.42578125" style="84" hidden="1" customWidth="1"/>
    <col min="22" max="22" width="16.42578125" style="84" hidden="1" customWidth="1"/>
    <col min="23" max="24" width="17.42578125" style="84" hidden="1" customWidth="1"/>
    <col min="25" max="25" width="18.42578125" style="84" hidden="1" customWidth="1"/>
    <col min="26" max="26" width="20.140625" style="84" hidden="1" customWidth="1"/>
    <col min="27" max="27" width="16.85546875" style="84" hidden="1" customWidth="1"/>
    <col min="28" max="28" width="14.7109375" style="84" hidden="1" customWidth="1"/>
    <col min="29" max="29" width="18.140625" style="84" hidden="1" customWidth="1"/>
    <col min="30" max="30" width="17.42578125" style="84" hidden="1" customWidth="1"/>
    <col min="31" max="31" width="21.42578125" style="84" hidden="1" customWidth="1"/>
    <col min="32" max="32" width="19.140625" style="84" hidden="1" customWidth="1"/>
    <col min="33" max="33" width="14.7109375" style="84" hidden="1" customWidth="1"/>
    <col min="34" max="34" width="13.7109375" style="84" hidden="1" customWidth="1"/>
    <col min="35" max="35" width="14.7109375" style="84" hidden="1" customWidth="1"/>
    <col min="36" max="36" width="12" style="84" hidden="1" customWidth="1"/>
    <col min="37" max="37" width="10" style="84" hidden="1" customWidth="1"/>
    <col min="38" max="39" width="12" style="84" hidden="1" customWidth="1"/>
    <col min="40" max="40" width="14.7109375" style="84" hidden="1" customWidth="1"/>
    <col min="41" max="41" width="18.85546875" style="84" hidden="1" customWidth="1"/>
    <col min="42" max="42" width="19.42578125" style="84" hidden="1" customWidth="1"/>
    <col min="43" max="43" width="9.85546875" style="84" hidden="1" customWidth="1"/>
    <col min="44" max="44" width="0" style="84" hidden="1" customWidth="1"/>
    <col min="45" max="45" width="16.42578125" style="84" hidden="1" customWidth="1"/>
    <col min="46" max="46" width="0" style="84" hidden="1" customWidth="1"/>
    <col min="47" max="47" width="14.7109375" style="84" bestFit="1" customWidth="1"/>
    <col min="48" max="48" width="14.42578125" style="84" bestFit="1" customWidth="1"/>
    <col min="49" max="49" width="14.7109375" style="84" bestFit="1" customWidth="1"/>
    <col min="50" max="50" width="18.42578125" style="84" bestFit="1" customWidth="1"/>
    <col min="51" max="16384" width="11.42578125" style="84"/>
  </cols>
  <sheetData>
    <row r="4" spans="1:50" ht="36.75" customHeight="1" x14ac:dyDescent="0.25"/>
    <row r="5" spans="1:50" ht="30" x14ac:dyDescent="0.25">
      <c r="A5" s="44" t="s">
        <v>0</v>
      </c>
      <c r="B5" s="44" t="s">
        <v>1</v>
      </c>
      <c r="C5" s="45" t="s">
        <v>2</v>
      </c>
      <c r="D5" s="45" t="s">
        <v>3</v>
      </c>
      <c r="E5" s="45" t="s">
        <v>4</v>
      </c>
      <c r="F5" s="45" t="s">
        <v>5</v>
      </c>
      <c r="G5" s="45" t="s">
        <v>505</v>
      </c>
      <c r="H5" s="45" t="s">
        <v>797</v>
      </c>
      <c r="I5" s="45" t="s">
        <v>798</v>
      </c>
      <c r="J5" s="45" t="s">
        <v>506</v>
      </c>
      <c r="K5" s="45" t="s">
        <v>800</v>
      </c>
      <c r="L5" s="45" t="s">
        <v>801</v>
      </c>
      <c r="M5" s="45" t="s">
        <v>507</v>
      </c>
      <c r="N5" s="45" t="s">
        <v>803</v>
      </c>
      <c r="O5" s="45" t="s">
        <v>508</v>
      </c>
      <c r="P5" s="45" t="s">
        <v>220</v>
      </c>
      <c r="Q5" s="45" t="s">
        <v>509</v>
      </c>
      <c r="S5" s="93" t="s">
        <v>0</v>
      </c>
      <c r="T5" s="115" t="s">
        <v>1</v>
      </c>
      <c r="U5" s="94" t="s">
        <v>2</v>
      </c>
      <c r="V5" s="94" t="s">
        <v>3</v>
      </c>
      <c r="W5" s="94" t="s">
        <v>4</v>
      </c>
      <c r="X5" s="94" t="s">
        <v>5</v>
      </c>
      <c r="Y5" s="94" t="s">
        <v>796</v>
      </c>
      <c r="Z5" s="94" t="s">
        <v>847</v>
      </c>
      <c r="AA5" s="94" t="s">
        <v>848</v>
      </c>
      <c r="AB5" s="94" t="s">
        <v>797</v>
      </c>
      <c r="AC5" s="94" t="s">
        <v>849</v>
      </c>
      <c r="AD5" s="94" t="s">
        <v>850</v>
      </c>
      <c r="AE5" s="94" t="s">
        <v>798</v>
      </c>
      <c r="AF5" s="94" t="s">
        <v>799</v>
      </c>
      <c r="AG5" s="94" t="s">
        <v>851</v>
      </c>
      <c r="AH5" s="94" t="s">
        <v>800</v>
      </c>
      <c r="AI5" s="94" t="s">
        <v>801</v>
      </c>
      <c r="AJ5" s="84" t="s">
        <v>802</v>
      </c>
      <c r="AK5" s="84" t="s">
        <v>852</v>
      </c>
      <c r="AL5" s="84" t="s">
        <v>853</v>
      </c>
      <c r="AM5" s="84" t="s">
        <v>854</v>
      </c>
      <c r="AN5" s="84" t="s">
        <v>803</v>
      </c>
      <c r="AO5" s="84" t="s">
        <v>804</v>
      </c>
      <c r="AP5" s="94" t="s">
        <v>805</v>
      </c>
      <c r="AQ5" s="84" t="s">
        <v>806</v>
      </c>
    </row>
    <row r="6" spans="1:50" s="100" customFormat="1" x14ac:dyDescent="0.25">
      <c r="A6" s="97">
        <v>2</v>
      </c>
      <c r="B6" s="98" t="s">
        <v>6</v>
      </c>
      <c r="C6" s="99">
        <f>+C7+C249</f>
        <v>128545687388</v>
      </c>
      <c r="D6" s="99">
        <f>+D7+D249</f>
        <v>7759437788</v>
      </c>
      <c r="E6" s="99">
        <f>+E7+E249</f>
        <v>7759437788</v>
      </c>
      <c r="F6" s="99">
        <f>+F7+F249</f>
        <v>23509964354.469997</v>
      </c>
      <c r="G6" s="99">
        <f>+G7+G249</f>
        <v>152055651742.47</v>
      </c>
      <c r="H6" s="99">
        <v>15238209983.02</v>
      </c>
      <c r="I6" s="99">
        <v>40403412924.659996</v>
      </c>
      <c r="J6" s="99">
        <f>+J7+J249</f>
        <v>111286316876.81</v>
      </c>
      <c r="K6" s="99">
        <v>9489788089.5499992</v>
      </c>
      <c r="L6" s="99">
        <v>26519227522.739998</v>
      </c>
      <c r="M6" s="99">
        <f>+M7+M249</f>
        <v>13884185401.92</v>
      </c>
      <c r="N6" s="99">
        <v>49120514852.479996</v>
      </c>
      <c r="O6" s="99">
        <f>+O7+O249</f>
        <v>8523101927.8199997</v>
      </c>
      <c r="P6" s="99">
        <f>+P7+P249</f>
        <v>102763214948.98999</v>
      </c>
      <c r="Q6" s="99">
        <f>+Q7+Q249</f>
        <v>26518915171.739998</v>
      </c>
      <c r="S6" s="101">
        <v>2</v>
      </c>
      <c r="T6" s="116" t="s">
        <v>6</v>
      </c>
      <c r="U6" s="102">
        <v>128545687388</v>
      </c>
      <c r="V6" s="102">
        <v>7759437788</v>
      </c>
      <c r="W6" s="102">
        <v>5075285363</v>
      </c>
      <c r="X6" s="102">
        <v>18610783840.469997</v>
      </c>
      <c r="Y6" s="102">
        <v>149840623653.47</v>
      </c>
      <c r="Z6" s="102">
        <v>683868205</v>
      </c>
      <c r="AA6" s="102">
        <v>11534036</v>
      </c>
      <c r="AB6" s="119">
        <v>15238209983.02</v>
      </c>
      <c r="AC6" s="102">
        <v>15226675947.02</v>
      </c>
      <c r="AD6" s="102">
        <v>41087281129.659996</v>
      </c>
      <c r="AE6" s="119">
        <v>40403412924.659996</v>
      </c>
      <c r="AF6" s="102">
        <v>109437210728.81</v>
      </c>
      <c r="AG6" s="102">
        <v>305301365</v>
      </c>
      <c r="AH6" s="119">
        <v>9489788089.5499992</v>
      </c>
      <c r="AI6" s="119">
        <v>26519227522.739998</v>
      </c>
      <c r="AJ6" s="100">
        <v>14189486766.919998</v>
      </c>
      <c r="AK6" s="100">
        <v>301225482</v>
      </c>
      <c r="AL6" s="100">
        <v>11817766221.389999</v>
      </c>
      <c r="AM6" s="100">
        <v>49421740334.479996</v>
      </c>
      <c r="AN6" s="122">
        <v>49120514852.479996</v>
      </c>
      <c r="AO6" s="100">
        <v>8717101927.8199997</v>
      </c>
      <c r="AP6" s="102">
        <v>100720108800.99001</v>
      </c>
      <c r="AQ6" s="100">
        <v>0</v>
      </c>
      <c r="AS6" s="118">
        <f>+E6-W6</f>
        <v>2684152425</v>
      </c>
    </row>
    <row r="7" spans="1:50" s="100" customFormat="1" x14ac:dyDescent="0.25">
      <c r="A7" s="103">
        <v>21</v>
      </c>
      <c r="B7" s="104" t="s">
        <v>7</v>
      </c>
      <c r="C7" s="105">
        <f>+C8+C63+C235+C239+C241</f>
        <v>117594878148</v>
      </c>
      <c r="D7" s="105">
        <f>+D8+D63+D235+D239+D241</f>
        <v>2892716342</v>
      </c>
      <c r="E7" s="105">
        <f>+E8+E63+E235+E239+E241</f>
        <v>2892716342</v>
      </c>
      <c r="F7" s="105">
        <f>+F8+F63+F235+F239+F241</f>
        <v>3440415501</v>
      </c>
      <c r="G7" s="105">
        <f>+G8+G63+G235+G239+G241</f>
        <v>121035293649</v>
      </c>
      <c r="H7" s="105">
        <v>13287676687.18</v>
      </c>
      <c r="I7" s="105">
        <v>37112815762.720001</v>
      </c>
      <c r="J7" s="105">
        <f>+J8+J63+J235+J239+J241</f>
        <v>83556555945.279999</v>
      </c>
      <c r="K7" s="105">
        <v>8798014705.5499992</v>
      </c>
      <c r="L7" s="105">
        <v>25555036441.739998</v>
      </c>
      <c r="M7" s="105">
        <f>+M8+M63+M235+M239+M241</f>
        <v>11557779320.98</v>
      </c>
      <c r="N7" s="105">
        <v>41268881098.379997</v>
      </c>
      <c r="O7" s="105">
        <f>+O8+O63+O235+O239+O241</f>
        <v>3962065335.6599998</v>
      </c>
      <c r="P7" s="105">
        <f>+P8+P63+P235+P239+P241</f>
        <v>79594490609.619995</v>
      </c>
      <c r="Q7" s="105">
        <f>+Q8+Q63+Q235+Q239+Q241</f>
        <v>25554724090.739998</v>
      </c>
      <c r="S7" s="101">
        <v>21</v>
      </c>
      <c r="T7" s="116" t="s">
        <v>7</v>
      </c>
      <c r="U7" s="102">
        <v>117594878148</v>
      </c>
      <c r="V7" s="102">
        <v>2892716342</v>
      </c>
      <c r="W7" s="102">
        <v>2892716342</v>
      </c>
      <c r="X7" s="102">
        <v>3440415501</v>
      </c>
      <c r="Y7" s="102">
        <v>121035293649</v>
      </c>
      <c r="Z7" s="102">
        <v>671478846</v>
      </c>
      <c r="AA7" s="102">
        <v>5515951</v>
      </c>
      <c r="AB7" s="119">
        <v>13287676687.18</v>
      </c>
      <c r="AC7" s="102">
        <v>13282160736.18</v>
      </c>
      <c r="AD7" s="102">
        <v>37784294608.720001</v>
      </c>
      <c r="AE7" s="119">
        <v>37112815762.720001</v>
      </c>
      <c r="AF7" s="102">
        <v>83922477886.279999</v>
      </c>
      <c r="AG7" s="102">
        <v>297553177</v>
      </c>
      <c r="AH7" s="119">
        <v>8798014705.5499992</v>
      </c>
      <c r="AI7" s="119">
        <v>25555036441.739998</v>
      </c>
      <c r="AJ7" s="100">
        <v>11855332497.980003</v>
      </c>
      <c r="AK7" s="100">
        <v>287923123</v>
      </c>
      <c r="AL7" s="100">
        <v>8784700480.3899994</v>
      </c>
      <c r="AM7" s="100">
        <v>41556804221.379997</v>
      </c>
      <c r="AN7" s="122">
        <v>41268881098.379997</v>
      </c>
      <c r="AO7" s="100">
        <v>4156065335.659996</v>
      </c>
      <c r="AP7" s="102">
        <v>79766412550.619995</v>
      </c>
      <c r="AQ7" s="100">
        <v>0</v>
      </c>
      <c r="AS7" s="118">
        <f t="shared" ref="AS7:AS70" si="0">+E7-W7</f>
        <v>0</v>
      </c>
    </row>
    <row r="8" spans="1:50" s="100" customFormat="1" x14ac:dyDescent="0.25">
      <c r="A8" s="103">
        <v>211</v>
      </c>
      <c r="B8" s="104" t="s">
        <v>8</v>
      </c>
      <c r="C8" s="105">
        <f>+C9+C43</f>
        <v>103924427514</v>
      </c>
      <c r="D8" s="105">
        <f t="shared" ref="D8:Q8" si="1">+D9+D43</f>
        <v>0</v>
      </c>
      <c r="E8" s="105">
        <f t="shared" si="1"/>
        <v>2303003991</v>
      </c>
      <c r="F8" s="105">
        <f t="shared" si="1"/>
        <v>1771870902</v>
      </c>
      <c r="G8" s="105">
        <f t="shared" si="1"/>
        <v>103393294425</v>
      </c>
      <c r="H8" s="105">
        <v>11943587075.68</v>
      </c>
      <c r="I8" s="105">
        <v>27567461283.849998</v>
      </c>
      <c r="J8" s="105">
        <f t="shared" si="1"/>
        <v>75825833141.149994</v>
      </c>
      <c r="K8" s="105">
        <v>7816904309.1999998</v>
      </c>
      <c r="L8" s="105">
        <v>19453925698.369999</v>
      </c>
      <c r="M8" s="105">
        <f t="shared" si="1"/>
        <v>8113535585.4800005</v>
      </c>
      <c r="N8" s="105">
        <v>28517264946.169998</v>
      </c>
      <c r="O8" s="105">
        <f t="shared" si="1"/>
        <v>949803662.31999969</v>
      </c>
      <c r="P8" s="105">
        <f t="shared" si="1"/>
        <v>74876029478.830002</v>
      </c>
      <c r="Q8" s="105">
        <f t="shared" si="1"/>
        <v>19453925698.369999</v>
      </c>
      <c r="S8" s="101">
        <v>211</v>
      </c>
      <c r="T8" s="116" t="s">
        <v>8</v>
      </c>
      <c r="U8" s="102">
        <v>103924427514</v>
      </c>
      <c r="V8" s="102">
        <v>0</v>
      </c>
      <c r="W8" s="102">
        <v>2303003991</v>
      </c>
      <c r="X8" s="102">
        <v>1771870902</v>
      </c>
      <c r="Y8" s="102">
        <v>103393294425</v>
      </c>
      <c r="Z8" s="102">
        <v>0</v>
      </c>
      <c r="AA8" s="102">
        <v>0</v>
      </c>
      <c r="AB8" s="119">
        <v>11943587075.68</v>
      </c>
      <c r="AC8" s="102">
        <v>11943587075.68</v>
      </c>
      <c r="AD8" s="102">
        <v>27567461283.849998</v>
      </c>
      <c r="AE8" s="119">
        <v>27567461283.849998</v>
      </c>
      <c r="AF8" s="102">
        <v>75825833141.149994</v>
      </c>
      <c r="AG8" s="102">
        <v>0</v>
      </c>
      <c r="AH8" s="119">
        <v>7816904309.1999998</v>
      </c>
      <c r="AI8" s="119">
        <v>19453925698.369999</v>
      </c>
      <c r="AJ8" s="100">
        <v>8113535585.4799995</v>
      </c>
      <c r="AK8" s="100">
        <v>10161344</v>
      </c>
      <c r="AL8" s="100">
        <v>6890418263</v>
      </c>
      <c r="AM8" s="100">
        <v>28527426290.169998</v>
      </c>
      <c r="AN8" s="122">
        <v>28517264946.169998</v>
      </c>
      <c r="AO8" s="100">
        <v>949803662.31999969</v>
      </c>
      <c r="AP8" s="102">
        <v>74876029478.830002</v>
      </c>
      <c r="AQ8" s="100">
        <v>0</v>
      </c>
      <c r="AS8" s="118">
        <f t="shared" si="0"/>
        <v>0</v>
      </c>
      <c r="AW8" s="122">
        <f>+G9+G240</f>
        <v>78879567953</v>
      </c>
    </row>
    <row r="9" spans="1:50" s="100" customFormat="1" x14ac:dyDescent="0.25">
      <c r="A9" s="103">
        <v>2111</v>
      </c>
      <c r="B9" s="104" t="s">
        <v>9</v>
      </c>
      <c r="C9" s="105">
        <f>+C10+C27+C34</f>
        <v>76451082961</v>
      </c>
      <c r="D9" s="105">
        <f t="shared" ref="D9:Q9" si="2">+D10+D27+D34</f>
        <v>0</v>
      </c>
      <c r="E9" s="105">
        <f t="shared" si="2"/>
        <v>1938003991</v>
      </c>
      <c r="F9" s="105">
        <f t="shared" si="2"/>
        <v>0</v>
      </c>
      <c r="G9" s="105">
        <f t="shared" si="2"/>
        <v>74513078970</v>
      </c>
      <c r="H9" s="105">
        <v>5938321232</v>
      </c>
      <c r="I9" s="105">
        <v>16086711356.17</v>
      </c>
      <c r="J9" s="105">
        <f t="shared" si="2"/>
        <v>58426367613.830002</v>
      </c>
      <c r="K9" s="105">
        <v>6024007130</v>
      </c>
      <c r="L9" s="105">
        <v>16073449112.17</v>
      </c>
      <c r="M9" s="105">
        <f t="shared" si="2"/>
        <v>13262244</v>
      </c>
      <c r="N9" s="105">
        <v>16091736386.17</v>
      </c>
      <c r="O9" s="105">
        <f t="shared" si="2"/>
        <v>5025030</v>
      </c>
      <c r="P9" s="105">
        <f t="shared" si="2"/>
        <v>58421342583.830002</v>
      </c>
      <c r="Q9" s="105">
        <f t="shared" si="2"/>
        <v>16073449112.17</v>
      </c>
      <c r="S9" s="101">
        <v>2111</v>
      </c>
      <c r="T9" s="116" t="s">
        <v>9</v>
      </c>
      <c r="U9" s="102">
        <v>76451082961</v>
      </c>
      <c r="V9" s="102">
        <v>0</v>
      </c>
      <c r="W9" s="102">
        <v>1938003991</v>
      </c>
      <c r="X9" s="102">
        <v>0</v>
      </c>
      <c r="Y9" s="102">
        <v>74513078970</v>
      </c>
      <c r="Z9" s="102">
        <v>0</v>
      </c>
      <c r="AA9" s="102">
        <v>0</v>
      </c>
      <c r="AB9" s="119">
        <v>5938321232</v>
      </c>
      <c r="AC9" s="102">
        <v>5938321232</v>
      </c>
      <c r="AD9" s="102">
        <v>16086711356.17</v>
      </c>
      <c r="AE9" s="119">
        <v>16086711356.17</v>
      </c>
      <c r="AF9" s="102">
        <v>58426367613.830002</v>
      </c>
      <c r="AG9" s="102">
        <v>0</v>
      </c>
      <c r="AH9" s="119">
        <v>6024007130</v>
      </c>
      <c r="AI9" s="119">
        <v>16073449112.17</v>
      </c>
      <c r="AJ9" s="100">
        <v>13262244</v>
      </c>
      <c r="AK9" s="100">
        <v>0</v>
      </c>
      <c r="AL9" s="100">
        <v>5943346262</v>
      </c>
      <c r="AM9" s="100">
        <v>16091736386.17</v>
      </c>
      <c r="AN9" s="122">
        <v>16091736386.17</v>
      </c>
      <c r="AO9" s="100">
        <v>5025030</v>
      </c>
      <c r="AP9" s="102">
        <v>58421342583.830002</v>
      </c>
      <c r="AQ9" s="100">
        <v>0</v>
      </c>
      <c r="AS9" s="118">
        <f t="shared" si="0"/>
        <v>0</v>
      </c>
      <c r="AU9" s="122">
        <f>+H9*9</f>
        <v>53444891088</v>
      </c>
      <c r="AW9" s="122">
        <f>+AW8*61%</f>
        <v>48116536451.330002</v>
      </c>
      <c r="AX9" s="118">
        <f>+AW9+G43-4300000000</f>
        <v>72696751906.330002</v>
      </c>
    </row>
    <row r="10" spans="1:50" s="100" customFormat="1" x14ac:dyDescent="0.25">
      <c r="A10" s="106">
        <v>21111</v>
      </c>
      <c r="B10" s="107" t="s">
        <v>10</v>
      </c>
      <c r="C10" s="108">
        <f>+C11+C23</f>
        <v>58994774236</v>
      </c>
      <c r="D10" s="108">
        <f t="shared" ref="D10:Q10" si="3">+D11+D23</f>
        <v>0</v>
      </c>
      <c r="E10" s="108">
        <f t="shared" si="3"/>
        <v>0</v>
      </c>
      <c r="F10" s="108">
        <f t="shared" si="3"/>
        <v>0</v>
      </c>
      <c r="G10" s="108">
        <f t="shared" si="3"/>
        <v>58994774236</v>
      </c>
      <c r="H10" s="108">
        <v>4429937383</v>
      </c>
      <c r="I10" s="108">
        <v>11905366016.17</v>
      </c>
      <c r="J10" s="108">
        <f t="shared" si="3"/>
        <v>47089408219.830002</v>
      </c>
      <c r="K10" s="108">
        <v>4460860185</v>
      </c>
      <c r="L10" s="108">
        <v>11896223165.17</v>
      </c>
      <c r="M10" s="108">
        <f t="shared" si="3"/>
        <v>9142851</v>
      </c>
      <c r="N10" s="108">
        <v>11909146016.17</v>
      </c>
      <c r="O10" s="108">
        <f t="shared" si="3"/>
        <v>3780000</v>
      </c>
      <c r="P10" s="108">
        <f t="shared" si="3"/>
        <v>47085628219.830002</v>
      </c>
      <c r="Q10" s="108">
        <f t="shared" si="3"/>
        <v>11896223165.17</v>
      </c>
      <c r="S10" s="101">
        <v>21111</v>
      </c>
      <c r="T10" s="116" t="s">
        <v>10</v>
      </c>
      <c r="U10" s="102">
        <v>58994774236</v>
      </c>
      <c r="V10" s="102">
        <v>0</v>
      </c>
      <c r="W10" s="102">
        <v>0</v>
      </c>
      <c r="X10" s="102">
        <v>0</v>
      </c>
      <c r="Y10" s="102">
        <v>58994774236</v>
      </c>
      <c r="Z10" s="102">
        <v>0</v>
      </c>
      <c r="AA10" s="102">
        <v>0</v>
      </c>
      <c r="AB10" s="119">
        <v>4429937383</v>
      </c>
      <c r="AC10" s="102">
        <v>4429937383</v>
      </c>
      <c r="AD10" s="102">
        <v>11905366016.17</v>
      </c>
      <c r="AE10" s="119">
        <v>11905366016.17</v>
      </c>
      <c r="AF10" s="102">
        <v>47089408219.830002</v>
      </c>
      <c r="AG10" s="102">
        <v>0</v>
      </c>
      <c r="AH10" s="119">
        <v>4460860185</v>
      </c>
      <c r="AI10" s="119">
        <v>11896223165.17</v>
      </c>
      <c r="AJ10" s="100">
        <v>9142851</v>
      </c>
      <c r="AK10" s="100">
        <v>0</v>
      </c>
      <c r="AL10" s="100">
        <v>4433717383</v>
      </c>
      <c r="AM10" s="100">
        <v>11909146016.17</v>
      </c>
      <c r="AN10" s="122">
        <v>11909146016.17</v>
      </c>
      <c r="AO10" s="100">
        <v>3780000</v>
      </c>
      <c r="AP10" s="102">
        <v>47085628219.830002</v>
      </c>
      <c r="AQ10" s="100">
        <v>0</v>
      </c>
      <c r="AS10" s="118">
        <f t="shared" si="0"/>
        <v>0</v>
      </c>
      <c r="AW10" s="128">
        <f>+AW8-AW9</f>
        <v>30763031501.669998</v>
      </c>
      <c r="AX10" s="128">
        <f>+AW10+4300000000</f>
        <v>35063031501.669998</v>
      </c>
    </row>
    <row r="11" spans="1:50" s="100" customFormat="1" x14ac:dyDescent="0.25">
      <c r="A11" s="109">
        <v>211111</v>
      </c>
      <c r="B11" s="110" t="s">
        <v>11</v>
      </c>
      <c r="C11" s="111">
        <f>+C12+C13+C14+C15+C16+C17+C18+C19+C22</f>
        <v>57900582100</v>
      </c>
      <c r="D11" s="111">
        <f t="shared" ref="D11:Q11" si="4">+D12+D13+D14+D15+D16+D17+D18+D19+D22</f>
        <v>0</v>
      </c>
      <c r="E11" s="111">
        <f t="shared" si="4"/>
        <v>0</v>
      </c>
      <c r="F11" s="111">
        <f t="shared" si="4"/>
        <v>0</v>
      </c>
      <c r="G11" s="111">
        <f t="shared" si="4"/>
        <v>57900582100</v>
      </c>
      <c r="H11" s="111">
        <v>4429937383</v>
      </c>
      <c r="I11" s="111">
        <v>11868630727.17</v>
      </c>
      <c r="J11" s="111">
        <f t="shared" si="4"/>
        <v>46031951372.830002</v>
      </c>
      <c r="K11" s="111">
        <v>4435490356</v>
      </c>
      <c r="L11" s="111">
        <v>11864164321.17</v>
      </c>
      <c r="M11" s="111">
        <f t="shared" si="4"/>
        <v>4466406</v>
      </c>
      <c r="N11" s="111">
        <v>11868630727.17</v>
      </c>
      <c r="O11" s="111">
        <f t="shared" si="4"/>
        <v>0</v>
      </c>
      <c r="P11" s="111">
        <f t="shared" si="4"/>
        <v>46031951372.830002</v>
      </c>
      <c r="Q11" s="111">
        <f t="shared" si="4"/>
        <v>11864164321.17</v>
      </c>
      <c r="S11" s="101">
        <v>211111</v>
      </c>
      <c r="T11" s="116" t="s">
        <v>11</v>
      </c>
      <c r="U11" s="102">
        <v>57900582100</v>
      </c>
      <c r="V11" s="102">
        <v>0</v>
      </c>
      <c r="W11" s="102">
        <v>0</v>
      </c>
      <c r="X11" s="102">
        <v>0</v>
      </c>
      <c r="Y11" s="102">
        <v>57900582100</v>
      </c>
      <c r="Z11" s="102">
        <v>0</v>
      </c>
      <c r="AA11" s="102">
        <v>0</v>
      </c>
      <c r="AB11" s="119">
        <v>4429937383</v>
      </c>
      <c r="AC11" s="102">
        <v>4429937383</v>
      </c>
      <c r="AD11" s="102">
        <v>11868630727.17</v>
      </c>
      <c r="AE11" s="119">
        <v>11868630727.17</v>
      </c>
      <c r="AF11" s="102">
        <v>46031951372.830002</v>
      </c>
      <c r="AG11" s="102">
        <v>0</v>
      </c>
      <c r="AH11" s="119">
        <v>4435490356</v>
      </c>
      <c r="AI11" s="119">
        <v>11864164321.17</v>
      </c>
      <c r="AJ11" s="100">
        <v>4466406</v>
      </c>
      <c r="AK11" s="100">
        <v>0</v>
      </c>
      <c r="AL11" s="100">
        <v>4429937383</v>
      </c>
      <c r="AM11" s="100">
        <v>11868630727.17</v>
      </c>
      <c r="AN11" s="122">
        <v>11868630727.17</v>
      </c>
      <c r="AO11" s="100">
        <v>0</v>
      </c>
      <c r="AP11" s="102">
        <v>46031951372.830002</v>
      </c>
      <c r="AQ11" s="100">
        <v>0</v>
      </c>
      <c r="AS11" s="118">
        <f t="shared" si="0"/>
        <v>0</v>
      </c>
    </row>
    <row r="12" spans="1:50" x14ac:dyDescent="0.25">
      <c r="A12" s="88">
        <v>2111111</v>
      </c>
      <c r="B12" s="86" t="s">
        <v>510</v>
      </c>
      <c r="C12" s="91">
        <v>32061480419</v>
      </c>
      <c r="D12" s="91">
        <v>0</v>
      </c>
      <c r="E12" s="91">
        <v>0</v>
      </c>
      <c r="F12" s="91">
        <v>0</v>
      </c>
      <c r="G12" s="91">
        <f>+C12+D12-E12+F12</f>
        <v>32061480419</v>
      </c>
      <c r="H12" s="91">
        <v>2949458708</v>
      </c>
      <c r="I12" s="91">
        <v>7551478217</v>
      </c>
      <c r="J12" s="91">
        <f t="shared" ref="J12:J70" si="5">+G12-I12</f>
        <v>24510002202</v>
      </c>
      <c r="K12" s="91">
        <v>2947068209</v>
      </c>
      <c r="L12" s="91">
        <v>7548977225</v>
      </c>
      <c r="M12" s="91">
        <f t="shared" ref="M12:M70" si="6">+I12-L12</f>
        <v>2500992</v>
      </c>
      <c r="N12" s="91">
        <v>7551478217</v>
      </c>
      <c r="O12" s="91">
        <f t="shared" ref="O12:O70" si="7">+N12-I12</f>
        <v>0</v>
      </c>
      <c r="P12" s="91">
        <f t="shared" ref="P12:P70" si="8">+G12-N12</f>
        <v>24510002202</v>
      </c>
      <c r="Q12" s="91">
        <f t="shared" ref="Q12:Q70" si="9">+L12</f>
        <v>7548977225</v>
      </c>
      <c r="S12" s="96">
        <v>2111111</v>
      </c>
      <c r="T12" s="117" t="s">
        <v>669</v>
      </c>
      <c r="U12" s="95">
        <v>32061480419</v>
      </c>
      <c r="V12" s="95">
        <v>0</v>
      </c>
      <c r="W12" s="95">
        <v>0</v>
      </c>
      <c r="X12" s="95">
        <v>0</v>
      </c>
      <c r="Y12" s="95">
        <v>32061480419</v>
      </c>
      <c r="Z12" s="95">
        <v>0</v>
      </c>
      <c r="AA12" s="95">
        <v>0</v>
      </c>
      <c r="AB12" s="120">
        <v>2949458708</v>
      </c>
      <c r="AC12" s="95">
        <v>2949458708</v>
      </c>
      <c r="AD12" s="95">
        <v>7551478217</v>
      </c>
      <c r="AE12" s="120">
        <v>7551478217</v>
      </c>
      <c r="AF12" s="95">
        <v>24510002202</v>
      </c>
      <c r="AG12" s="95">
        <v>0</v>
      </c>
      <c r="AH12" s="120">
        <v>2947068209</v>
      </c>
      <c r="AI12" s="120">
        <v>7548977225</v>
      </c>
      <c r="AJ12" s="84">
        <v>2500992</v>
      </c>
      <c r="AK12" s="84">
        <v>0</v>
      </c>
      <c r="AL12" s="84">
        <v>2949458708</v>
      </c>
      <c r="AM12" s="84">
        <v>7551478217</v>
      </c>
      <c r="AN12" s="121">
        <v>7551478217</v>
      </c>
      <c r="AO12" s="84">
        <v>0</v>
      </c>
      <c r="AP12" s="95">
        <v>24510002202</v>
      </c>
      <c r="AQ12" s="84">
        <v>0</v>
      </c>
      <c r="AS12" s="118">
        <f t="shared" si="0"/>
        <v>0</v>
      </c>
      <c r="AU12" s="121">
        <f>+H12*9</f>
        <v>26545128372</v>
      </c>
      <c r="AV12" s="121">
        <f>+AU12-P12</f>
        <v>2035126170</v>
      </c>
    </row>
    <row r="13" spans="1:50" x14ac:dyDescent="0.25">
      <c r="A13" s="88">
        <v>2111112</v>
      </c>
      <c r="B13" s="86" t="s">
        <v>511</v>
      </c>
      <c r="C13" s="91">
        <v>585798342</v>
      </c>
      <c r="D13" s="91">
        <v>0</v>
      </c>
      <c r="E13" s="91">
        <v>0</v>
      </c>
      <c r="F13" s="91">
        <v>0</v>
      </c>
      <c r="G13" s="91">
        <f>+C13+D13-E13+F13</f>
        <v>585798342</v>
      </c>
      <c r="H13" s="91">
        <v>46364130</v>
      </c>
      <c r="I13" s="91">
        <v>121742528</v>
      </c>
      <c r="J13" s="91">
        <f>+G13-I13</f>
        <v>464055814</v>
      </c>
      <c r="K13" s="91">
        <v>46364130</v>
      </c>
      <c r="L13" s="91">
        <v>121742528</v>
      </c>
      <c r="M13" s="91">
        <f t="shared" si="6"/>
        <v>0</v>
      </c>
      <c r="N13" s="91">
        <v>121742528</v>
      </c>
      <c r="O13" s="91">
        <f t="shared" si="7"/>
        <v>0</v>
      </c>
      <c r="P13" s="91">
        <f t="shared" si="8"/>
        <v>464055814</v>
      </c>
      <c r="Q13" s="91">
        <f t="shared" si="9"/>
        <v>121742528</v>
      </c>
      <c r="S13" s="96">
        <v>2111112</v>
      </c>
      <c r="T13" s="117" t="s">
        <v>670</v>
      </c>
      <c r="U13" s="95">
        <v>585798342</v>
      </c>
      <c r="V13" s="95">
        <v>0</v>
      </c>
      <c r="W13" s="95">
        <v>0</v>
      </c>
      <c r="X13" s="95">
        <v>0</v>
      </c>
      <c r="Y13" s="95">
        <v>585798342</v>
      </c>
      <c r="Z13" s="95">
        <v>0</v>
      </c>
      <c r="AA13" s="95">
        <v>0</v>
      </c>
      <c r="AB13" s="120">
        <v>46364130</v>
      </c>
      <c r="AC13" s="95">
        <v>46364130</v>
      </c>
      <c r="AD13" s="95">
        <v>121742528</v>
      </c>
      <c r="AE13" s="120">
        <v>121742528</v>
      </c>
      <c r="AF13" s="95">
        <v>464055814</v>
      </c>
      <c r="AG13" s="95">
        <v>0</v>
      </c>
      <c r="AH13" s="120">
        <v>46364130</v>
      </c>
      <c r="AI13" s="120">
        <v>121742528</v>
      </c>
      <c r="AJ13" s="84">
        <v>0</v>
      </c>
      <c r="AK13" s="84">
        <v>0</v>
      </c>
      <c r="AL13" s="84">
        <v>46364130</v>
      </c>
      <c r="AM13" s="84">
        <v>121742528</v>
      </c>
      <c r="AN13" s="121">
        <v>121742528</v>
      </c>
      <c r="AO13" s="84">
        <v>0</v>
      </c>
      <c r="AP13" s="95">
        <v>464055814</v>
      </c>
      <c r="AQ13" s="84">
        <v>0</v>
      </c>
      <c r="AS13" s="118">
        <f t="shared" si="0"/>
        <v>0</v>
      </c>
      <c r="AU13" s="121">
        <f t="shared" ref="AU13:AU18" si="10">+H13*9</f>
        <v>417277170</v>
      </c>
      <c r="AV13" s="121">
        <f t="shared" ref="AV13:AV18" si="11">+AU13-P13</f>
        <v>-46778644</v>
      </c>
    </row>
    <row r="14" spans="1:50" x14ac:dyDescent="0.25">
      <c r="A14" s="88">
        <v>2111113</v>
      </c>
      <c r="B14" s="86" t="s">
        <v>512</v>
      </c>
      <c r="C14" s="91">
        <v>12743785045</v>
      </c>
      <c r="D14" s="91">
        <v>0</v>
      </c>
      <c r="E14" s="91">
        <v>0</v>
      </c>
      <c r="F14" s="91">
        <v>0</v>
      </c>
      <c r="G14" s="91">
        <f>+C14+D14-E14+F14</f>
        <v>12743785045</v>
      </c>
      <c r="H14" s="91">
        <v>1175562288</v>
      </c>
      <c r="I14" s="91">
        <v>3184826194</v>
      </c>
      <c r="J14" s="91">
        <f t="shared" si="5"/>
        <v>9558958851</v>
      </c>
      <c r="K14" s="91">
        <v>1175562288</v>
      </c>
      <c r="L14" s="91">
        <v>3184826194</v>
      </c>
      <c r="M14" s="91">
        <f t="shared" si="6"/>
        <v>0</v>
      </c>
      <c r="N14" s="91">
        <v>3184826194</v>
      </c>
      <c r="O14" s="91">
        <f t="shared" si="7"/>
        <v>0</v>
      </c>
      <c r="P14" s="91">
        <f t="shared" si="8"/>
        <v>9558958851</v>
      </c>
      <c r="Q14" s="91">
        <f t="shared" si="9"/>
        <v>3184826194</v>
      </c>
      <c r="S14" s="96">
        <v>2111113</v>
      </c>
      <c r="T14" s="117" t="s">
        <v>671</v>
      </c>
      <c r="U14" s="95">
        <v>12743785045</v>
      </c>
      <c r="V14" s="95">
        <v>0</v>
      </c>
      <c r="W14" s="95">
        <v>0</v>
      </c>
      <c r="X14" s="95">
        <v>0</v>
      </c>
      <c r="Y14" s="95">
        <v>12743785045</v>
      </c>
      <c r="Z14" s="95">
        <v>0</v>
      </c>
      <c r="AA14" s="95">
        <v>0</v>
      </c>
      <c r="AB14" s="120">
        <v>1175562288</v>
      </c>
      <c r="AC14" s="95">
        <v>1175562288</v>
      </c>
      <c r="AD14" s="95">
        <v>3184826194</v>
      </c>
      <c r="AE14" s="120">
        <v>3184826194</v>
      </c>
      <c r="AF14" s="95">
        <v>9558958851</v>
      </c>
      <c r="AG14" s="95">
        <v>0</v>
      </c>
      <c r="AH14" s="120">
        <v>1175562288</v>
      </c>
      <c r="AI14" s="120">
        <v>3184826194</v>
      </c>
      <c r="AJ14" s="84">
        <v>0</v>
      </c>
      <c r="AK14" s="84">
        <v>0</v>
      </c>
      <c r="AL14" s="84">
        <v>1175562288</v>
      </c>
      <c r="AM14" s="84">
        <v>3184826194</v>
      </c>
      <c r="AN14" s="121">
        <v>3184826194</v>
      </c>
      <c r="AO14" s="84">
        <v>0</v>
      </c>
      <c r="AP14" s="95">
        <v>9558958851</v>
      </c>
      <c r="AQ14" s="84">
        <v>0</v>
      </c>
      <c r="AS14" s="118">
        <f t="shared" si="0"/>
        <v>0</v>
      </c>
      <c r="AU14" s="121">
        <f t="shared" si="10"/>
        <v>10580060592</v>
      </c>
      <c r="AV14" s="121">
        <f t="shared" si="11"/>
        <v>1021101741</v>
      </c>
    </row>
    <row r="15" spans="1:50" x14ac:dyDescent="0.25">
      <c r="A15" s="88">
        <v>2111114</v>
      </c>
      <c r="B15" s="86" t="s">
        <v>513</v>
      </c>
      <c r="C15" s="91">
        <v>319163730</v>
      </c>
      <c r="D15" s="91">
        <v>0</v>
      </c>
      <c r="E15" s="91">
        <v>0</v>
      </c>
      <c r="F15" s="91">
        <v>0</v>
      </c>
      <c r="G15" s="91">
        <f>+C15+D15-E15+F15</f>
        <v>319163730</v>
      </c>
      <c r="H15" s="91">
        <v>23562044</v>
      </c>
      <c r="I15" s="91">
        <v>66832556</v>
      </c>
      <c r="J15" s="91">
        <f t="shared" si="5"/>
        <v>252331174</v>
      </c>
      <c r="K15" s="91">
        <v>23562044</v>
      </c>
      <c r="L15" s="91">
        <v>66832556</v>
      </c>
      <c r="M15" s="91">
        <f t="shared" si="6"/>
        <v>0</v>
      </c>
      <c r="N15" s="91">
        <v>66832556</v>
      </c>
      <c r="O15" s="91">
        <f t="shared" si="7"/>
        <v>0</v>
      </c>
      <c r="P15" s="91">
        <f t="shared" si="8"/>
        <v>252331174</v>
      </c>
      <c r="Q15" s="91">
        <f t="shared" si="9"/>
        <v>66832556</v>
      </c>
      <c r="S15" s="96">
        <v>2111114</v>
      </c>
      <c r="T15" s="117" t="s">
        <v>672</v>
      </c>
      <c r="U15" s="95">
        <v>319163730</v>
      </c>
      <c r="V15" s="95">
        <v>0</v>
      </c>
      <c r="W15" s="95">
        <v>0</v>
      </c>
      <c r="X15" s="95">
        <v>0</v>
      </c>
      <c r="Y15" s="95">
        <v>319163730</v>
      </c>
      <c r="Z15" s="95">
        <v>0</v>
      </c>
      <c r="AA15" s="95">
        <v>0</v>
      </c>
      <c r="AB15" s="120">
        <v>23562044</v>
      </c>
      <c r="AC15" s="95">
        <v>23562044</v>
      </c>
      <c r="AD15" s="95">
        <v>66832556</v>
      </c>
      <c r="AE15" s="120">
        <v>66832556</v>
      </c>
      <c r="AF15" s="95">
        <v>252331174</v>
      </c>
      <c r="AG15" s="95">
        <v>0</v>
      </c>
      <c r="AH15" s="120">
        <v>23562044</v>
      </c>
      <c r="AI15" s="120">
        <v>66832556</v>
      </c>
      <c r="AJ15" s="84">
        <v>0</v>
      </c>
      <c r="AK15" s="84">
        <v>0</v>
      </c>
      <c r="AL15" s="84">
        <v>23562044</v>
      </c>
      <c r="AM15" s="84">
        <v>66832556</v>
      </c>
      <c r="AN15" s="121">
        <v>66832556</v>
      </c>
      <c r="AO15" s="84">
        <v>0</v>
      </c>
      <c r="AP15" s="95">
        <v>252331174</v>
      </c>
      <c r="AQ15" s="84">
        <v>0</v>
      </c>
      <c r="AS15" s="118">
        <f t="shared" si="0"/>
        <v>0</v>
      </c>
      <c r="AU15" s="121">
        <f t="shared" si="10"/>
        <v>212058396</v>
      </c>
      <c r="AV15" s="121">
        <f t="shared" si="11"/>
        <v>-40272778</v>
      </c>
    </row>
    <row r="16" spans="1:50" x14ac:dyDescent="0.25">
      <c r="A16" s="88">
        <v>2111115</v>
      </c>
      <c r="B16" s="86" t="s">
        <v>514</v>
      </c>
      <c r="C16" s="91">
        <v>331125950</v>
      </c>
      <c r="D16" s="91">
        <v>0</v>
      </c>
      <c r="E16" s="91">
        <v>0</v>
      </c>
      <c r="F16" s="91">
        <v>0</v>
      </c>
      <c r="G16" s="91">
        <f t="shared" ref="G16:G79" si="12">+C16+D16-E16+F16</f>
        <v>331125950</v>
      </c>
      <c r="H16" s="91">
        <v>21409024</v>
      </c>
      <c r="I16" s="91">
        <v>64539823</v>
      </c>
      <c r="J16" s="91">
        <f t="shared" si="5"/>
        <v>266586127</v>
      </c>
      <c r="K16" s="91">
        <v>21413215</v>
      </c>
      <c r="L16" s="91">
        <v>64539823</v>
      </c>
      <c r="M16" s="91">
        <f t="shared" si="6"/>
        <v>0</v>
      </c>
      <c r="N16" s="91">
        <v>64539823</v>
      </c>
      <c r="O16" s="91">
        <f t="shared" si="7"/>
        <v>0</v>
      </c>
      <c r="P16" s="91">
        <f t="shared" si="8"/>
        <v>266586127</v>
      </c>
      <c r="Q16" s="91">
        <f t="shared" si="9"/>
        <v>64539823</v>
      </c>
      <c r="S16" s="96">
        <v>2111115</v>
      </c>
      <c r="T16" s="117" t="s">
        <v>673</v>
      </c>
      <c r="U16" s="95">
        <v>331125950</v>
      </c>
      <c r="V16" s="95">
        <v>0</v>
      </c>
      <c r="W16" s="95">
        <v>0</v>
      </c>
      <c r="X16" s="95">
        <v>0</v>
      </c>
      <c r="Y16" s="95">
        <v>331125950</v>
      </c>
      <c r="Z16" s="95">
        <v>0</v>
      </c>
      <c r="AA16" s="95">
        <v>0</v>
      </c>
      <c r="AB16" s="120">
        <v>21409024</v>
      </c>
      <c r="AC16" s="95">
        <v>21409024</v>
      </c>
      <c r="AD16" s="95">
        <v>64539823</v>
      </c>
      <c r="AE16" s="120">
        <v>64539823</v>
      </c>
      <c r="AF16" s="95">
        <v>266586127</v>
      </c>
      <c r="AG16" s="95">
        <v>0</v>
      </c>
      <c r="AH16" s="120">
        <v>21413215</v>
      </c>
      <c r="AI16" s="120">
        <v>64539823</v>
      </c>
      <c r="AJ16" s="84">
        <v>0</v>
      </c>
      <c r="AK16" s="84">
        <v>0</v>
      </c>
      <c r="AL16" s="84">
        <v>21409024</v>
      </c>
      <c r="AM16" s="84">
        <v>64539823</v>
      </c>
      <c r="AN16" s="121">
        <v>64539823</v>
      </c>
      <c r="AO16" s="84">
        <v>0</v>
      </c>
      <c r="AP16" s="95">
        <v>266586127</v>
      </c>
      <c r="AQ16" s="84">
        <v>0</v>
      </c>
      <c r="AS16" s="118">
        <f t="shared" si="0"/>
        <v>0</v>
      </c>
      <c r="AU16" s="121">
        <f t="shared" si="10"/>
        <v>192681216</v>
      </c>
      <c r="AV16" s="121">
        <f t="shared" si="11"/>
        <v>-73904911</v>
      </c>
    </row>
    <row r="17" spans="1:48" x14ac:dyDescent="0.25">
      <c r="A17" s="88">
        <v>2111116</v>
      </c>
      <c r="B17" s="86" t="s">
        <v>515</v>
      </c>
      <c r="C17" s="91">
        <v>3339172054</v>
      </c>
      <c r="D17" s="91">
        <v>0</v>
      </c>
      <c r="E17" s="91">
        <v>0</v>
      </c>
      <c r="F17" s="91">
        <v>0</v>
      </c>
      <c r="G17" s="91">
        <f t="shared" si="12"/>
        <v>3339172054</v>
      </c>
      <c r="H17" s="91">
        <v>4442848</v>
      </c>
      <c r="I17" s="91">
        <v>18630170</v>
      </c>
      <c r="J17" s="91">
        <f t="shared" si="5"/>
        <v>3320541884</v>
      </c>
      <c r="K17" s="91">
        <v>4519365</v>
      </c>
      <c r="L17" s="91">
        <v>18306743</v>
      </c>
      <c r="M17" s="91">
        <f t="shared" si="6"/>
        <v>323427</v>
      </c>
      <c r="N17" s="91">
        <v>18630170</v>
      </c>
      <c r="O17" s="91">
        <f t="shared" si="7"/>
        <v>0</v>
      </c>
      <c r="P17" s="91">
        <f t="shared" si="8"/>
        <v>3320541884</v>
      </c>
      <c r="Q17" s="91">
        <f t="shared" si="9"/>
        <v>18306743</v>
      </c>
      <c r="S17" s="96">
        <v>2111116</v>
      </c>
      <c r="T17" s="117" t="s">
        <v>674</v>
      </c>
      <c r="U17" s="95">
        <v>3339172054</v>
      </c>
      <c r="V17" s="95">
        <v>0</v>
      </c>
      <c r="W17" s="95">
        <v>0</v>
      </c>
      <c r="X17" s="95">
        <v>0</v>
      </c>
      <c r="Y17" s="95">
        <v>3339172054</v>
      </c>
      <c r="Z17" s="95">
        <v>0</v>
      </c>
      <c r="AA17" s="95">
        <v>0</v>
      </c>
      <c r="AB17" s="120">
        <v>4442848</v>
      </c>
      <c r="AC17" s="95">
        <v>4442848</v>
      </c>
      <c r="AD17" s="95">
        <v>18630170</v>
      </c>
      <c r="AE17" s="120">
        <v>18630170</v>
      </c>
      <c r="AF17" s="95">
        <v>3320541884</v>
      </c>
      <c r="AG17" s="95">
        <v>0</v>
      </c>
      <c r="AH17" s="120">
        <v>4519365</v>
      </c>
      <c r="AI17" s="120">
        <v>18306743</v>
      </c>
      <c r="AJ17" s="84">
        <v>323427</v>
      </c>
      <c r="AK17" s="84">
        <v>0</v>
      </c>
      <c r="AL17" s="84">
        <v>4442848</v>
      </c>
      <c r="AM17" s="84">
        <v>18630170</v>
      </c>
      <c r="AN17" s="121">
        <v>18630170</v>
      </c>
      <c r="AO17" s="84">
        <v>0</v>
      </c>
      <c r="AP17" s="95">
        <v>3320541884</v>
      </c>
      <c r="AQ17" s="84">
        <v>0</v>
      </c>
      <c r="AS17" s="118">
        <f t="shared" si="0"/>
        <v>0</v>
      </c>
      <c r="AU17" s="121">
        <f t="shared" si="10"/>
        <v>39985632</v>
      </c>
      <c r="AV17" s="121">
        <f t="shared" si="11"/>
        <v>-3280556252</v>
      </c>
    </row>
    <row r="18" spans="1:48" x14ac:dyDescent="0.25">
      <c r="A18" s="88">
        <v>2111117</v>
      </c>
      <c r="B18" s="86" t="s">
        <v>516</v>
      </c>
      <c r="C18" s="91">
        <v>1856673210</v>
      </c>
      <c r="D18" s="91">
        <v>0</v>
      </c>
      <c r="E18" s="91">
        <v>0</v>
      </c>
      <c r="F18" s="91">
        <v>0</v>
      </c>
      <c r="G18" s="91">
        <f t="shared" si="12"/>
        <v>1856673210</v>
      </c>
      <c r="H18" s="91">
        <v>178257682</v>
      </c>
      <c r="I18" s="91">
        <v>700039309</v>
      </c>
      <c r="J18" s="91">
        <f t="shared" si="5"/>
        <v>1156633901</v>
      </c>
      <c r="K18" s="91">
        <v>180220617</v>
      </c>
      <c r="L18" s="91">
        <v>699931113</v>
      </c>
      <c r="M18" s="91">
        <f t="shared" si="6"/>
        <v>108196</v>
      </c>
      <c r="N18" s="91">
        <v>700039309</v>
      </c>
      <c r="O18" s="91">
        <f t="shared" si="7"/>
        <v>0</v>
      </c>
      <c r="P18" s="91">
        <f t="shared" si="8"/>
        <v>1156633901</v>
      </c>
      <c r="Q18" s="91">
        <f t="shared" si="9"/>
        <v>699931113</v>
      </c>
      <c r="S18" s="96">
        <v>2111117</v>
      </c>
      <c r="T18" s="117" t="s">
        <v>675</v>
      </c>
      <c r="U18" s="95">
        <v>1856673210</v>
      </c>
      <c r="V18" s="95">
        <v>0</v>
      </c>
      <c r="W18" s="95">
        <v>0</v>
      </c>
      <c r="X18" s="95">
        <v>0</v>
      </c>
      <c r="Y18" s="95">
        <v>1856673210</v>
      </c>
      <c r="Z18" s="95">
        <v>0</v>
      </c>
      <c r="AA18" s="95">
        <v>0</v>
      </c>
      <c r="AB18" s="120">
        <v>178257682</v>
      </c>
      <c r="AC18" s="95">
        <v>178257682</v>
      </c>
      <c r="AD18" s="95">
        <v>700039309</v>
      </c>
      <c r="AE18" s="120">
        <v>700039309</v>
      </c>
      <c r="AF18" s="95">
        <v>1156633901</v>
      </c>
      <c r="AG18" s="95">
        <v>0</v>
      </c>
      <c r="AH18" s="120">
        <v>180220617</v>
      </c>
      <c r="AI18" s="120">
        <v>699931113</v>
      </c>
      <c r="AJ18" s="84">
        <v>108196</v>
      </c>
      <c r="AK18" s="84">
        <v>0</v>
      </c>
      <c r="AL18" s="84">
        <v>178257682</v>
      </c>
      <c r="AM18" s="84">
        <v>700039309</v>
      </c>
      <c r="AN18" s="121">
        <v>700039309</v>
      </c>
      <c r="AO18" s="84">
        <v>0</v>
      </c>
      <c r="AP18" s="95">
        <v>1156633901</v>
      </c>
      <c r="AQ18" s="84">
        <v>0</v>
      </c>
      <c r="AS18" s="118">
        <f t="shared" si="0"/>
        <v>0</v>
      </c>
      <c r="AU18" s="121">
        <f t="shared" si="10"/>
        <v>1604319138</v>
      </c>
      <c r="AV18" s="121">
        <f t="shared" si="11"/>
        <v>447685237</v>
      </c>
    </row>
    <row r="19" spans="1:48" s="100" customFormat="1" x14ac:dyDescent="0.25">
      <c r="A19" s="109">
        <v>2111118</v>
      </c>
      <c r="B19" s="110" t="s">
        <v>12</v>
      </c>
      <c r="C19" s="111">
        <f>+C20+C21</f>
        <v>6389023991</v>
      </c>
      <c r="D19" s="111">
        <f t="shared" ref="D19:Q19" si="13">+D20+D21</f>
        <v>0</v>
      </c>
      <c r="E19" s="111">
        <f t="shared" si="13"/>
        <v>0</v>
      </c>
      <c r="F19" s="111">
        <f t="shared" si="13"/>
        <v>0</v>
      </c>
      <c r="G19" s="111">
        <f t="shared" si="13"/>
        <v>6389023991</v>
      </c>
      <c r="H19" s="111">
        <v>6140575</v>
      </c>
      <c r="I19" s="111">
        <v>92909882.170000002</v>
      </c>
      <c r="J19" s="111">
        <f t="shared" si="13"/>
        <v>6296114108.8299999</v>
      </c>
      <c r="K19" s="111">
        <v>12040404</v>
      </c>
      <c r="L19" s="111">
        <v>91376091.170000002</v>
      </c>
      <c r="M19" s="111">
        <f t="shared" si="13"/>
        <v>1533791</v>
      </c>
      <c r="N19" s="111">
        <v>92909882.170000002</v>
      </c>
      <c r="O19" s="111">
        <f t="shared" si="13"/>
        <v>0</v>
      </c>
      <c r="P19" s="111">
        <f t="shared" si="13"/>
        <v>6296114108.8299999</v>
      </c>
      <c r="Q19" s="111">
        <f t="shared" si="13"/>
        <v>91376091.170000002</v>
      </c>
      <c r="S19" s="101">
        <v>2111118</v>
      </c>
      <c r="T19" s="116" t="s">
        <v>12</v>
      </c>
      <c r="U19" s="102">
        <v>6389023991</v>
      </c>
      <c r="V19" s="102">
        <v>0</v>
      </c>
      <c r="W19" s="102">
        <v>0</v>
      </c>
      <c r="X19" s="102">
        <v>0</v>
      </c>
      <c r="Y19" s="102">
        <v>6389023991</v>
      </c>
      <c r="Z19" s="102">
        <v>0</v>
      </c>
      <c r="AA19" s="102">
        <v>0</v>
      </c>
      <c r="AB19" s="119">
        <v>6140575</v>
      </c>
      <c r="AC19" s="102">
        <v>6140575</v>
      </c>
      <c r="AD19" s="102">
        <v>92909882.170000002</v>
      </c>
      <c r="AE19" s="119">
        <v>92909882.170000002</v>
      </c>
      <c r="AF19" s="102">
        <v>6296114108.8299999</v>
      </c>
      <c r="AG19" s="102">
        <v>0</v>
      </c>
      <c r="AH19" s="119">
        <v>12040404</v>
      </c>
      <c r="AI19" s="119">
        <v>91376091.170000002</v>
      </c>
      <c r="AJ19" s="100">
        <v>1533791</v>
      </c>
      <c r="AK19" s="100">
        <v>0</v>
      </c>
      <c r="AL19" s="100">
        <v>6140575</v>
      </c>
      <c r="AM19" s="100">
        <v>92909882.170000002</v>
      </c>
      <c r="AN19" s="122">
        <v>92909882.170000002</v>
      </c>
      <c r="AO19" s="100">
        <v>0</v>
      </c>
      <c r="AP19" s="102">
        <v>6296114108.8299999</v>
      </c>
      <c r="AQ19" s="100">
        <v>0</v>
      </c>
      <c r="AS19" s="118">
        <f t="shared" si="0"/>
        <v>0</v>
      </c>
      <c r="AU19" s="122"/>
      <c r="AV19" s="122"/>
    </row>
    <row r="20" spans="1:48" x14ac:dyDescent="0.25">
      <c r="A20" s="88">
        <v>21111181</v>
      </c>
      <c r="B20" s="86" t="s">
        <v>517</v>
      </c>
      <c r="C20" s="91">
        <v>3937020869</v>
      </c>
      <c r="D20" s="91">
        <v>0</v>
      </c>
      <c r="E20" s="91">
        <v>0</v>
      </c>
      <c r="F20" s="91">
        <v>0</v>
      </c>
      <c r="G20" s="91">
        <f t="shared" si="12"/>
        <v>3937020869</v>
      </c>
      <c r="H20" s="91">
        <v>4487086</v>
      </c>
      <c r="I20" s="91">
        <v>45337360.170000002</v>
      </c>
      <c r="J20" s="91">
        <f t="shared" si="5"/>
        <v>3891683508.8299999</v>
      </c>
      <c r="K20" s="91">
        <v>4690215</v>
      </c>
      <c r="L20" s="91">
        <v>45337360.170000002</v>
      </c>
      <c r="M20" s="91">
        <f t="shared" si="6"/>
        <v>0</v>
      </c>
      <c r="N20" s="91">
        <v>45337360.170000002</v>
      </c>
      <c r="O20" s="91">
        <f t="shared" si="7"/>
        <v>0</v>
      </c>
      <c r="P20" s="91">
        <f t="shared" si="8"/>
        <v>3891683508.8299999</v>
      </c>
      <c r="Q20" s="91">
        <f t="shared" si="9"/>
        <v>45337360.170000002</v>
      </c>
      <c r="S20" s="96">
        <v>21111181</v>
      </c>
      <c r="T20" s="117" t="s">
        <v>676</v>
      </c>
      <c r="U20" s="95">
        <v>3937020869</v>
      </c>
      <c r="V20" s="95">
        <v>0</v>
      </c>
      <c r="W20" s="95">
        <v>0</v>
      </c>
      <c r="X20" s="95">
        <v>0</v>
      </c>
      <c r="Y20" s="95">
        <v>3937020869</v>
      </c>
      <c r="Z20" s="95">
        <v>0</v>
      </c>
      <c r="AA20" s="95">
        <v>0</v>
      </c>
      <c r="AB20" s="120">
        <v>4487086</v>
      </c>
      <c r="AC20" s="95">
        <v>4487086</v>
      </c>
      <c r="AD20" s="95">
        <v>45337360.170000002</v>
      </c>
      <c r="AE20" s="120">
        <v>45337360.170000002</v>
      </c>
      <c r="AF20" s="95">
        <v>3891683508.8299999</v>
      </c>
      <c r="AG20" s="95">
        <v>0</v>
      </c>
      <c r="AH20" s="120">
        <v>4690215</v>
      </c>
      <c r="AI20" s="120">
        <v>45337360.170000002</v>
      </c>
      <c r="AJ20" s="84">
        <v>0</v>
      </c>
      <c r="AK20" s="84">
        <v>0</v>
      </c>
      <c r="AL20" s="84">
        <v>4487086</v>
      </c>
      <c r="AM20" s="84">
        <v>45337360.170000002</v>
      </c>
      <c r="AN20" s="121">
        <v>45337360.170000002</v>
      </c>
      <c r="AO20" s="84">
        <v>0</v>
      </c>
      <c r="AP20" s="95">
        <v>3891683508.8299999</v>
      </c>
      <c r="AQ20" s="84">
        <v>0</v>
      </c>
      <c r="AS20" s="118">
        <f t="shared" si="0"/>
        <v>0</v>
      </c>
      <c r="AU20" s="121">
        <f t="shared" ref="AU20:AU22" si="14">+H20*9</f>
        <v>40383774</v>
      </c>
      <c r="AV20" s="121">
        <f t="shared" ref="AV20:AV22" si="15">+AU20-P20</f>
        <v>-3851299734.8299999</v>
      </c>
    </row>
    <row r="21" spans="1:48" x14ac:dyDescent="0.25">
      <c r="A21" s="88">
        <v>21111182</v>
      </c>
      <c r="B21" s="86" t="s">
        <v>518</v>
      </c>
      <c r="C21" s="91">
        <v>2452003122</v>
      </c>
      <c r="D21" s="91">
        <v>0</v>
      </c>
      <c r="E21" s="91">
        <v>0</v>
      </c>
      <c r="F21" s="91">
        <v>0</v>
      </c>
      <c r="G21" s="91">
        <f t="shared" si="12"/>
        <v>2452003122</v>
      </c>
      <c r="H21" s="91">
        <v>1653489</v>
      </c>
      <c r="I21" s="91">
        <v>47572522</v>
      </c>
      <c r="J21" s="91">
        <f t="shared" si="5"/>
        <v>2404430600</v>
      </c>
      <c r="K21" s="91">
        <v>7350189</v>
      </c>
      <c r="L21" s="91">
        <v>46038731</v>
      </c>
      <c r="M21" s="91">
        <f t="shared" si="6"/>
        <v>1533791</v>
      </c>
      <c r="N21" s="91">
        <v>47572522</v>
      </c>
      <c r="O21" s="91">
        <f t="shared" si="7"/>
        <v>0</v>
      </c>
      <c r="P21" s="91">
        <f t="shared" si="8"/>
        <v>2404430600</v>
      </c>
      <c r="Q21" s="91">
        <f t="shared" si="9"/>
        <v>46038731</v>
      </c>
      <c r="S21" s="96">
        <v>21111182</v>
      </c>
      <c r="T21" s="117" t="s">
        <v>677</v>
      </c>
      <c r="U21" s="95">
        <v>2452003122</v>
      </c>
      <c r="V21" s="95">
        <v>0</v>
      </c>
      <c r="W21" s="95">
        <v>0</v>
      </c>
      <c r="X21" s="95">
        <v>0</v>
      </c>
      <c r="Y21" s="95">
        <v>2452003122</v>
      </c>
      <c r="Z21" s="95">
        <v>0</v>
      </c>
      <c r="AA21" s="95">
        <v>0</v>
      </c>
      <c r="AB21" s="120">
        <v>1653489</v>
      </c>
      <c r="AC21" s="95">
        <v>1653489</v>
      </c>
      <c r="AD21" s="95">
        <v>47572522</v>
      </c>
      <c r="AE21" s="120">
        <v>47572522</v>
      </c>
      <c r="AF21" s="95">
        <v>2404430600</v>
      </c>
      <c r="AG21" s="95">
        <v>0</v>
      </c>
      <c r="AH21" s="120">
        <v>7350189</v>
      </c>
      <c r="AI21" s="120">
        <v>46038731</v>
      </c>
      <c r="AJ21" s="84">
        <v>1533791</v>
      </c>
      <c r="AK21" s="84">
        <v>0</v>
      </c>
      <c r="AL21" s="84">
        <v>1653489</v>
      </c>
      <c r="AM21" s="84">
        <v>47572522</v>
      </c>
      <c r="AN21" s="121">
        <v>47572522</v>
      </c>
      <c r="AO21" s="84">
        <v>0</v>
      </c>
      <c r="AP21" s="95">
        <v>2404430600</v>
      </c>
      <c r="AQ21" s="84">
        <v>0</v>
      </c>
      <c r="AS21" s="118">
        <f t="shared" si="0"/>
        <v>0</v>
      </c>
      <c r="AU21" s="121">
        <f t="shared" si="14"/>
        <v>14881401</v>
      </c>
      <c r="AV21" s="121">
        <f t="shared" si="15"/>
        <v>-2389549199</v>
      </c>
    </row>
    <row r="22" spans="1:48" x14ac:dyDescent="0.25">
      <c r="A22" s="88">
        <v>2111119</v>
      </c>
      <c r="B22" s="86" t="s">
        <v>519</v>
      </c>
      <c r="C22" s="91">
        <v>274359359</v>
      </c>
      <c r="D22" s="91">
        <v>0</v>
      </c>
      <c r="E22" s="91">
        <v>0</v>
      </c>
      <c r="F22" s="91">
        <v>0</v>
      </c>
      <c r="G22" s="91">
        <f t="shared" si="12"/>
        <v>274359359</v>
      </c>
      <c r="H22" s="91">
        <v>24740084</v>
      </c>
      <c r="I22" s="91">
        <v>67632048</v>
      </c>
      <c r="J22" s="91">
        <f t="shared" si="5"/>
        <v>206727311</v>
      </c>
      <c r="K22" s="91">
        <v>24740084</v>
      </c>
      <c r="L22" s="91">
        <v>67632048</v>
      </c>
      <c r="M22" s="91">
        <f t="shared" si="6"/>
        <v>0</v>
      </c>
      <c r="N22" s="91">
        <v>67632048</v>
      </c>
      <c r="O22" s="91">
        <f t="shared" si="7"/>
        <v>0</v>
      </c>
      <c r="P22" s="91">
        <f t="shared" si="8"/>
        <v>206727311</v>
      </c>
      <c r="Q22" s="91">
        <f t="shared" si="9"/>
        <v>67632048</v>
      </c>
      <c r="S22" s="96">
        <v>2111119</v>
      </c>
      <c r="T22" s="117" t="s">
        <v>678</v>
      </c>
      <c r="U22" s="95">
        <v>274359359</v>
      </c>
      <c r="V22" s="95">
        <v>0</v>
      </c>
      <c r="W22" s="95">
        <v>0</v>
      </c>
      <c r="X22" s="95">
        <v>0</v>
      </c>
      <c r="Y22" s="95">
        <v>274359359</v>
      </c>
      <c r="Z22" s="95">
        <v>0</v>
      </c>
      <c r="AA22" s="95">
        <v>0</v>
      </c>
      <c r="AB22" s="120">
        <v>24740084</v>
      </c>
      <c r="AC22" s="95">
        <v>24740084</v>
      </c>
      <c r="AD22" s="95">
        <v>67632048</v>
      </c>
      <c r="AE22" s="120">
        <v>67632048</v>
      </c>
      <c r="AF22" s="95">
        <v>206727311</v>
      </c>
      <c r="AG22" s="95">
        <v>0</v>
      </c>
      <c r="AH22" s="120">
        <v>24740084</v>
      </c>
      <c r="AI22" s="120">
        <v>67632048</v>
      </c>
      <c r="AJ22" s="84">
        <v>0</v>
      </c>
      <c r="AK22" s="84">
        <v>0</v>
      </c>
      <c r="AL22" s="84">
        <v>24740084</v>
      </c>
      <c r="AM22" s="84">
        <v>67632048</v>
      </c>
      <c r="AN22" s="121">
        <v>67632048</v>
      </c>
      <c r="AO22" s="84">
        <v>0</v>
      </c>
      <c r="AP22" s="95">
        <v>206727311</v>
      </c>
      <c r="AQ22" s="84">
        <v>0</v>
      </c>
      <c r="AS22" s="118">
        <f t="shared" si="0"/>
        <v>0</v>
      </c>
      <c r="AU22" s="121">
        <f t="shared" si="14"/>
        <v>222660756</v>
      </c>
      <c r="AV22" s="121">
        <f t="shared" si="15"/>
        <v>15933445</v>
      </c>
    </row>
    <row r="23" spans="1:48" s="100" customFormat="1" x14ac:dyDescent="0.25">
      <c r="A23" s="109">
        <v>211112</v>
      </c>
      <c r="B23" s="110" t="s">
        <v>13</v>
      </c>
      <c r="C23" s="111">
        <f>SUM(C24:C26)</f>
        <v>1094192136</v>
      </c>
      <c r="D23" s="111">
        <f t="shared" ref="D23:Q23" si="16">SUM(D24:D26)</f>
        <v>0</v>
      </c>
      <c r="E23" s="111">
        <f t="shared" si="16"/>
        <v>0</v>
      </c>
      <c r="F23" s="111">
        <f t="shared" si="16"/>
        <v>0</v>
      </c>
      <c r="G23" s="111">
        <f t="shared" si="16"/>
        <v>1094192136</v>
      </c>
      <c r="H23" s="111">
        <v>0</v>
      </c>
      <c r="I23" s="111">
        <v>36735289</v>
      </c>
      <c r="J23" s="111">
        <f t="shared" si="16"/>
        <v>1057456847</v>
      </c>
      <c r="K23" s="111">
        <v>25369829</v>
      </c>
      <c r="L23" s="111">
        <v>32058844</v>
      </c>
      <c r="M23" s="111">
        <f t="shared" si="16"/>
        <v>4676445</v>
      </c>
      <c r="N23" s="111">
        <v>40515289</v>
      </c>
      <c r="O23" s="111">
        <f t="shared" si="16"/>
        <v>3780000</v>
      </c>
      <c r="P23" s="111">
        <f t="shared" si="16"/>
        <v>1053676847</v>
      </c>
      <c r="Q23" s="111">
        <f t="shared" si="16"/>
        <v>32058844</v>
      </c>
      <c r="S23" s="101">
        <v>211112</v>
      </c>
      <c r="T23" s="116" t="s">
        <v>13</v>
      </c>
      <c r="U23" s="102">
        <v>1094192136</v>
      </c>
      <c r="V23" s="102">
        <v>0</v>
      </c>
      <c r="W23" s="102">
        <v>0</v>
      </c>
      <c r="X23" s="102">
        <v>0</v>
      </c>
      <c r="Y23" s="102">
        <v>1094192136</v>
      </c>
      <c r="Z23" s="102">
        <v>0</v>
      </c>
      <c r="AA23" s="102">
        <v>0</v>
      </c>
      <c r="AB23" s="119">
        <v>0</v>
      </c>
      <c r="AC23" s="102">
        <v>0</v>
      </c>
      <c r="AD23" s="102">
        <v>36735289</v>
      </c>
      <c r="AE23" s="119">
        <v>36735289</v>
      </c>
      <c r="AF23" s="102">
        <v>1057456847</v>
      </c>
      <c r="AG23" s="102">
        <v>0</v>
      </c>
      <c r="AH23" s="119">
        <v>25369829</v>
      </c>
      <c r="AI23" s="119">
        <v>32058844</v>
      </c>
      <c r="AJ23" s="100">
        <v>4676445</v>
      </c>
      <c r="AK23" s="100">
        <v>0</v>
      </c>
      <c r="AL23" s="100">
        <v>3780000</v>
      </c>
      <c r="AM23" s="100">
        <v>40515289</v>
      </c>
      <c r="AN23" s="122">
        <v>40515289</v>
      </c>
      <c r="AO23" s="100">
        <v>3780000</v>
      </c>
      <c r="AP23" s="102">
        <v>1053676847</v>
      </c>
      <c r="AQ23" s="100">
        <v>0</v>
      </c>
      <c r="AS23" s="118">
        <f t="shared" si="0"/>
        <v>0</v>
      </c>
      <c r="AU23" s="122"/>
      <c r="AV23" s="122"/>
    </row>
    <row r="24" spans="1:48" x14ac:dyDescent="0.25">
      <c r="A24" s="88">
        <v>2111122</v>
      </c>
      <c r="B24" s="86" t="s">
        <v>520</v>
      </c>
      <c r="C24" s="91">
        <v>71380618</v>
      </c>
      <c r="D24" s="91">
        <v>0</v>
      </c>
      <c r="E24" s="91">
        <v>0</v>
      </c>
      <c r="F24" s="91">
        <v>0</v>
      </c>
      <c r="G24" s="91">
        <f t="shared" si="12"/>
        <v>71380618</v>
      </c>
      <c r="H24" s="91">
        <v>0</v>
      </c>
      <c r="I24" s="91">
        <v>6689015</v>
      </c>
      <c r="J24" s="91">
        <f t="shared" si="5"/>
        <v>64691603</v>
      </c>
      <c r="K24" s="91">
        <v>0</v>
      </c>
      <c r="L24" s="91">
        <v>6689015</v>
      </c>
      <c r="M24" s="91">
        <f t="shared" si="6"/>
        <v>0</v>
      </c>
      <c r="N24" s="91">
        <v>6689015</v>
      </c>
      <c r="O24" s="91">
        <f t="shared" si="7"/>
        <v>0</v>
      </c>
      <c r="P24" s="91">
        <f t="shared" si="8"/>
        <v>64691603</v>
      </c>
      <c r="Q24" s="91">
        <f t="shared" si="9"/>
        <v>6689015</v>
      </c>
      <c r="S24" s="96">
        <v>2111122</v>
      </c>
      <c r="T24" s="117" t="s">
        <v>679</v>
      </c>
      <c r="U24" s="95">
        <v>71380618</v>
      </c>
      <c r="V24" s="95">
        <v>0</v>
      </c>
      <c r="W24" s="95">
        <v>0</v>
      </c>
      <c r="X24" s="95">
        <v>0</v>
      </c>
      <c r="Y24" s="95">
        <v>71380618</v>
      </c>
      <c r="Z24" s="95">
        <v>0</v>
      </c>
      <c r="AA24" s="95">
        <v>0</v>
      </c>
      <c r="AB24" s="120">
        <v>0</v>
      </c>
      <c r="AC24" s="95">
        <v>0</v>
      </c>
      <c r="AD24" s="95">
        <v>6689015</v>
      </c>
      <c r="AE24" s="120">
        <v>6689015</v>
      </c>
      <c r="AF24" s="95">
        <v>64691603</v>
      </c>
      <c r="AG24" s="95">
        <v>0</v>
      </c>
      <c r="AH24" s="120">
        <v>0</v>
      </c>
      <c r="AI24" s="120">
        <v>6689015</v>
      </c>
      <c r="AJ24" s="84">
        <v>0</v>
      </c>
      <c r="AK24" s="84">
        <v>0</v>
      </c>
      <c r="AL24" s="84">
        <v>0</v>
      </c>
      <c r="AM24" s="84">
        <v>6689015</v>
      </c>
      <c r="AN24" s="121">
        <v>6689015</v>
      </c>
      <c r="AO24" s="84">
        <v>0</v>
      </c>
      <c r="AP24" s="95">
        <v>64691603</v>
      </c>
      <c r="AQ24" s="84">
        <v>0</v>
      </c>
      <c r="AS24" s="118">
        <f t="shared" si="0"/>
        <v>0</v>
      </c>
      <c r="AU24" s="121">
        <f t="shared" ref="AU24:AU26" si="17">+H24*9</f>
        <v>0</v>
      </c>
      <c r="AV24" s="121">
        <f t="shared" ref="AV24:AV26" si="18">+AU24-P24</f>
        <v>-64691603</v>
      </c>
    </row>
    <row r="25" spans="1:48" x14ac:dyDescent="0.25">
      <c r="A25" s="88">
        <v>2111124</v>
      </c>
      <c r="B25" s="86" t="s">
        <v>521</v>
      </c>
      <c r="C25" s="91">
        <v>65137062</v>
      </c>
      <c r="D25" s="91">
        <v>0</v>
      </c>
      <c r="E25" s="91">
        <v>0</v>
      </c>
      <c r="F25" s="91">
        <v>0</v>
      </c>
      <c r="G25" s="91">
        <f t="shared" si="12"/>
        <v>65137062</v>
      </c>
      <c r="H25" s="91">
        <v>0</v>
      </c>
      <c r="I25" s="91">
        <v>0</v>
      </c>
      <c r="J25" s="91">
        <f t="shared" si="5"/>
        <v>65137062</v>
      </c>
      <c r="K25" s="91">
        <v>0</v>
      </c>
      <c r="L25" s="91">
        <v>0</v>
      </c>
      <c r="M25" s="91">
        <f t="shared" si="6"/>
        <v>0</v>
      </c>
      <c r="N25" s="91">
        <v>3780000</v>
      </c>
      <c r="O25" s="91">
        <f t="shared" si="7"/>
        <v>3780000</v>
      </c>
      <c r="P25" s="91">
        <f t="shared" si="8"/>
        <v>61357062</v>
      </c>
      <c r="Q25" s="91">
        <f t="shared" si="9"/>
        <v>0</v>
      </c>
      <c r="S25" s="96">
        <v>2111124</v>
      </c>
      <c r="T25" s="117" t="s">
        <v>680</v>
      </c>
      <c r="U25" s="95">
        <v>65137062</v>
      </c>
      <c r="V25" s="95">
        <v>0</v>
      </c>
      <c r="W25" s="95">
        <v>0</v>
      </c>
      <c r="X25" s="95">
        <v>0</v>
      </c>
      <c r="Y25" s="95">
        <v>65137062</v>
      </c>
      <c r="Z25" s="95">
        <v>0</v>
      </c>
      <c r="AA25" s="95">
        <v>0</v>
      </c>
      <c r="AB25" s="120">
        <v>0</v>
      </c>
      <c r="AC25" s="95">
        <v>0</v>
      </c>
      <c r="AD25" s="95">
        <v>0</v>
      </c>
      <c r="AE25" s="120">
        <v>0</v>
      </c>
      <c r="AF25" s="95">
        <v>65137062</v>
      </c>
      <c r="AG25" s="95">
        <v>0</v>
      </c>
      <c r="AH25" s="120">
        <v>0</v>
      </c>
      <c r="AI25" s="120">
        <v>0</v>
      </c>
      <c r="AJ25" s="84">
        <v>0</v>
      </c>
      <c r="AK25" s="84">
        <v>0</v>
      </c>
      <c r="AL25" s="84">
        <v>3780000</v>
      </c>
      <c r="AM25" s="84">
        <v>3780000</v>
      </c>
      <c r="AN25" s="121">
        <v>3780000</v>
      </c>
      <c r="AO25" s="84">
        <v>3780000</v>
      </c>
      <c r="AP25" s="95">
        <v>61357062</v>
      </c>
      <c r="AQ25" s="84">
        <v>0</v>
      </c>
      <c r="AS25" s="118">
        <f t="shared" si="0"/>
        <v>0</v>
      </c>
      <c r="AU25" s="121">
        <f t="shared" si="17"/>
        <v>0</v>
      </c>
      <c r="AV25" s="121">
        <f t="shared" si="18"/>
        <v>-61357062</v>
      </c>
    </row>
    <row r="26" spans="1:48" x14ac:dyDescent="0.25">
      <c r="A26" s="88">
        <v>2111126</v>
      </c>
      <c r="B26" s="86" t="s">
        <v>522</v>
      </c>
      <c r="C26" s="91">
        <v>957674456</v>
      </c>
      <c r="D26" s="91">
        <v>0</v>
      </c>
      <c r="E26" s="91">
        <v>0</v>
      </c>
      <c r="F26" s="91">
        <v>0</v>
      </c>
      <c r="G26" s="91">
        <f t="shared" si="12"/>
        <v>957674456</v>
      </c>
      <c r="H26" s="91">
        <v>0</v>
      </c>
      <c r="I26" s="91">
        <v>30046274</v>
      </c>
      <c r="J26" s="91">
        <f t="shared" si="5"/>
        <v>927628182</v>
      </c>
      <c r="K26" s="91">
        <v>25369829</v>
      </c>
      <c r="L26" s="91">
        <v>25369829</v>
      </c>
      <c r="M26" s="91">
        <f t="shared" si="6"/>
        <v>4676445</v>
      </c>
      <c r="N26" s="91">
        <v>30046274</v>
      </c>
      <c r="O26" s="91">
        <f t="shared" si="7"/>
        <v>0</v>
      </c>
      <c r="P26" s="91">
        <f t="shared" si="8"/>
        <v>927628182</v>
      </c>
      <c r="Q26" s="91">
        <f t="shared" si="9"/>
        <v>25369829</v>
      </c>
      <c r="S26" s="96">
        <v>2111126</v>
      </c>
      <c r="T26" s="117" t="s">
        <v>681</v>
      </c>
      <c r="U26" s="95">
        <v>957674456</v>
      </c>
      <c r="V26" s="95">
        <v>0</v>
      </c>
      <c r="W26" s="95">
        <v>0</v>
      </c>
      <c r="X26" s="95">
        <v>0</v>
      </c>
      <c r="Y26" s="95">
        <v>957674456</v>
      </c>
      <c r="Z26" s="95">
        <v>0</v>
      </c>
      <c r="AA26" s="95">
        <v>0</v>
      </c>
      <c r="AB26" s="120">
        <v>0</v>
      </c>
      <c r="AC26" s="95">
        <v>0</v>
      </c>
      <c r="AD26" s="95">
        <v>30046274</v>
      </c>
      <c r="AE26" s="120">
        <v>30046274</v>
      </c>
      <c r="AF26" s="95">
        <v>927628182</v>
      </c>
      <c r="AG26" s="95">
        <v>0</v>
      </c>
      <c r="AH26" s="120">
        <v>25369829</v>
      </c>
      <c r="AI26" s="120">
        <v>25369829</v>
      </c>
      <c r="AJ26" s="84">
        <v>4676445</v>
      </c>
      <c r="AK26" s="84">
        <v>0</v>
      </c>
      <c r="AL26" s="84">
        <v>0</v>
      </c>
      <c r="AM26" s="84">
        <v>30046274</v>
      </c>
      <c r="AN26" s="121">
        <v>30046274</v>
      </c>
      <c r="AO26" s="84">
        <v>0</v>
      </c>
      <c r="AP26" s="95">
        <v>927628182</v>
      </c>
      <c r="AQ26" s="84">
        <v>0</v>
      </c>
      <c r="AS26" s="118">
        <f t="shared" si="0"/>
        <v>0</v>
      </c>
      <c r="AU26" s="121">
        <f t="shared" si="17"/>
        <v>0</v>
      </c>
      <c r="AV26" s="121">
        <f t="shared" si="18"/>
        <v>-927628182</v>
      </c>
    </row>
    <row r="27" spans="1:48" s="100" customFormat="1" x14ac:dyDescent="0.25">
      <c r="A27" s="109">
        <v>21112</v>
      </c>
      <c r="B27" s="110" t="s">
        <v>14</v>
      </c>
      <c r="C27" s="111">
        <f>SUM(C28:C33)</f>
        <v>16332606577</v>
      </c>
      <c r="D27" s="111">
        <f t="shared" ref="D27:Q27" si="19">SUM(D28:D33)</f>
        <v>0</v>
      </c>
      <c r="E27" s="111">
        <f t="shared" si="19"/>
        <v>1938003991</v>
      </c>
      <c r="F27" s="111">
        <f t="shared" si="19"/>
        <v>0</v>
      </c>
      <c r="G27" s="111">
        <f t="shared" si="19"/>
        <v>14394602586</v>
      </c>
      <c r="H27" s="111">
        <v>1291607887</v>
      </c>
      <c r="I27" s="111">
        <v>3804901322</v>
      </c>
      <c r="J27" s="111">
        <f t="shared" si="19"/>
        <v>10589701264</v>
      </c>
      <c r="K27" s="111">
        <v>1309182557</v>
      </c>
      <c r="L27" s="111">
        <v>3802300195</v>
      </c>
      <c r="M27" s="111">
        <f t="shared" si="19"/>
        <v>2601127</v>
      </c>
      <c r="N27" s="111">
        <v>3804901322</v>
      </c>
      <c r="O27" s="111">
        <f t="shared" si="19"/>
        <v>0</v>
      </c>
      <c r="P27" s="111">
        <f t="shared" si="19"/>
        <v>10589701264</v>
      </c>
      <c r="Q27" s="111">
        <f t="shared" si="19"/>
        <v>3802300195</v>
      </c>
      <c r="R27" s="112"/>
      <c r="S27" s="101">
        <v>21112</v>
      </c>
      <c r="T27" s="116" t="s">
        <v>14</v>
      </c>
      <c r="U27" s="102">
        <v>16332606577</v>
      </c>
      <c r="V27" s="102">
        <v>0</v>
      </c>
      <c r="W27" s="102">
        <v>1938003991</v>
      </c>
      <c r="X27" s="102">
        <v>0</v>
      </c>
      <c r="Y27" s="102">
        <v>14394602586</v>
      </c>
      <c r="Z27" s="102">
        <v>0</v>
      </c>
      <c r="AA27" s="102">
        <v>0</v>
      </c>
      <c r="AB27" s="119">
        <v>1291607887</v>
      </c>
      <c r="AC27" s="102">
        <v>1291607887</v>
      </c>
      <c r="AD27" s="102">
        <v>3804901322</v>
      </c>
      <c r="AE27" s="119">
        <v>3804901322</v>
      </c>
      <c r="AF27" s="102">
        <v>10589701264</v>
      </c>
      <c r="AG27" s="102">
        <v>0</v>
      </c>
      <c r="AH27" s="119">
        <v>1309182557</v>
      </c>
      <c r="AI27" s="119">
        <v>3802300195</v>
      </c>
      <c r="AJ27" s="100">
        <v>2601127</v>
      </c>
      <c r="AK27" s="100">
        <v>0</v>
      </c>
      <c r="AL27" s="100">
        <v>1291607887</v>
      </c>
      <c r="AM27" s="100">
        <v>3804901322</v>
      </c>
      <c r="AN27" s="122">
        <v>3804901322</v>
      </c>
      <c r="AO27" s="100">
        <v>0</v>
      </c>
      <c r="AP27" s="102">
        <v>10589701264</v>
      </c>
      <c r="AQ27" s="100">
        <v>0</v>
      </c>
      <c r="AS27" s="118">
        <f t="shared" si="0"/>
        <v>0</v>
      </c>
      <c r="AU27" s="122"/>
      <c r="AV27" s="122"/>
    </row>
    <row r="28" spans="1:48" x14ac:dyDescent="0.25">
      <c r="A28" s="88">
        <v>211121</v>
      </c>
      <c r="B28" s="86" t="s">
        <v>523</v>
      </c>
      <c r="C28" s="91">
        <v>6597489723</v>
      </c>
      <c r="D28" s="91">
        <v>0</v>
      </c>
      <c r="E28" s="91">
        <f>+W28</f>
        <v>518000000</v>
      </c>
      <c r="F28" s="91">
        <v>0</v>
      </c>
      <c r="G28" s="91">
        <f t="shared" si="12"/>
        <v>6079489723</v>
      </c>
      <c r="H28" s="91">
        <v>399331472</v>
      </c>
      <c r="I28" s="91">
        <v>1144483214</v>
      </c>
      <c r="J28" s="91">
        <f t="shared" si="5"/>
        <v>4935006509</v>
      </c>
      <c r="K28" s="91">
        <v>399331472</v>
      </c>
      <c r="L28" s="91">
        <v>1144483214</v>
      </c>
      <c r="M28" s="91">
        <f t="shared" si="6"/>
        <v>0</v>
      </c>
      <c r="N28" s="91">
        <v>1144483214</v>
      </c>
      <c r="O28" s="91">
        <f t="shared" si="7"/>
        <v>0</v>
      </c>
      <c r="P28" s="91">
        <f t="shared" si="8"/>
        <v>4935006509</v>
      </c>
      <c r="Q28" s="91">
        <f t="shared" si="9"/>
        <v>1144483214</v>
      </c>
      <c r="R28" s="89">
        <f>+K28*10</f>
        <v>3993314720</v>
      </c>
      <c r="S28" s="96">
        <v>211121</v>
      </c>
      <c r="T28" s="117" t="s">
        <v>682</v>
      </c>
      <c r="U28" s="95">
        <v>6597489723</v>
      </c>
      <c r="V28" s="95">
        <v>0</v>
      </c>
      <c r="W28" s="95">
        <v>518000000</v>
      </c>
      <c r="X28" s="95">
        <v>0</v>
      </c>
      <c r="Y28" s="95">
        <v>6079489723</v>
      </c>
      <c r="Z28" s="95">
        <v>0</v>
      </c>
      <c r="AA28" s="95">
        <v>0</v>
      </c>
      <c r="AB28" s="120">
        <v>399331472</v>
      </c>
      <c r="AC28" s="95">
        <v>399331472</v>
      </c>
      <c r="AD28" s="95">
        <v>1144483214</v>
      </c>
      <c r="AE28" s="120">
        <v>1144483214</v>
      </c>
      <c r="AF28" s="95">
        <v>4935006509</v>
      </c>
      <c r="AG28" s="95">
        <v>0</v>
      </c>
      <c r="AH28" s="120">
        <v>399331472</v>
      </c>
      <c r="AI28" s="120">
        <v>1144483214</v>
      </c>
      <c r="AJ28" s="84">
        <v>0</v>
      </c>
      <c r="AK28" s="84">
        <v>0</v>
      </c>
      <c r="AL28" s="84">
        <v>399331472</v>
      </c>
      <c r="AM28" s="84">
        <v>1144483214</v>
      </c>
      <c r="AN28" s="121">
        <v>1144483214</v>
      </c>
      <c r="AO28" s="84">
        <v>0</v>
      </c>
      <c r="AP28" s="95">
        <v>4935006509</v>
      </c>
      <c r="AQ28" s="84">
        <v>0</v>
      </c>
      <c r="AS28" s="118">
        <f t="shared" si="0"/>
        <v>0</v>
      </c>
      <c r="AU28" s="121">
        <f t="shared" ref="AU28:AU33" si="20">+H28*9</f>
        <v>3593983248</v>
      </c>
      <c r="AV28" s="121">
        <f t="shared" ref="AV28:AV33" si="21">+AU28-P28</f>
        <v>-1341023261</v>
      </c>
    </row>
    <row r="29" spans="1:48" x14ac:dyDescent="0.25">
      <c r="A29" s="88">
        <v>211122</v>
      </c>
      <c r="B29" s="86" t="s">
        <v>524</v>
      </c>
      <c r="C29" s="91">
        <v>4673221887</v>
      </c>
      <c r="D29" s="91">
        <v>0</v>
      </c>
      <c r="E29" s="91">
        <v>0</v>
      </c>
      <c r="F29" s="91">
        <v>0</v>
      </c>
      <c r="G29" s="91">
        <f t="shared" si="12"/>
        <v>4673221887</v>
      </c>
      <c r="H29" s="91">
        <v>545344830</v>
      </c>
      <c r="I29" s="91">
        <v>1303251654</v>
      </c>
      <c r="J29" s="91">
        <f t="shared" si="5"/>
        <v>3369970233</v>
      </c>
      <c r="K29" s="91">
        <v>545344830</v>
      </c>
      <c r="L29" s="91">
        <v>1303251654</v>
      </c>
      <c r="M29" s="91">
        <f t="shared" si="6"/>
        <v>0</v>
      </c>
      <c r="N29" s="91">
        <v>1303251654</v>
      </c>
      <c r="O29" s="91">
        <f t="shared" si="7"/>
        <v>0</v>
      </c>
      <c r="P29" s="91">
        <f t="shared" si="8"/>
        <v>3369970233</v>
      </c>
      <c r="Q29" s="91">
        <f t="shared" si="9"/>
        <v>1303251654</v>
      </c>
      <c r="R29" s="89">
        <f>+K29*10</f>
        <v>5453448300</v>
      </c>
      <c r="S29" s="96">
        <v>211122</v>
      </c>
      <c r="T29" s="117" t="s">
        <v>683</v>
      </c>
      <c r="U29" s="95">
        <v>4673221887</v>
      </c>
      <c r="V29" s="95">
        <v>0</v>
      </c>
      <c r="W29" s="95">
        <v>0</v>
      </c>
      <c r="X29" s="95">
        <v>0</v>
      </c>
      <c r="Y29" s="95">
        <v>4673221887</v>
      </c>
      <c r="Z29" s="95">
        <v>0</v>
      </c>
      <c r="AA29" s="95">
        <v>0</v>
      </c>
      <c r="AB29" s="120">
        <v>545344830</v>
      </c>
      <c r="AC29" s="95">
        <v>545344830</v>
      </c>
      <c r="AD29" s="95">
        <v>1303251654</v>
      </c>
      <c r="AE29" s="120">
        <v>1303251654</v>
      </c>
      <c r="AF29" s="95">
        <v>3369970233</v>
      </c>
      <c r="AG29" s="95">
        <v>0</v>
      </c>
      <c r="AH29" s="120">
        <v>545344830</v>
      </c>
      <c r="AI29" s="120">
        <v>1303251654</v>
      </c>
      <c r="AJ29" s="84">
        <v>0</v>
      </c>
      <c r="AK29" s="84">
        <v>0</v>
      </c>
      <c r="AL29" s="84">
        <v>545344830</v>
      </c>
      <c r="AM29" s="84">
        <v>1303251654</v>
      </c>
      <c r="AN29" s="121">
        <v>1303251654</v>
      </c>
      <c r="AO29" s="84">
        <v>0</v>
      </c>
      <c r="AP29" s="95">
        <v>3369970233</v>
      </c>
      <c r="AQ29" s="84">
        <v>0</v>
      </c>
      <c r="AS29" s="118">
        <f t="shared" si="0"/>
        <v>0</v>
      </c>
      <c r="AU29" s="121">
        <f t="shared" si="20"/>
        <v>4908103470</v>
      </c>
      <c r="AV29" s="121">
        <f t="shared" si="21"/>
        <v>1538133237</v>
      </c>
    </row>
    <row r="30" spans="1:48" x14ac:dyDescent="0.25">
      <c r="A30" s="88">
        <v>211123</v>
      </c>
      <c r="B30" s="86" t="s">
        <v>525</v>
      </c>
      <c r="C30" s="91">
        <v>890128449</v>
      </c>
      <c r="D30" s="91">
        <v>0</v>
      </c>
      <c r="E30" s="91">
        <v>485500000</v>
      </c>
      <c r="F30" s="91">
        <v>0</v>
      </c>
      <c r="G30" s="91">
        <f t="shared" si="12"/>
        <v>404628449</v>
      </c>
      <c r="H30" s="91">
        <v>0</v>
      </c>
      <c r="I30" s="91">
        <v>404628449</v>
      </c>
      <c r="J30" s="91">
        <f t="shared" si="5"/>
        <v>0</v>
      </c>
      <c r="K30" s="91">
        <v>19178410</v>
      </c>
      <c r="L30" s="91">
        <v>404628449</v>
      </c>
      <c r="M30" s="91">
        <f t="shared" si="6"/>
        <v>0</v>
      </c>
      <c r="N30" s="91">
        <v>404628449</v>
      </c>
      <c r="O30" s="91">
        <f t="shared" si="7"/>
        <v>0</v>
      </c>
      <c r="P30" s="91">
        <f t="shared" si="8"/>
        <v>0</v>
      </c>
      <c r="Q30" s="91">
        <f t="shared" si="9"/>
        <v>404628449</v>
      </c>
      <c r="R30" s="89"/>
      <c r="S30" s="96">
        <v>211123</v>
      </c>
      <c r="T30" s="117" t="s">
        <v>684</v>
      </c>
      <c r="U30" s="95">
        <v>890128449</v>
      </c>
      <c r="V30" s="95">
        <v>0</v>
      </c>
      <c r="W30" s="95">
        <v>485500000</v>
      </c>
      <c r="X30" s="95">
        <v>0</v>
      </c>
      <c r="Y30" s="95">
        <v>404628449</v>
      </c>
      <c r="Z30" s="95">
        <v>0</v>
      </c>
      <c r="AA30" s="95">
        <v>0</v>
      </c>
      <c r="AB30" s="120">
        <v>0</v>
      </c>
      <c r="AC30" s="95">
        <v>0</v>
      </c>
      <c r="AD30" s="95">
        <v>404628449</v>
      </c>
      <c r="AE30" s="120">
        <v>404628449</v>
      </c>
      <c r="AF30" s="95">
        <v>0</v>
      </c>
      <c r="AG30" s="95">
        <v>0</v>
      </c>
      <c r="AH30" s="120">
        <v>19178410</v>
      </c>
      <c r="AI30" s="120">
        <v>404628449</v>
      </c>
      <c r="AJ30" s="84">
        <v>0</v>
      </c>
      <c r="AK30" s="84">
        <v>0</v>
      </c>
      <c r="AL30" s="84">
        <v>0</v>
      </c>
      <c r="AM30" s="84">
        <v>404628449</v>
      </c>
      <c r="AN30" s="121">
        <v>404628449</v>
      </c>
      <c r="AO30" s="84">
        <v>0</v>
      </c>
      <c r="AP30" s="95">
        <v>0</v>
      </c>
      <c r="AQ30" s="84">
        <v>0</v>
      </c>
      <c r="AS30" s="118">
        <f t="shared" si="0"/>
        <v>0</v>
      </c>
      <c r="AU30" s="121">
        <f t="shared" si="20"/>
        <v>0</v>
      </c>
      <c r="AV30" s="121">
        <f t="shared" si="21"/>
        <v>0</v>
      </c>
    </row>
    <row r="31" spans="1:48" x14ac:dyDescent="0.25">
      <c r="A31" s="88">
        <v>211124</v>
      </c>
      <c r="B31" s="86" t="s">
        <v>526</v>
      </c>
      <c r="C31" s="91">
        <v>2199163241</v>
      </c>
      <c r="D31" s="91">
        <v>0</v>
      </c>
      <c r="E31" s="91">
        <v>684503991</v>
      </c>
      <c r="F31" s="91">
        <v>0</v>
      </c>
      <c r="G31" s="91">
        <f t="shared" si="12"/>
        <v>1514659250</v>
      </c>
      <c r="H31" s="91">
        <v>179641798</v>
      </c>
      <c r="I31" s="91">
        <v>497074218</v>
      </c>
      <c r="J31" s="91">
        <f t="shared" si="5"/>
        <v>1017585032</v>
      </c>
      <c r="K31" s="91">
        <v>179641798</v>
      </c>
      <c r="L31" s="91">
        <v>497074218</v>
      </c>
      <c r="M31" s="91">
        <f t="shared" si="6"/>
        <v>0</v>
      </c>
      <c r="N31" s="91">
        <v>497074218</v>
      </c>
      <c r="O31" s="91">
        <f t="shared" si="7"/>
        <v>0</v>
      </c>
      <c r="P31" s="91">
        <f t="shared" si="8"/>
        <v>1017585032</v>
      </c>
      <c r="Q31" s="91">
        <f t="shared" si="9"/>
        <v>497074218</v>
      </c>
      <c r="S31" s="96">
        <v>211124</v>
      </c>
      <c r="T31" s="117" t="s">
        <v>685</v>
      </c>
      <c r="U31" s="95">
        <v>2199163241</v>
      </c>
      <c r="V31" s="95">
        <v>0</v>
      </c>
      <c r="W31" s="95">
        <v>684503991</v>
      </c>
      <c r="X31" s="95">
        <v>0</v>
      </c>
      <c r="Y31" s="95">
        <v>1514659250</v>
      </c>
      <c r="Z31" s="95">
        <v>0</v>
      </c>
      <c r="AA31" s="95">
        <v>0</v>
      </c>
      <c r="AB31" s="120">
        <v>179641798</v>
      </c>
      <c r="AC31" s="95">
        <v>179641798</v>
      </c>
      <c r="AD31" s="95">
        <v>497074218</v>
      </c>
      <c r="AE31" s="120">
        <v>497074218</v>
      </c>
      <c r="AF31" s="95">
        <v>1017585032</v>
      </c>
      <c r="AG31" s="95">
        <v>0</v>
      </c>
      <c r="AH31" s="120">
        <v>179641798</v>
      </c>
      <c r="AI31" s="120">
        <v>497074218</v>
      </c>
      <c r="AJ31" s="84">
        <v>0</v>
      </c>
      <c r="AK31" s="84">
        <v>0</v>
      </c>
      <c r="AL31" s="84">
        <v>179641798</v>
      </c>
      <c r="AM31" s="84">
        <v>497074218</v>
      </c>
      <c r="AN31" s="121">
        <v>497074218</v>
      </c>
      <c r="AO31" s="84">
        <v>0</v>
      </c>
      <c r="AP31" s="95">
        <v>1017585032</v>
      </c>
      <c r="AQ31" s="84">
        <v>0</v>
      </c>
      <c r="AS31" s="118">
        <f t="shared" si="0"/>
        <v>0</v>
      </c>
      <c r="AU31" s="121">
        <f t="shared" si="20"/>
        <v>1616776182</v>
      </c>
      <c r="AV31" s="121">
        <f t="shared" si="21"/>
        <v>599191150</v>
      </c>
    </row>
    <row r="32" spans="1:48" x14ac:dyDescent="0.25">
      <c r="A32" s="88">
        <v>211125</v>
      </c>
      <c r="B32" s="86" t="s">
        <v>527</v>
      </c>
      <c r="C32" s="91">
        <v>323230846</v>
      </c>
      <c r="D32" s="91">
        <v>0</v>
      </c>
      <c r="E32" s="91">
        <v>0</v>
      </c>
      <c r="F32" s="91">
        <v>0</v>
      </c>
      <c r="G32" s="91">
        <f t="shared" si="12"/>
        <v>323230846</v>
      </c>
      <c r="H32" s="91">
        <v>32558440</v>
      </c>
      <c r="I32" s="91">
        <v>82658127</v>
      </c>
      <c r="J32" s="91">
        <f t="shared" si="5"/>
        <v>240572719</v>
      </c>
      <c r="K32" s="91">
        <v>30954700</v>
      </c>
      <c r="L32" s="91">
        <v>80057000</v>
      </c>
      <c r="M32" s="91">
        <f t="shared" si="6"/>
        <v>2601127</v>
      </c>
      <c r="N32" s="91">
        <v>82658127</v>
      </c>
      <c r="O32" s="91">
        <f t="shared" si="7"/>
        <v>0</v>
      </c>
      <c r="P32" s="91">
        <f t="shared" si="8"/>
        <v>240572719</v>
      </c>
      <c r="Q32" s="91">
        <f t="shared" si="9"/>
        <v>80057000</v>
      </c>
      <c r="S32" s="96">
        <v>211125</v>
      </c>
      <c r="T32" s="117" t="s">
        <v>686</v>
      </c>
      <c r="U32" s="95">
        <v>323230846</v>
      </c>
      <c r="V32" s="95">
        <v>0</v>
      </c>
      <c r="W32" s="95">
        <v>0</v>
      </c>
      <c r="X32" s="95">
        <v>0</v>
      </c>
      <c r="Y32" s="95">
        <v>323230846</v>
      </c>
      <c r="Z32" s="95">
        <v>0</v>
      </c>
      <c r="AA32" s="95">
        <v>0</v>
      </c>
      <c r="AB32" s="120">
        <v>32558440</v>
      </c>
      <c r="AC32" s="95">
        <v>32558440</v>
      </c>
      <c r="AD32" s="95">
        <v>82658127</v>
      </c>
      <c r="AE32" s="120">
        <v>82658127</v>
      </c>
      <c r="AF32" s="95">
        <v>240572719</v>
      </c>
      <c r="AG32" s="95">
        <v>0</v>
      </c>
      <c r="AH32" s="120">
        <v>30954700</v>
      </c>
      <c r="AI32" s="120">
        <v>80057000</v>
      </c>
      <c r="AJ32" s="84">
        <v>2601127</v>
      </c>
      <c r="AK32" s="84">
        <v>0</v>
      </c>
      <c r="AL32" s="84">
        <v>32558440</v>
      </c>
      <c r="AM32" s="84">
        <v>82658127</v>
      </c>
      <c r="AN32" s="121">
        <v>82658127</v>
      </c>
      <c r="AO32" s="84">
        <v>0</v>
      </c>
      <c r="AP32" s="95">
        <v>240572719</v>
      </c>
      <c r="AQ32" s="84">
        <v>0</v>
      </c>
      <c r="AS32" s="118">
        <f t="shared" si="0"/>
        <v>0</v>
      </c>
      <c r="AU32" s="121">
        <f t="shared" si="20"/>
        <v>293025960</v>
      </c>
      <c r="AV32" s="121">
        <f t="shared" si="21"/>
        <v>52453241</v>
      </c>
    </row>
    <row r="33" spans="1:48" x14ac:dyDescent="0.25">
      <c r="A33" s="88">
        <v>211126</v>
      </c>
      <c r="B33" s="86" t="s">
        <v>633</v>
      </c>
      <c r="C33" s="91">
        <v>1649372431</v>
      </c>
      <c r="D33" s="91">
        <v>0</v>
      </c>
      <c r="E33" s="91">
        <v>250000000</v>
      </c>
      <c r="F33" s="91">
        <v>0</v>
      </c>
      <c r="G33" s="91">
        <f t="shared" si="12"/>
        <v>1399372431</v>
      </c>
      <c r="H33" s="91">
        <v>134731347</v>
      </c>
      <c r="I33" s="91">
        <v>372805660</v>
      </c>
      <c r="J33" s="91">
        <f t="shared" si="5"/>
        <v>1026566771</v>
      </c>
      <c r="K33" s="91">
        <v>134731347</v>
      </c>
      <c r="L33" s="91">
        <v>372805660</v>
      </c>
      <c r="M33" s="91">
        <f t="shared" si="6"/>
        <v>0</v>
      </c>
      <c r="N33" s="91">
        <v>372805660</v>
      </c>
      <c r="O33" s="91">
        <f t="shared" si="7"/>
        <v>0</v>
      </c>
      <c r="P33" s="91">
        <f t="shared" si="8"/>
        <v>1026566771</v>
      </c>
      <c r="Q33" s="91">
        <f t="shared" si="9"/>
        <v>372805660</v>
      </c>
      <c r="S33" s="96">
        <v>211126</v>
      </c>
      <c r="T33" s="117" t="s">
        <v>687</v>
      </c>
      <c r="U33" s="95">
        <v>1649372431</v>
      </c>
      <c r="V33" s="95">
        <v>0</v>
      </c>
      <c r="W33" s="95">
        <v>250000000</v>
      </c>
      <c r="X33" s="95">
        <v>0</v>
      </c>
      <c r="Y33" s="95">
        <v>1399372431</v>
      </c>
      <c r="Z33" s="95">
        <v>0</v>
      </c>
      <c r="AA33" s="95">
        <v>0</v>
      </c>
      <c r="AB33" s="120">
        <v>134731347</v>
      </c>
      <c r="AC33" s="95">
        <v>134731347</v>
      </c>
      <c r="AD33" s="95">
        <v>372805660</v>
      </c>
      <c r="AE33" s="120">
        <v>372805660</v>
      </c>
      <c r="AF33" s="95">
        <v>1026566771</v>
      </c>
      <c r="AG33" s="95">
        <v>0</v>
      </c>
      <c r="AH33" s="120">
        <v>134731347</v>
      </c>
      <c r="AI33" s="120">
        <v>372805660</v>
      </c>
      <c r="AJ33" s="84">
        <v>0</v>
      </c>
      <c r="AK33" s="84">
        <v>0</v>
      </c>
      <c r="AL33" s="84">
        <v>134731347</v>
      </c>
      <c r="AM33" s="84">
        <v>372805660</v>
      </c>
      <c r="AN33" s="121">
        <v>372805660</v>
      </c>
      <c r="AO33" s="84">
        <v>0</v>
      </c>
      <c r="AP33" s="95">
        <v>1026566771</v>
      </c>
      <c r="AQ33" s="84">
        <v>0</v>
      </c>
      <c r="AS33" s="118">
        <f t="shared" si="0"/>
        <v>0</v>
      </c>
      <c r="AU33" s="121">
        <f t="shared" si="20"/>
        <v>1212582123</v>
      </c>
      <c r="AV33" s="121">
        <f t="shared" si="21"/>
        <v>186015352</v>
      </c>
    </row>
    <row r="34" spans="1:48" s="100" customFormat="1" x14ac:dyDescent="0.25">
      <c r="A34" s="106">
        <v>21113</v>
      </c>
      <c r="B34" s="106" t="s">
        <v>15</v>
      </c>
      <c r="C34" s="108">
        <f>+C35</f>
        <v>1123702148</v>
      </c>
      <c r="D34" s="108">
        <v>0</v>
      </c>
      <c r="E34" s="108">
        <v>0</v>
      </c>
      <c r="F34" s="108">
        <v>0</v>
      </c>
      <c r="G34" s="108">
        <f t="shared" si="12"/>
        <v>1123702148</v>
      </c>
      <c r="H34" s="108">
        <v>216775962</v>
      </c>
      <c r="I34" s="108">
        <v>376444018</v>
      </c>
      <c r="J34" s="108">
        <f t="shared" si="5"/>
        <v>747258130</v>
      </c>
      <c r="K34" s="108">
        <v>253964388</v>
      </c>
      <c r="L34" s="108">
        <v>374925752</v>
      </c>
      <c r="M34" s="108">
        <f t="shared" si="6"/>
        <v>1518266</v>
      </c>
      <c r="N34" s="108">
        <v>377689048</v>
      </c>
      <c r="O34" s="108">
        <f t="shared" si="7"/>
        <v>1245030</v>
      </c>
      <c r="P34" s="108">
        <f t="shared" si="8"/>
        <v>746013100</v>
      </c>
      <c r="Q34" s="108">
        <f t="shared" si="9"/>
        <v>374925752</v>
      </c>
      <c r="S34" s="101">
        <v>21113</v>
      </c>
      <c r="T34" s="116" t="s">
        <v>15</v>
      </c>
      <c r="U34" s="102">
        <v>1123702148</v>
      </c>
      <c r="V34" s="102">
        <v>0</v>
      </c>
      <c r="W34" s="102">
        <v>0</v>
      </c>
      <c r="X34" s="102">
        <v>0</v>
      </c>
      <c r="Y34" s="102">
        <v>1123702148</v>
      </c>
      <c r="Z34" s="102">
        <v>0</v>
      </c>
      <c r="AA34" s="102">
        <v>0</v>
      </c>
      <c r="AB34" s="119">
        <v>216775962</v>
      </c>
      <c r="AC34" s="102">
        <v>216775962</v>
      </c>
      <c r="AD34" s="102">
        <v>376444018</v>
      </c>
      <c r="AE34" s="119">
        <v>376444018</v>
      </c>
      <c r="AF34" s="102">
        <v>747258130</v>
      </c>
      <c r="AG34" s="102">
        <v>0</v>
      </c>
      <c r="AH34" s="119">
        <v>253964388</v>
      </c>
      <c r="AI34" s="119">
        <v>374925752</v>
      </c>
      <c r="AJ34" s="100">
        <v>1518266</v>
      </c>
      <c r="AK34" s="100">
        <v>0</v>
      </c>
      <c r="AL34" s="100">
        <v>218020992</v>
      </c>
      <c r="AM34" s="100">
        <v>377689048</v>
      </c>
      <c r="AN34" s="122">
        <v>377689048</v>
      </c>
      <c r="AO34" s="100">
        <v>1245030</v>
      </c>
      <c r="AP34" s="102">
        <v>746013100</v>
      </c>
      <c r="AQ34" s="100">
        <v>0</v>
      </c>
      <c r="AS34" s="118">
        <f t="shared" si="0"/>
        <v>0</v>
      </c>
      <c r="AU34" s="122"/>
      <c r="AV34" s="122"/>
    </row>
    <row r="35" spans="1:48" s="100" customFormat="1" x14ac:dyDescent="0.25">
      <c r="A35" s="106">
        <v>211131</v>
      </c>
      <c r="B35" s="106" t="s">
        <v>12</v>
      </c>
      <c r="C35" s="108">
        <f>+C36+C39</f>
        <v>1123702148</v>
      </c>
      <c r="D35" s="108">
        <v>0</v>
      </c>
      <c r="E35" s="108">
        <v>0</v>
      </c>
      <c r="F35" s="108">
        <v>0</v>
      </c>
      <c r="G35" s="108">
        <f t="shared" si="12"/>
        <v>1123702148</v>
      </c>
      <c r="H35" s="108">
        <v>216775962</v>
      </c>
      <c r="I35" s="108">
        <v>376444018</v>
      </c>
      <c r="J35" s="108">
        <f t="shared" si="5"/>
        <v>747258130</v>
      </c>
      <c r="K35" s="108">
        <v>253964388</v>
      </c>
      <c r="L35" s="108">
        <v>374925752</v>
      </c>
      <c r="M35" s="108">
        <f t="shared" si="6"/>
        <v>1518266</v>
      </c>
      <c r="N35" s="108">
        <v>377689048</v>
      </c>
      <c r="O35" s="108">
        <f t="shared" si="7"/>
        <v>1245030</v>
      </c>
      <c r="P35" s="108">
        <f t="shared" si="8"/>
        <v>746013100</v>
      </c>
      <c r="Q35" s="108">
        <f t="shared" si="9"/>
        <v>374925752</v>
      </c>
      <c r="S35" s="101">
        <v>211131</v>
      </c>
      <c r="T35" s="116" t="s">
        <v>12</v>
      </c>
      <c r="U35" s="102">
        <v>1123702148</v>
      </c>
      <c r="V35" s="102">
        <v>0</v>
      </c>
      <c r="W35" s="102">
        <v>0</v>
      </c>
      <c r="X35" s="102">
        <v>0</v>
      </c>
      <c r="Y35" s="102">
        <v>1123702148</v>
      </c>
      <c r="Z35" s="102">
        <v>0</v>
      </c>
      <c r="AA35" s="102">
        <v>0</v>
      </c>
      <c r="AB35" s="119">
        <v>216775962</v>
      </c>
      <c r="AC35" s="102">
        <v>216775962</v>
      </c>
      <c r="AD35" s="102">
        <v>376444018</v>
      </c>
      <c r="AE35" s="119">
        <v>376444018</v>
      </c>
      <c r="AF35" s="102">
        <v>747258130</v>
      </c>
      <c r="AG35" s="102">
        <v>0</v>
      </c>
      <c r="AH35" s="119">
        <v>253964388</v>
      </c>
      <c r="AI35" s="119">
        <v>374925752</v>
      </c>
      <c r="AJ35" s="100">
        <v>1518266</v>
      </c>
      <c r="AK35" s="100">
        <v>0</v>
      </c>
      <c r="AL35" s="100">
        <v>218020992</v>
      </c>
      <c r="AM35" s="100">
        <v>377689048</v>
      </c>
      <c r="AN35" s="122">
        <v>377689048</v>
      </c>
      <c r="AO35" s="100">
        <v>1245030</v>
      </c>
      <c r="AP35" s="102">
        <v>746013100</v>
      </c>
      <c r="AQ35" s="100">
        <v>0</v>
      </c>
      <c r="AS35" s="118">
        <f t="shared" si="0"/>
        <v>0</v>
      </c>
      <c r="AU35" s="122"/>
      <c r="AV35" s="122"/>
    </row>
    <row r="36" spans="1:48" s="100" customFormat="1" x14ac:dyDescent="0.25">
      <c r="A36" s="109">
        <v>2111313</v>
      </c>
      <c r="B36" s="109" t="s">
        <v>16</v>
      </c>
      <c r="C36" s="111">
        <f>+C37+C38</f>
        <v>771955345</v>
      </c>
      <c r="D36" s="111">
        <v>0</v>
      </c>
      <c r="E36" s="111">
        <v>0</v>
      </c>
      <c r="F36" s="111">
        <v>0</v>
      </c>
      <c r="G36" s="111">
        <f t="shared" si="12"/>
        <v>771955345</v>
      </c>
      <c r="H36" s="111">
        <v>185942441</v>
      </c>
      <c r="I36" s="111">
        <v>192145414</v>
      </c>
      <c r="J36" s="111">
        <f t="shared" si="5"/>
        <v>579809931</v>
      </c>
      <c r="K36" s="111">
        <v>185942441</v>
      </c>
      <c r="L36" s="111">
        <v>192145414</v>
      </c>
      <c r="M36" s="111">
        <f t="shared" si="6"/>
        <v>0</v>
      </c>
      <c r="N36" s="111">
        <v>192145414</v>
      </c>
      <c r="O36" s="111">
        <f t="shared" si="7"/>
        <v>0</v>
      </c>
      <c r="P36" s="111">
        <f t="shared" si="8"/>
        <v>579809931</v>
      </c>
      <c r="Q36" s="111">
        <f t="shared" si="9"/>
        <v>192145414</v>
      </c>
      <c r="S36" s="101">
        <v>2111313</v>
      </c>
      <c r="T36" s="116" t="s">
        <v>16</v>
      </c>
      <c r="U36" s="102">
        <v>771955345</v>
      </c>
      <c r="V36" s="102">
        <v>0</v>
      </c>
      <c r="W36" s="102">
        <v>0</v>
      </c>
      <c r="X36" s="102">
        <v>0</v>
      </c>
      <c r="Y36" s="102">
        <v>771955345</v>
      </c>
      <c r="Z36" s="102">
        <v>0</v>
      </c>
      <c r="AA36" s="102">
        <v>0</v>
      </c>
      <c r="AB36" s="119">
        <v>185942441</v>
      </c>
      <c r="AC36" s="102">
        <v>185942441</v>
      </c>
      <c r="AD36" s="102">
        <v>192145414</v>
      </c>
      <c r="AE36" s="119">
        <v>192145414</v>
      </c>
      <c r="AF36" s="102">
        <v>579809931</v>
      </c>
      <c r="AG36" s="102">
        <v>0</v>
      </c>
      <c r="AH36" s="119">
        <v>185942441</v>
      </c>
      <c r="AI36" s="119">
        <v>192145414</v>
      </c>
      <c r="AJ36" s="100">
        <v>0</v>
      </c>
      <c r="AK36" s="100">
        <v>0</v>
      </c>
      <c r="AL36" s="100">
        <v>185942441</v>
      </c>
      <c r="AM36" s="100">
        <v>192145414</v>
      </c>
      <c r="AN36" s="122">
        <v>192145414</v>
      </c>
      <c r="AO36" s="100">
        <v>0</v>
      </c>
      <c r="AP36" s="102">
        <v>579809931</v>
      </c>
      <c r="AQ36" s="100">
        <v>0</v>
      </c>
      <c r="AS36" s="118">
        <f t="shared" si="0"/>
        <v>0</v>
      </c>
      <c r="AU36" s="122"/>
      <c r="AV36" s="122"/>
    </row>
    <row r="37" spans="1:48" x14ac:dyDescent="0.25">
      <c r="A37" s="88">
        <v>21113131</v>
      </c>
      <c r="B37" s="88" t="s">
        <v>634</v>
      </c>
      <c r="C37" s="91">
        <v>1310595</v>
      </c>
      <c r="D37" s="91">
        <v>0</v>
      </c>
      <c r="E37" s="91">
        <v>0</v>
      </c>
      <c r="F37" s="91">
        <v>0</v>
      </c>
      <c r="G37" s="91">
        <f t="shared" si="12"/>
        <v>1310595</v>
      </c>
      <c r="H37" s="91">
        <v>60625</v>
      </c>
      <c r="I37" s="91">
        <v>181875</v>
      </c>
      <c r="J37" s="91">
        <f t="shared" si="5"/>
        <v>1128720</v>
      </c>
      <c r="K37" s="91">
        <v>60625</v>
      </c>
      <c r="L37" s="91">
        <v>181875</v>
      </c>
      <c r="M37" s="91">
        <f t="shared" si="6"/>
        <v>0</v>
      </c>
      <c r="N37" s="91">
        <v>181875</v>
      </c>
      <c r="O37" s="91">
        <f t="shared" si="7"/>
        <v>0</v>
      </c>
      <c r="P37" s="91">
        <f t="shared" si="8"/>
        <v>1128720</v>
      </c>
      <c r="Q37" s="91">
        <f t="shared" si="9"/>
        <v>181875</v>
      </c>
      <c r="S37" s="96">
        <v>21113131</v>
      </c>
      <c r="T37" s="117" t="s">
        <v>688</v>
      </c>
      <c r="U37" s="95">
        <v>1310595</v>
      </c>
      <c r="V37" s="95">
        <v>0</v>
      </c>
      <c r="W37" s="95">
        <v>0</v>
      </c>
      <c r="X37" s="95">
        <v>0</v>
      </c>
      <c r="Y37" s="95">
        <v>1310595</v>
      </c>
      <c r="Z37" s="95">
        <v>0</v>
      </c>
      <c r="AA37" s="95">
        <v>0</v>
      </c>
      <c r="AB37" s="120">
        <v>60625</v>
      </c>
      <c r="AC37" s="95">
        <v>60625</v>
      </c>
      <c r="AD37" s="95">
        <v>181875</v>
      </c>
      <c r="AE37" s="120">
        <v>181875</v>
      </c>
      <c r="AF37" s="95">
        <v>1128720</v>
      </c>
      <c r="AG37" s="95">
        <v>0</v>
      </c>
      <c r="AH37" s="120">
        <v>60625</v>
      </c>
      <c r="AI37" s="120">
        <v>181875</v>
      </c>
      <c r="AJ37" s="84">
        <v>0</v>
      </c>
      <c r="AK37" s="84">
        <v>0</v>
      </c>
      <c r="AL37" s="84">
        <v>60625</v>
      </c>
      <c r="AM37" s="84">
        <v>181875</v>
      </c>
      <c r="AN37" s="121">
        <v>181875</v>
      </c>
      <c r="AO37" s="84">
        <v>0</v>
      </c>
      <c r="AP37" s="95">
        <v>1128720</v>
      </c>
      <c r="AQ37" s="84">
        <v>0</v>
      </c>
      <c r="AS37" s="118">
        <f t="shared" si="0"/>
        <v>0</v>
      </c>
      <c r="AU37" s="121">
        <f t="shared" ref="AU37:AU38" si="22">+H37*9</f>
        <v>545625</v>
      </c>
      <c r="AV37" s="121">
        <f t="shared" ref="AV37:AV38" si="23">+AU37-P37</f>
        <v>-583095</v>
      </c>
    </row>
    <row r="38" spans="1:48" x14ac:dyDescent="0.25">
      <c r="A38" s="88">
        <v>21113132</v>
      </c>
      <c r="B38" s="88" t="s">
        <v>528</v>
      </c>
      <c r="C38" s="91">
        <v>770644750</v>
      </c>
      <c r="D38" s="91">
        <v>0</v>
      </c>
      <c r="E38" s="91">
        <v>0</v>
      </c>
      <c r="F38" s="91">
        <v>0</v>
      </c>
      <c r="G38" s="91">
        <f t="shared" si="12"/>
        <v>770644750</v>
      </c>
      <c r="H38" s="91">
        <v>185881816</v>
      </c>
      <c r="I38" s="91">
        <v>191963539</v>
      </c>
      <c r="J38" s="91">
        <f t="shared" si="5"/>
        <v>578681211</v>
      </c>
      <c r="K38" s="91">
        <v>185881816</v>
      </c>
      <c r="L38" s="91">
        <v>191963539</v>
      </c>
      <c r="M38" s="91">
        <f t="shared" si="6"/>
        <v>0</v>
      </c>
      <c r="N38" s="91">
        <v>191963539</v>
      </c>
      <c r="O38" s="91">
        <f t="shared" si="7"/>
        <v>0</v>
      </c>
      <c r="P38" s="91">
        <f t="shared" si="8"/>
        <v>578681211</v>
      </c>
      <c r="Q38" s="91">
        <f t="shared" si="9"/>
        <v>191963539</v>
      </c>
      <c r="S38" s="96">
        <v>21113132</v>
      </c>
      <c r="T38" s="117" t="s">
        <v>689</v>
      </c>
      <c r="U38" s="95">
        <v>770644750</v>
      </c>
      <c r="V38" s="95">
        <v>0</v>
      </c>
      <c r="W38" s="95">
        <v>0</v>
      </c>
      <c r="X38" s="95">
        <v>0</v>
      </c>
      <c r="Y38" s="95">
        <v>770644750</v>
      </c>
      <c r="Z38" s="95">
        <v>0</v>
      </c>
      <c r="AA38" s="95">
        <v>0</v>
      </c>
      <c r="AB38" s="120">
        <v>185881816</v>
      </c>
      <c r="AC38" s="95">
        <v>185881816</v>
      </c>
      <c r="AD38" s="95">
        <v>191963539</v>
      </c>
      <c r="AE38" s="120">
        <v>191963539</v>
      </c>
      <c r="AF38" s="95">
        <v>578681211</v>
      </c>
      <c r="AG38" s="95">
        <v>0</v>
      </c>
      <c r="AH38" s="120">
        <v>185881816</v>
      </c>
      <c r="AI38" s="120">
        <v>191963539</v>
      </c>
      <c r="AJ38" s="84">
        <v>0</v>
      </c>
      <c r="AK38" s="84">
        <v>0</v>
      </c>
      <c r="AL38" s="84">
        <v>185881816</v>
      </c>
      <c r="AM38" s="84">
        <v>191963539</v>
      </c>
      <c r="AN38" s="121">
        <v>191963539</v>
      </c>
      <c r="AO38" s="84">
        <v>0</v>
      </c>
      <c r="AP38" s="95">
        <v>578681211</v>
      </c>
      <c r="AQ38" s="84">
        <v>0</v>
      </c>
      <c r="AS38" s="118">
        <f t="shared" si="0"/>
        <v>0</v>
      </c>
      <c r="AU38" s="121">
        <f t="shared" si="22"/>
        <v>1672936344</v>
      </c>
      <c r="AV38" s="121">
        <f t="shared" si="23"/>
        <v>1094255133</v>
      </c>
    </row>
    <row r="39" spans="1:48" s="100" customFormat="1" x14ac:dyDescent="0.25">
      <c r="A39" s="109">
        <v>2111314</v>
      </c>
      <c r="B39" s="109" t="s">
        <v>17</v>
      </c>
      <c r="C39" s="111">
        <f>+C40+C41+C42</f>
        <v>351746803</v>
      </c>
      <c r="D39" s="111">
        <v>0</v>
      </c>
      <c r="E39" s="111">
        <v>0</v>
      </c>
      <c r="F39" s="111">
        <v>0</v>
      </c>
      <c r="G39" s="111">
        <f t="shared" si="12"/>
        <v>351746803</v>
      </c>
      <c r="H39" s="111">
        <v>30833521</v>
      </c>
      <c r="I39" s="111">
        <v>184298604</v>
      </c>
      <c r="J39" s="111">
        <f t="shared" si="5"/>
        <v>167448199</v>
      </c>
      <c r="K39" s="111">
        <v>68021947</v>
      </c>
      <c r="L39" s="111">
        <v>182780338</v>
      </c>
      <c r="M39" s="111">
        <f t="shared" si="6"/>
        <v>1518266</v>
      </c>
      <c r="N39" s="111">
        <v>185543634</v>
      </c>
      <c r="O39" s="111">
        <f t="shared" si="7"/>
        <v>1245030</v>
      </c>
      <c r="P39" s="111">
        <f t="shared" si="8"/>
        <v>166203169</v>
      </c>
      <c r="Q39" s="111">
        <f t="shared" si="9"/>
        <v>182780338</v>
      </c>
      <c r="S39" s="101">
        <v>2111314</v>
      </c>
      <c r="T39" s="116" t="s">
        <v>17</v>
      </c>
      <c r="U39" s="102">
        <v>351746803</v>
      </c>
      <c r="V39" s="102">
        <v>0</v>
      </c>
      <c r="W39" s="102">
        <v>0</v>
      </c>
      <c r="X39" s="102">
        <v>0</v>
      </c>
      <c r="Y39" s="102">
        <v>351746803</v>
      </c>
      <c r="Z39" s="102">
        <v>0</v>
      </c>
      <c r="AA39" s="102">
        <v>0</v>
      </c>
      <c r="AB39" s="119">
        <v>30833521</v>
      </c>
      <c r="AC39" s="102">
        <v>30833521</v>
      </c>
      <c r="AD39" s="102">
        <v>184298604</v>
      </c>
      <c r="AE39" s="119">
        <v>184298604</v>
      </c>
      <c r="AF39" s="102">
        <v>167448199</v>
      </c>
      <c r="AG39" s="102">
        <v>0</v>
      </c>
      <c r="AH39" s="119">
        <v>68021947</v>
      </c>
      <c r="AI39" s="119">
        <v>182780338</v>
      </c>
      <c r="AJ39" s="100">
        <v>1518266</v>
      </c>
      <c r="AK39" s="100">
        <v>0</v>
      </c>
      <c r="AL39" s="100">
        <v>32078551</v>
      </c>
      <c r="AM39" s="100">
        <v>185543634</v>
      </c>
      <c r="AN39" s="122">
        <v>185543634</v>
      </c>
      <c r="AO39" s="100">
        <v>1245030</v>
      </c>
      <c r="AP39" s="102">
        <v>166203169</v>
      </c>
      <c r="AQ39" s="100">
        <v>0</v>
      </c>
      <c r="AS39" s="118">
        <f t="shared" si="0"/>
        <v>0</v>
      </c>
      <c r="AU39" s="122"/>
      <c r="AV39" s="122"/>
    </row>
    <row r="40" spans="1:48" x14ac:dyDescent="0.25">
      <c r="A40" s="88">
        <v>21113141</v>
      </c>
      <c r="B40" s="88" t="s">
        <v>520</v>
      </c>
      <c r="C40" s="91">
        <v>98148934</v>
      </c>
      <c r="D40" s="91">
        <v>0</v>
      </c>
      <c r="E40" s="91">
        <v>0</v>
      </c>
      <c r="F40" s="91">
        <v>0</v>
      </c>
      <c r="G40" s="91">
        <f t="shared" si="12"/>
        <v>98148934</v>
      </c>
      <c r="H40" s="91">
        <v>0</v>
      </c>
      <c r="I40" s="91">
        <v>0</v>
      </c>
      <c r="J40" s="91">
        <f t="shared" si="5"/>
        <v>98148934</v>
      </c>
      <c r="K40" s="91">
        <v>0</v>
      </c>
      <c r="L40" s="91">
        <v>0</v>
      </c>
      <c r="M40" s="91">
        <f t="shared" si="6"/>
        <v>0</v>
      </c>
      <c r="N40" s="91">
        <v>0</v>
      </c>
      <c r="O40" s="91">
        <f t="shared" si="7"/>
        <v>0</v>
      </c>
      <c r="P40" s="91">
        <f t="shared" si="8"/>
        <v>98148934</v>
      </c>
      <c r="Q40" s="91">
        <f t="shared" si="9"/>
        <v>0</v>
      </c>
      <c r="S40" s="96">
        <v>21113141</v>
      </c>
      <c r="T40" s="117" t="s">
        <v>679</v>
      </c>
      <c r="U40" s="95">
        <v>98148934</v>
      </c>
      <c r="V40" s="95">
        <v>0</v>
      </c>
      <c r="W40" s="95">
        <v>0</v>
      </c>
      <c r="X40" s="95">
        <v>0</v>
      </c>
      <c r="Y40" s="95">
        <v>98148934</v>
      </c>
      <c r="Z40" s="95">
        <v>0</v>
      </c>
      <c r="AA40" s="95">
        <v>0</v>
      </c>
      <c r="AB40" s="120">
        <v>0</v>
      </c>
      <c r="AC40" s="95">
        <v>0</v>
      </c>
      <c r="AD40" s="95">
        <v>0</v>
      </c>
      <c r="AE40" s="120">
        <v>0</v>
      </c>
      <c r="AF40" s="95">
        <v>98148934</v>
      </c>
      <c r="AG40" s="95">
        <v>0</v>
      </c>
      <c r="AH40" s="120">
        <v>0</v>
      </c>
      <c r="AI40" s="120">
        <v>0</v>
      </c>
      <c r="AJ40" s="84">
        <v>0</v>
      </c>
      <c r="AK40" s="84">
        <v>0</v>
      </c>
      <c r="AL40" s="84">
        <v>0</v>
      </c>
      <c r="AM40" s="84">
        <v>0</v>
      </c>
      <c r="AN40" s="121">
        <v>0</v>
      </c>
      <c r="AO40" s="84">
        <v>0</v>
      </c>
      <c r="AP40" s="95">
        <v>98148934</v>
      </c>
      <c r="AQ40" s="84">
        <v>0</v>
      </c>
      <c r="AS40" s="118">
        <f t="shared" si="0"/>
        <v>0</v>
      </c>
      <c r="AU40" s="121">
        <f t="shared" ref="AU40:AU42" si="24">+H40*9</f>
        <v>0</v>
      </c>
      <c r="AV40" s="121">
        <f t="shared" ref="AV40:AV42" si="25">+AU40-P40</f>
        <v>-98148934</v>
      </c>
    </row>
    <row r="41" spans="1:48" x14ac:dyDescent="0.25">
      <c r="A41" s="88">
        <v>21113142</v>
      </c>
      <c r="B41" s="88" t="s">
        <v>529</v>
      </c>
      <c r="C41" s="91">
        <v>235801530</v>
      </c>
      <c r="D41" s="91">
        <v>0</v>
      </c>
      <c r="E41" s="91">
        <v>0</v>
      </c>
      <c r="F41" s="91">
        <v>0</v>
      </c>
      <c r="G41" s="91">
        <f t="shared" si="12"/>
        <v>235801530</v>
      </c>
      <c r="H41" s="91">
        <v>30833521</v>
      </c>
      <c r="I41" s="91">
        <v>184298604</v>
      </c>
      <c r="J41" s="91">
        <f t="shared" si="5"/>
        <v>51502926</v>
      </c>
      <c r="K41" s="91">
        <v>68021947</v>
      </c>
      <c r="L41" s="91">
        <v>182780338</v>
      </c>
      <c r="M41" s="91">
        <f t="shared" si="6"/>
        <v>1518266</v>
      </c>
      <c r="N41" s="91">
        <v>185543634</v>
      </c>
      <c r="O41" s="91">
        <f t="shared" si="7"/>
        <v>1245030</v>
      </c>
      <c r="P41" s="91">
        <f t="shared" si="8"/>
        <v>50257896</v>
      </c>
      <c r="Q41" s="91">
        <f t="shared" si="9"/>
        <v>182780338</v>
      </c>
      <c r="S41" s="96">
        <v>21113142</v>
      </c>
      <c r="T41" s="117" t="s">
        <v>690</v>
      </c>
      <c r="U41" s="95">
        <v>235801530</v>
      </c>
      <c r="V41" s="95">
        <v>0</v>
      </c>
      <c r="W41" s="95">
        <v>0</v>
      </c>
      <c r="X41" s="95">
        <v>0</v>
      </c>
      <c r="Y41" s="95">
        <v>235801530</v>
      </c>
      <c r="Z41" s="95">
        <v>0</v>
      </c>
      <c r="AA41" s="95">
        <v>0</v>
      </c>
      <c r="AB41" s="120">
        <v>30833521</v>
      </c>
      <c r="AC41" s="95">
        <v>30833521</v>
      </c>
      <c r="AD41" s="95">
        <v>184298604</v>
      </c>
      <c r="AE41" s="120">
        <v>184298604</v>
      </c>
      <c r="AF41" s="95">
        <v>51502926</v>
      </c>
      <c r="AG41" s="95">
        <v>0</v>
      </c>
      <c r="AH41" s="120">
        <v>68021947</v>
      </c>
      <c r="AI41" s="120">
        <v>182780338</v>
      </c>
      <c r="AJ41" s="84">
        <v>1518266</v>
      </c>
      <c r="AK41" s="84">
        <v>0</v>
      </c>
      <c r="AL41" s="84">
        <v>32078551</v>
      </c>
      <c r="AM41" s="84">
        <v>185543634</v>
      </c>
      <c r="AN41" s="121">
        <v>185543634</v>
      </c>
      <c r="AO41" s="84">
        <v>1245030</v>
      </c>
      <c r="AP41" s="95">
        <v>50257896</v>
      </c>
      <c r="AQ41" s="84">
        <v>0</v>
      </c>
      <c r="AS41" s="118">
        <f t="shared" si="0"/>
        <v>0</v>
      </c>
      <c r="AU41" s="121">
        <f t="shared" si="24"/>
        <v>277501689</v>
      </c>
      <c r="AV41" s="121">
        <f t="shared" si="25"/>
        <v>227243793</v>
      </c>
    </row>
    <row r="42" spans="1:48" x14ac:dyDescent="0.25">
      <c r="A42" s="88">
        <v>21113143</v>
      </c>
      <c r="B42" s="88" t="s">
        <v>530</v>
      </c>
      <c r="C42" s="91">
        <v>17796339</v>
      </c>
      <c r="D42" s="91">
        <v>0</v>
      </c>
      <c r="E42" s="91">
        <v>0</v>
      </c>
      <c r="F42" s="91">
        <v>0</v>
      </c>
      <c r="G42" s="91">
        <f t="shared" si="12"/>
        <v>17796339</v>
      </c>
      <c r="H42" s="91">
        <v>0</v>
      </c>
      <c r="I42" s="91">
        <v>0</v>
      </c>
      <c r="J42" s="91">
        <f t="shared" si="5"/>
        <v>17796339</v>
      </c>
      <c r="K42" s="91">
        <v>0</v>
      </c>
      <c r="L42" s="91">
        <v>0</v>
      </c>
      <c r="M42" s="91">
        <f t="shared" si="6"/>
        <v>0</v>
      </c>
      <c r="N42" s="91">
        <v>0</v>
      </c>
      <c r="O42" s="91">
        <f t="shared" si="7"/>
        <v>0</v>
      </c>
      <c r="P42" s="91">
        <f t="shared" si="8"/>
        <v>17796339</v>
      </c>
      <c r="Q42" s="91">
        <f t="shared" si="9"/>
        <v>0</v>
      </c>
      <c r="S42" s="96">
        <v>21113143</v>
      </c>
      <c r="T42" s="117" t="s">
        <v>691</v>
      </c>
      <c r="U42" s="95">
        <v>17796339</v>
      </c>
      <c r="V42" s="95">
        <v>0</v>
      </c>
      <c r="W42" s="95">
        <v>0</v>
      </c>
      <c r="X42" s="95">
        <v>0</v>
      </c>
      <c r="Y42" s="95">
        <v>17796339</v>
      </c>
      <c r="Z42" s="95">
        <v>0</v>
      </c>
      <c r="AA42" s="95">
        <v>0</v>
      </c>
      <c r="AB42" s="120">
        <v>0</v>
      </c>
      <c r="AC42" s="95">
        <v>0</v>
      </c>
      <c r="AD42" s="95">
        <v>0</v>
      </c>
      <c r="AE42" s="120">
        <v>0</v>
      </c>
      <c r="AF42" s="95">
        <v>17796339</v>
      </c>
      <c r="AG42" s="95">
        <v>0</v>
      </c>
      <c r="AH42" s="120">
        <v>0</v>
      </c>
      <c r="AI42" s="120">
        <v>0</v>
      </c>
      <c r="AJ42" s="84">
        <v>0</v>
      </c>
      <c r="AK42" s="84">
        <v>0</v>
      </c>
      <c r="AL42" s="84">
        <v>0</v>
      </c>
      <c r="AM42" s="84">
        <v>0</v>
      </c>
      <c r="AN42" s="121">
        <v>0</v>
      </c>
      <c r="AO42" s="84">
        <v>0</v>
      </c>
      <c r="AP42" s="95">
        <v>17796339</v>
      </c>
      <c r="AQ42" s="84">
        <v>0</v>
      </c>
      <c r="AS42" s="118">
        <f t="shared" si="0"/>
        <v>0</v>
      </c>
      <c r="AU42" s="121">
        <f t="shared" si="24"/>
        <v>0</v>
      </c>
      <c r="AV42" s="121">
        <f t="shared" si="25"/>
        <v>-17796339</v>
      </c>
    </row>
    <row r="43" spans="1:48" s="100" customFormat="1" x14ac:dyDescent="0.25">
      <c r="A43" s="103">
        <v>2112</v>
      </c>
      <c r="B43" s="103" t="s">
        <v>18</v>
      </c>
      <c r="C43" s="105">
        <f>+C44+C56</f>
        <v>27473344553</v>
      </c>
      <c r="D43" s="105">
        <v>0</v>
      </c>
      <c r="E43" s="105">
        <v>365000000</v>
      </c>
      <c r="F43" s="105">
        <v>1771870902</v>
      </c>
      <c r="G43" s="105">
        <f t="shared" si="12"/>
        <v>28880215455</v>
      </c>
      <c r="H43" s="105">
        <v>6005265843.6800003</v>
      </c>
      <c r="I43" s="105">
        <v>11480749927.68</v>
      </c>
      <c r="J43" s="105">
        <f t="shared" si="5"/>
        <v>17399465527.32</v>
      </c>
      <c r="K43" s="105">
        <v>1792897179.2</v>
      </c>
      <c r="L43" s="105">
        <v>3380476586.1999998</v>
      </c>
      <c r="M43" s="105">
        <f t="shared" si="6"/>
        <v>8100273341.4800005</v>
      </c>
      <c r="N43" s="105">
        <v>12425528560</v>
      </c>
      <c r="O43" s="105">
        <f t="shared" si="7"/>
        <v>944778632.31999969</v>
      </c>
      <c r="P43" s="105">
        <f t="shared" si="8"/>
        <v>16454686895</v>
      </c>
      <c r="Q43" s="105">
        <f t="shared" si="9"/>
        <v>3380476586.1999998</v>
      </c>
      <c r="S43" s="101">
        <v>2112</v>
      </c>
      <c r="T43" s="116" t="s">
        <v>18</v>
      </c>
      <c r="U43" s="102">
        <v>27473344553</v>
      </c>
      <c r="V43" s="102">
        <v>0</v>
      </c>
      <c r="W43" s="102">
        <v>365000000</v>
      </c>
      <c r="X43" s="102">
        <v>1771870902</v>
      </c>
      <c r="Y43" s="102">
        <v>28880215455</v>
      </c>
      <c r="Z43" s="102">
        <v>0</v>
      </c>
      <c r="AA43" s="102">
        <v>0</v>
      </c>
      <c r="AB43" s="119">
        <v>6005265843.6800003</v>
      </c>
      <c r="AC43" s="102">
        <v>6005265843.6800003</v>
      </c>
      <c r="AD43" s="102">
        <v>11480749927.68</v>
      </c>
      <c r="AE43" s="119">
        <v>11480749927.68</v>
      </c>
      <c r="AF43" s="102">
        <v>17399465527.32</v>
      </c>
      <c r="AG43" s="102">
        <v>0</v>
      </c>
      <c r="AH43" s="119">
        <v>1792897179.2</v>
      </c>
      <c r="AI43" s="119">
        <v>3380476586.1999998</v>
      </c>
      <c r="AJ43" s="100">
        <v>8100273341.4800005</v>
      </c>
      <c r="AK43" s="100">
        <v>10161344</v>
      </c>
      <c r="AL43" s="100">
        <v>947072001</v>
      </c>
      <c r="AM43" s="100">
        <v>12435689904</v>
      </c>
      <c r="AN43" s="122">
        <v>12425528560</v>
      </c>
      <c r="AO43" s="100">
        <v>944778632.31999969</v>
      </c>
      <c r="AP43" s="102">
        <v>16454686895</v>
      </c>
      <c r="AQ43" s="100">
        <v>0</v>
      </c>
      <c r="AS43" s="118">
        <f t="shared" si="0"/>
        <v>0</v>
      </c>
      <c r="AU43" s="122"/>
      <c r="AV43" s="122"/>
    </row>
    <row r="44" spans="1:48" x14ac:dyDescent="0.25">
      <c r="A44" s="87">
        <v>21121</v>
      </c>
      <c r="B44" s="87" t="s">
        <v>19</v>
      </c>
      <c r="C44" s="90">
        <f>+C45</f>
        <v>22678383399</v>
      </c>
      <c r="D44" s="90">
        <v>0</v>
      </c>
      <c r="E44" s="90">
        <v>365000000</v>
      </c>
      <c r="F44" s="90">
        <v>1771870902</v>
      </c>
      <c r="G44" s="90">
        <f t="shared" si="12"/>
        <v>24085254301</v>
      </c>
      <c r="H44" s="90">
        <v>5091353801.6800003</v>
      </c>
      <c r="I44" s="90">
        <v>9790983641.6800003</v>
      </c>
      <c r="J44" s="90">
        <f t="shared" si="5"/>
        <v>14294270659.32</v>
      </c>
      <c r="K44" s="90">
        <v>1772668172.2</v>
      </c>
      <c r="L44" s="90">
        <v>3212940126.1999998</v>
      </c>
      <c r="M44" s="90">
        <f t="shared" si="6"/>
        <v>6578043515.4800005</v>
      </c>
      <c r="N44" s="90">
        <v>10697695889</v>
      </c>
      <c r="O44" s="90">
        <f t="shared" si="7"/>
        <v>906712247.31999969</v>
      </c>
      <c r="P44" s="90">
        <f t="shared" si="8"/>
        <v>13387558412</v>
      </c>
      <c r="Q44" s="90">
        <f t="shared" si="9"/>
        <v>3212940126.1999998</v>
      </c>
      <c r="S44" s="96">
        <v>21121</v>
      </c>
      <c r="T44" s="117" t="s">
        <v>19</v>
      </c>
      <c r="U44" s="95">
        <v>22678383399</v>
      </c>
      <c r="V44" s="95">
        <v>0</v>
      </c>
      <c r="W44" s="95">
        <v>365000000</v>
      </c>
      <c r="X44" s="95">
        <v>1771870902</v>
      </c>
      <c r="Y44" s="95">
        <v>24085254301</v>
      </c>
      <c r="Z44" s="95">
        <v>0</v>
      </c>
      <c r="AA44" s="95">
        <v>0</v>
      </c>
      <c r="AB44" s="120">
        <v>5091353801.6800003</v>
      </c>
      <c r="AC44" s="95">
        <v>5091353801.6800003</v>
      </c>
      <c r="AD44" s="95">
        <v>9790983641.6800003</v>
      </c>
      <c r="AE44" s="120">
        <v>9790983641.6800003</v>
      </c>
      <c r="AF44" s="95">
        <v>14294270659.32</v>
      </c>
      <c r="AG44" s="95">
        <v>0</v>
      </c>
      <c r="AH44" s="120">
        <v>1772668172.2</v>
      </c>
      <c r="AI44" s="120">
        <v>3212940126.1999998</v>
      </c>
      <c r="AJ44" s="84">
        <v>6578043515.4800005</v>
      </c>
      <c r="AK44" s="84">
        <v>10161344</v>
      </c>
      <c r="AL44" s="84">
        <v>920143912</v>
      </c>
      <c r="AM44" s="84">
        <v>10707857233</v>
      </c>
      <c r="AN44" s="121">
        <v>10697695889</v>
      </c>
      <c r="AO44" s="84">
        <v>906712247.31999969</v>
      </c>
      <c r="AP44" s="95">
        <v>13387558412</v>
      </c>
      <c r="AQ44" s="84">
        <v>0</v>
      </c>
      <c r="AS44" s="118">
        <f t="shared" si="0"/>
        <v>0</v>
      </c>
      <c r="AU44" s="121"/>
      <c r="AV44" s="121"/>
    </row>
    <row r="45" spans="1:48" s="100" customFormat="1" x14ac:dyDescent="0.25">
      <c r="A45" s="109">
        <v>211211</v>
      </c>
      <c r="B45" s="109" t="s">
        <v>11</v>
      </c>
      <c r="C45" s="111">
        <f>+C46+C47+C48+C49+C50+C51+C52+C55</f>
        <v>22678383399</v>
      </c>
      <c r="D45" s="111">
        <v>0</v>
      </c>
      <c r="E45" s="111">
        <v>365000000</v>
      </c>
      <c r="F45" s="111">
        <v>1771870902</v>
      </c>
      <c r="G45" s="111">
        <f t="shared" si="12"/>
        <v>24085254301</v>
      </c>
      <c r="H45" s="111">
        <v>5091353801.6800003</v>
      </c>
      <c r="I45" s="111">
        <v>9790983641.6800003</v>
      </c>
      <c r="J45" s="111">
        <f t="shared" si="5"/>
        <v>14294270659.32</v>
      </c>
      <c r="K45" s="111">
        <v>1772668172.2</v>
      </c>
      <c r="L45" s="111">
        <v>3212940126.1999998</v>
      </c>
      <c r="M45" s="111">
        <f t="shared" si="6"/>
        <v>6578043515.4800005</v>
      </c>
      <c r="N45" s="111">
        <v>10697695889</v>
      </c>
      <c r="O45" s="111">
        <f t="shared" si="7"/>
        <v>906712247.31999969</v>
      </c>
      <c r="P45" s="111">
        <f t="shared" si="8"/>
        <v>13387558412</v>
      </c>
      <c r="Q45" s="111">
        <f t="shared" si="9"/>
        <v>3212940126.1999998</v>
      </c>
      <c r="S45" s="101">
        <v>211211</v>
      </c>
      <c r="T45" s="116" t="s">
        <v>11</v>
      </c>
      <c r="U45" s="102">
        <v>22678383399</v>
      </c>
      <c r="V45" s="102">
        <v>0</v>
      </c>
      <c r="W45" s="102">
        <v>365000000</v>
      </c>
      <c r="X45" s="102">
        <v>1771870902</v>
      </c>
      <c r="Y45" s="102">
        <v>24085254301</v>
      </c>
      <c r="Z45" s="102">
        <v>0</v>
      </c>
      <c r="AA45" s="102">
        <v>0</v>
      </c>
      <c r="AB45" s="119">
        <v>5091353801.6800003</v>
      </c>
      <c r="AC45" s="102">
        <v>5091353801.6800003</v>
      </c>
      <c r="AD45" s="102">
        <v>9790983641.6800003</v>
      </c>
      <c r="AE45" s="119">
        <v>9790983641.6800003</v>
      </c>
      <c r="AF45" s="102">
        <v>14294270659.32</v>
      </c>
      <c r="AG45" s="102">
        <v>0</v>
      </c>
      <c r="AH45" s="119">
        <v>1772668172.2</v>
      </c>
      <c r="AI45" s="119">
        <v>3212940126.1999998</v>
      </c>
      <c r="AJ45" s="100">
        <v>6578043515.4800005</v>
      </c>
      <c r="AK45" s="100">
        <v>10161344</v>
      </c>
      <c r="AL45" s="100">
        <v>920143912</v>
      </c>
      <c r="AM45" s="100">
        <v>10707857233</v>
      </c>
      <c r="AN45" s="122">
        <v>10697695889</v>
      </c>
      <c r="AO45" s="100">
        <v>906712247.31999969</v>
      </c>
      <c r="AP45" s="102">
        <v>13387558412</v>
      </c>
      <c r="AQ45" s="100">
        <v>0</v>
      </c>
      <c r="AS45" s="118">
        <f t="shared" si="0"/>
        <v>0</v>
      </c>
      <c r="AU45" s="122"/>
      <c r="AV45" s="122"/>
    </row>
    <row r="46" spans="1:48" x14ac:dyDescent="0.25">
      <c r="A46" s="88">
        <v>2112111</v>
      </c>
      <c r="B46" s="88" t="s">
        <v>510</v>
      </c>
      <c r="C46" s="91">
        <v>20052276642</v>
      </c>
      <c r="D46" s="91">
        <v>0</v>
      </c>
      <c r="E46" s="91">
        <v>365000000</v>
      </c>
      <c r="F46" s="91">
        <v>1771870902</v>
      </c>
      <c r="G46" s="91">
        <f t="shared" si="12"/>
        <v>21459147544</v>
      </c>
      <c r="H46" s="91">
        <v>4345820434.6800003</v>
      </c>
      <c r="I46" s="91">
        <v>8690262949.6800003</v>
      </c>
      <c r="J46" s="91">
        <f t="shared" si="5"/>
        <v>12768884594.32</v>
      </c>
      <c r="K46" s="91">
        <v>1751587762.2</v>
      </c>
      <c r="L46" s="91">
        <v>3181875335.1999998</v>
      </c>
      <c r="M46" s="91">
        <f t="shared" si="6"/>
        <v>5508387614.4800005</v>
      </c>
      <c r="N46" s="91">
        <v>9595552468</v>
      </c>
      <c r="O46" s="91">
        <f t="shared" si="7"/>
        <v>905289518.31999969</v>
      </c>
      <c r="P46" s="91">
        <f t="shared" si="8"/>
        <v>11863595076</v>
      </c>
      <c r="Q46" s="91">
        <f t="shared" si="9"/>
        <v>3181875335.1999998</v>
      </c>
      <c r="S46" s="96">
        <v>2112111</v>
      </c>
      <c r="T46" s="117" t="s">
        <v>669</v>
      </c>
      <c r="U46" s="95">
        <v>20052276642</v>
      </c>
      <c r="V46" s="95">
        <v>0</v>
      </c>
      <c r="W46" s="95">
        <v>365000000</v>
      </c>
      <c r="X46" s="95">
        <v>1771870902</v>
      </c>
      <c r="Y46" s="95">
        <v>21459147544</v>
      </c>
      <c r="Z46" s="95">
        <v>0</v>
      </c>
      <c r="AA46" s="95">
        <v>0</v>
      </c>
      <c r="AB46" s="120">
        <v>4345820434.6800003</v>
      </c>
      <c r="AC46" s="95">
        <v>4345820434.6800003</v>
      </c>
      <c r="AD46" s="95">
        <v>8690262949.6800003</v>
      </c>
      <c r="AE46" s="120">
        <v>8690262949.6800003</v>
      </c>
      <c r="AF46" s="95">
        <v>12768884594.32</v>
      </c>
      <c r="AG46" s="95">
        <v>0</v>
      </c>
      <c r="AH46" s="120">
        <v>1751587762.2</v>
      </c>
      <c r="AI46" s="120">
        <v>3181875335.1999998</v>
      </c>
      <c r="AJ46" s="84">
        <v>5508387614.4800005</v>
      </c>
      <c r="AK46" s="84">
        <v>10161344</v>
      </c>
      <c r="AL46" s="84">
        <v>917349954</v>
      </c>
      <c r="AM46" s="84">
        <v>9605713812</v>
      </c>
      <c r="AN46" s="121">
        <v>9595552468</v>
      </c>
      <c r="AO46" s="84">
        <v>905289518.31999969</v>
      </c>
      <c r="AP46" s="95">
        <v>11863595076</v>
      </c>
      <c r="AQ46" s="84">
        <v>0</v>
      </c>
      <c r="AS46" s="118">
        <f t="shared" si="0"/>
        <v>0</v>
      </c>
      <c r="AU46" s="121">
        <f>+G46-P46</f>
        <v>9595552468</v>
      </c>
      <c r="AV46" s="121">
        <f>+P46-AU46</f>
        <v>2268042608</v>
      </c>
    </row>
    <row r="47" spans="1:48" x14ac:dyDescent="0.25">
      <c r="A47" s="88">
        <v>2112112</v>
      </c>
      <c r="B47" s="88" t="s">
        <v>511</v>
      </c>
      <c r="C47" s="91">
        <v>137214482</v>
      </c>
      <c r="D47" s="91">
        <v>0</v>
      </c>
      <c r="E47" s="91">
        <v>0</v>
      </c>
      <c r="F47" s="91">
        <v>0</v>
      </c>
      <c r="G47" s="91">
        <f t="shared" si="12"/>
        <v>137214482</v>
      </c>
      <c r="H47" s="91">
        <v>0</v>
      </c>
      <c r="I47" s="91">
        <v>22407125</v>
      </c>
      <c r="J47" s="91">
        <f t="shared" si="5"/>
        <v>114807357</v>
      </c>
      <c r="K47" s="91">
        <v>0</v>
      </c>
      <c r="L47" s="91">
        <v>0</v>
      </c>
      <c r="M47" s="91">
        <f t="shared" si="6"/>
        <v>22407125</v>
      </c>
      <c r="N47" s="91">
        <v>22407125</v>
      </c>
      <c r="O47" s="91">
        <f t="shared" si="7"/>
        <v>0</v>
      </c>
      <c r="P47" s="91">
        <f t="shared" si="8"/>
        <v>114807357</v>
      </c>
      <c r="Q47" s="91">
        <f t="shared" si="9"/>
        <v>0</v>
      </c>
      <c r="S47" s="96">
        <v>2112112</v>
      </c>
      <c r="T47" s="117" t="s">
        <v>670</v>
      </c>
      <c r="U47" s="95">
        <v>137214482</v>
      </c>
      <c r="V47" s="95">
        <v>0</v>
      </c>
      <c r="W47" s="95">
        <v>0</v>
      </c>
      <c r="X47" s="95">
        <v>0</v>
      </c>
      <c r="Y47" s="95">
        <v>137214482</v>
      </c>
      <c r="Z47" s="95">
        <v>0</v>
      </c>
      <c r="AA47" s="95">
        <v>0</v>
      </c>
      <c r="AB47" s="120">
        <v>0</v>
      </c>
      <c r="AC47" s="95">
        <v>0</v>
      </c>
      <c r="AD47" s="95">
        <v>22407125</v>
      </c>
      <c r="AE47" s="120">
        <v>22407125</v>
      </c>
      <c r="AF47" s="95">
        <v>114807357</v>
      </c>
      <c r="AG47" s="95">
        <v>0</v>
      </c>
      <c r="AH47" s="120">
        <v>0</v>
      </c>
      <c r="AI47" s="120">
        <v>0</v>
      </c>
      <c r="AJ47" s="84">
        <v>22407125</v>
      </c>
      <c r="AK47" s="84">
        <v>0</v>
      </c>
      <c r="AL47" s="84">
        <v>0</v>
      </c>
      <c r="AM47" s="84">
        <v>22407125</v>
      </c>
      <c r="AN47" s="121">
        <v>22407125</v>
      </c>
      <c r="AO47" s="84">
        <v>0</v>
      </c>
      <c r="AP47" s="95">
        <v>114807357</v>
      </c>
      <c r="AQ47" s="84">
        <v>0</v>
      </c>
      <c r="AS47" s="118">
        <f t="shared" si="0"/>
        <v>0</v>
      </c>
      <c r="AU47" s="121">
        <f t="shared" ref="AU47:AU51" si="26">+G47-P47</f>
        <v>22407125</v>
      </c>
      <c r="AV47" s="121">
        <f t="shared" ref="AV47:AV51" si="27">+P47-AU47</f>
        <v>92400232</v>
      </c>
    </row>
    <row r="48" spans="1:48" x14ac:dyDescent="0.25">
      <c r="A48" s="88">
        <v>2112114</v>
      </c>
      <c r="B48" s="88" t="s">
        <v>513</v>
      </c>
      <c r="C48" s="91">
        <v>419208140</v>
      </c>
      <c r="D48" s="91">
        <v>0</v>
      </c>
      <c r="E48" s="91">
        <v>0</v>
      </c>
      <c r="F48" s="91">
        <v>0</v>
      </c>
      <c r="G48" s="91">
        <f t="shared" si="12"/>
        <v>419208140</v>
      </c>
      <c r="H48" s="91">
        <v>0</v>
      </c>
      <c r="I48" s="91">
        <v>6880256</v>
      </c>
      <c r="J48" s="91">
        <f t="shared" si="5"/>
        <v>412327884</v>
      </c>
      <c r="K48" s="91">
        <v>0</v>
      </c>
      <c r="L48" s="91">
        <v>0</v>
      </c>
      <c r="M48" s="91">
        <f t="shared" si="6"/>
        <v>6880256</v>
      </c>
      <c r="N48" s="91">
        <v>6880256</v>
      </c>
      <c r="O48" s="91">
        <f t="shared" si="7"/>
        <v>0</v>
      </c>
      <c r="P48" s="91">
        <f t="shared" si="8"/>
        <v>412327884</v>
      </c>
      <c r="Q48" s="91">
        <f t="shared" si="9"/>
        <v>0</v>
      </c>
      <c r="S48" s="96">
        <v>2112114</v>
      </c>
      <c r="T48" s="117" t="s">
        <v>672</v>
      </c>
      <c r="U48" s="95">
        <v>419208140</v>
      </c>
      <c r="V48" s="95">
        <v>0</v>
      </c>
      <c r="W48" s="95">
        <v>0</v>
      </c>
      <c r="X48" s="95">
        <v>0</v>
      </c>
      <c r="Y48" s="95">
        <v>419208140</v>
      </c>
      <c r="Z48" s="95">
        <v>0</v>
      </c>
      <c r="AA48" s="95">
        <v>0</v>
      </c>
      <c r="AB48" s="120">
        <v>0</v>
      </c>
      <c r="AC48" s="95">
        <v>0</v>
      </c>
      <c r="AD48" s="95">
        <v>6880256</v>
      </c>
      <c r="AE48" s="120">
        <v>6880256</v>
      </c>
      <c r="AF48" s="95">
        <v>412327884</v>
      </c>
      <c r="AG48" s="95">
        <v>0</v>
      </c>
      <c r="AH48" s="120">
        <v>0</v>
      </c>
      <c r="AI48" s="120">
        <v>0</v>
      </c>
      <c r="AJ48" s="84">
        <v>6880256</v>
      </c>
      <c r="AK48" s="84">
        <v>0</v>
      </c>
      <c r="AL48" s="84">
        <v>0</v>
      </c>
      <c r="AM48" s="84">
        <v>6880256</v>
      </c>
      <c r="AN48" s="121">
        <v>6880256</v>
      </c>
      <c r="AO48" s="84">
        <v>0</v>
      </c>
      <c r="AP48" s="95">
        <v>412327884</v>
      </c>
      <c r="AQ48" s="84">
        <v>0</v>
      </c>
      <c r="AS48" s="118">
        <f t="shared" si="0"/>
        <v>0</v>
      </c>
      <c r="AU48" s="121">
        <f t="shared" si="26"/>
        <v>6880256</v>
      </c>
      <c r="AV48" s="121">
        <f t="shared" si="27"/>
        <v>405447628</v>
      </c>
    </row>
    <row r="49" spans="1:48" x14ac:dyDescent="0.25">
      <c r="A49" s="88">
        <v>2112115</v>
      </c>
      <c r="B49" s="88" t="s">
        <v>514</v>
      </c>
      <c r="C49" s="91">
        <v>60763988</v>
      </c>
      <c r="D49" s="91">
        <v>0</v>
      </c>
      <c r="E49" s="91">
        <v>0</v>
      </c>
      <c r="F49" s="91">
        <v>0</v>
      </c>
      <c r="G49" s="91">
        <f t="shared" si="12"/>
        <v>60763988</v>
      </c>
      <c r="H49" s="91">
        <v>0</v>
      </c>
      <c r="I49" s="91">
        <v>9922759</v>
      </c>
      <c r="J49" s="91">
        <f t="shared" si="5"/>
        <v>50841229</v>
      </c>
      <c r="K49" s="91">
        <v>0</v>
      </c>
      <c r="L49" s="91">
        <v>0</v>
      </c>
      <c r="M49" s="91">
        <f t="shared" si="6"/>
        <v>9922759</v>
      </c>
      <c r="N49" s="91">
        <v>9922759</v>
      </c>
      <c r="O49" s="91">
        <f t="shared" si="7"/>
        <v>0</v>
      </c>
      <c r="P49" s="91">
        <f t="shared" si="8"/>
        <v>50841229</v>
      </c>
      <c r="Q49" s="91">
        <f t="shared" si="9"/>
        <v>0</v>
      </c>
      <c r="S49" s="96">
        <v>2112115</v>
      </c>
      <c r="T49" s="117" t="s">
        <v>673</v>
      </c>
      <c r="U49" s="95">
        <v>60763988</v>
      </c>
      <c r="V49" s="95">
        <v>0</v>
      </c>
      <c r="W49" s="95">
        <v>0</v>
      </c>
      <c r="X49" s="95">
        <v>0</v>
      </c>
      <c r="Y49" s="95">
        <v>60763988</v>
      </c>
      <c r="Z49" s="95">
        <v>0</v>
      </c>
      <c r="AA49" s="95">
        <v>0</v>
      </c>
      <c r="AB49" s="120">
        <v>0</v>
      </c>
      <c r="AC49" s="95">
        <v>0</v>
      </c>
      <c r="AD49" s="95">
        <v>9922759</v>
      </c>
      <c r="AE49" s="120">
        <v>9922759</v>
      </c>
      <c r="AF49" s="95">
        <v>50841229</v>
      </c>
      <c r="AG49" s="95">
        <v>0</v>
      </c>
      <c r="AH49" s="120">
        <v>0</v>
      </c>
      <c r="AI49" s="120">
        <v>0</v>
      </c>
      <c r="AJ49" s="84">
        <v>9922759</v>
      </c>
      <c r="AK49" s="84">
        <v>0</v>
      </c>
      <c r="AL49" s="84">
        <v>0</v>
      </c>
      <c r="AM49" s="84">
        <v>9922759</v>
      </c>
      <c r="AN49" s="121">
        <v>9922759</v>
      </c>
      <c r="AO49" s="84">
        <v>0</v>
      </c>
      <c r="AP49" s="95">
        <v>50841229</v>
      </c>
      <c r="AQ49" s="84">
        <v>0</v>
      </c>
      <c r="AS49" s="118">
        <f t="shared" si="0"/>
        <v>0</v>
      </c>
      <c r="AU49" s="121">
        <f t="shared" si="26"/>
        <v>9922759</v>
      </c>
      <c r="AV49" s="121">
        <f t="shared" si="27"/>
        <v>40918470</v>
      </c>
    </row>
    <row r="50" spans="1:48" x14ac:dyDescent="0.25">
      <c r="A50" s="88">
        <v>2112116</v>
      </c>
      <c r="B50" s="88" t="s">
        <v>515</v>
      </c>
      <c r="C50" s="91">
        <v>146760056</v>
      </c>
      <c r="D50" s="91">
        <v>0</v>
      </c>
      <c r="E50" s="91">
        <v>0</v>
      </c>
      <c r="F50" s="91">
        <v>0</v>
      </c>
      <c r="G50" s="91">
        <f t="shared" si="12"/>
        <v>146760056</v>
      </c>
      <c r="H50" s="91">
        <v>0</v>
      </c>
      <c r="I50" s="91">
        <v>23965917</v>
      </c>
      <c r="J50" s="91">
        <f t="shared" si="5"/>
        <v>122794139</v>
      </c>
      <c r="K50" s="91">
        <v>0</v>
      </c>
      <c r="L50" s="91">
        <v>0</v>
      </c>
      <c r="M50" s="91">
        <f t="shared" si="6"/>
        <v>23965917</v>
      </c>
      <c r="N50" s="91">
        <v>23965917</v>
      </c>
      <c r="O50" s="91">
        <f t="shared" si="7"/>
        <v>0</v>
      </c>
      <c r="P50" s="91">
        <f t="shared" si="8"/>
        <v>122794139</v>
      </c>
      <c r="Q50" s="91">
        <f t="shared" si="9"/>
        <v>0</v>
      </c>
      <c r="S50" s="96">
        <v>2112116</v>
      </c>
      <c r="T50" s="117" t="s">
        <v>674</v>
      </c>
      <c r="U50" s="95">
        <v>146760056</v>
      </c>
      <c r="V50" s="95">
        <v>0</v>
      </c>
      <c r="W50" s="95">
        <v>0</v>
      </c>
      <c r="X50" s="95">
        <v>0</v>
      </c>
      <c r="Y50" s="95">
        <v>146760056</v>
      </c>
      <c r="Z50" s="95">
        <v>0</v>
      </c>
      <c r="AA50" s="95">
        <v>0</v>
      </c>
      <c r="AB50" s="120">
        <v>0</v>
      </c>
      <c r="AC50" s="95">
        <v>0</v>
      </c>
      <c r="AD50" s="95">
        <v>23965917</v>
      </c>
      <c r="AE50" s="120">
        <v>23965917</v>
      </c>
      <c r="AF50" s="95">
        <v>122794139</v>
      </c>
      <c r="AG50" s="95">
        <v>0</v>
      </c>
      <c r="AH50" s="120">
        <v>0</v>
      </c>
      <c r="AI50" s="120">
        <v>0</v>
      </c>
      <c r="AJ50" s="84">
        <v>23965917</v>
      </c>
      <c r="AK50" s="84">
        <v>0</v>
      </c>
      <c r="AL50" s="84">
        <v>0</v>
      </c>
      <c r="AM50" s="84">
        <v>23965917</v>
      </c>
      <c r="AN50" s="121">
        <v>23965917</v>
      </c>
      <c r="AO50" s="84">
        <v>0</v>
      </c>
      <c r="AP50" s="95">
        <v>122794139</v>
      </c>
      <c r="AQ50" s="84">
        <v>0</v>
      </c>
      <c r="AS50" s="118">
        <f t="shared" si="0"/>
        <v>0</v>
      </c>
      <c r="AU50" s="121">
        <f t="shared" si="26"/>
        <v>23965917</v>
      </c>
      <c r="AV50" s="121">
        <f t="shared" si="27"/>
        <v>98828222</v>
      </c>
    </row>
    <row r="51" spans="1:48" x14ac:dyDescent="0.25">
      <c r="A51" s="88">
        <v>2112117</v>
      </c>
      <c r="B51" s="88" t="s">
        <v>516</v>
      </c>
      <c r="C51" s="91">
        <v>80449599</v>
      </c>
      <c r="D51" s="91">
        <v>0</v>
      </c>
      <c r="E51" s="91">
        <v>0</v>
      </c>
      <c r="F51" s="91">
        <v>0</v>
      </c>
      <c r="G51" s="91">
        <f t="shared" si="12"/>
        <v>80449599</v>
      </c>
      <c r="H51" s="91">
        <v>0</v>
      </c>
      <c r="I51" s="91">
        <v>13137420</v>
      </c>
      <c r="J51" s="91">
        <f t="shared" si="5"/>
        <v>67312179</v>
      </c>
      <c r="K51" s="91">
        <v>0</v>
      </c>
      <c r="L51" s="91">
        <v>1280818</v>
      </c>
      <c r="M51" s="91">
        <f t="shared" si="6"/>
        <v>11856602</v>
      </c>
      <c r="N51" s="91">
        <v>13137420</v>
      </c>
      <c r="O51" s="91">
        <f t="shared" si="7"/>
        <v>0</v>
      </c>
      <c r="P51" s="91">
        <f t="shared" si="8"/>
        <v>67312179</v>
      </c>
      <c r="Q51" s="91">
        <f t="shared" si="9"/>
        <v>1280818</v>
      </c>
      <c r="S51" s="96">
        <v>2112117</v>
      </c>
      <c r="T51" s="117" t="s">
        <v>675</v>
      </c>
      <c r="U51" s="95">
        <v>80449599</v>
      </c>
      <c r="V51" s="95">
        <v>0</v>
      </c>
      <c r="W51" s="95">
        <v>0</v>
      </c>
      <c r="X51" s="95">
        <v>0</v>
      </c>
      <c r="Y51" s="95">
        <v>80449599</v>
      </c>
      <c r="Z51" s="95">
        <v>0</v>
      </c>
      <c r="AA51" s="95">
        <v>0</v>
      </c>
      <c r="AB51" s="120">
        <v>0</v>
      </c>
      <c r="AC51" s="95">
        <v>0</v>
      </c>
      <c r="AD51" s="95">
        <v>13137420</v>
      </c>
      <c r="AE51" s="120">
        <v>13137420</v>
      </c>
      <c r="AF51" s="95">
        <v>67312179</v>
      </c>
      <c r="AG51" s="95">
        <v>0</v>
      </c>
      <c r="AH51" s="120">
        <v>0</v>
      </c>
      <c r="AI51" s="120">
        <v>1280818</v>
      </c>
      <c r="AJ51" s="84">
        <v>11856602</v>
      </c>
      <c r="AK51" s="84">
        <v>0</v>
      </c>
      <c r="AL51" s="84">
        <v>0</v>
      </c>
      <c r="AM51" s="84">
        <v>13137420</v>
      </c>
      <c r="AN51" s="121">
        <v>13137420</v>
      </c>
      <c r="AO51" s="84">
        <v>0</v>
      </c>
      <c r="AP51" s="95">
        <v>67312179</v>
      </c>
      <c r="AQ51" s="84">
        <v>0</v>
      </c>
      <c r="AS51" s="118">
        <f t="shared" si="0"/>
        <v>0</v>
      </c>
      <c r="AU51" s="121">
        <f t="shared" si="26"/>
        <v>13137420</v>
      </c>
      <c r="AV51" s="121">
        <f t="shared" si="27"/>
        <v>54174759</v>
      </c>
    </row>
    <row r="52" spans="1:48" s="100" customFormat="1" x14ac:dyDescent="0.25">
      <c r="A52" s="109">
        <v>2112118</v>
      </c>
      <c r="B52" s="109" t="s">
        <v>12</v>
      </c>
      <c r="C52" s="111">
        <f>+C53+C54</f>
        <v>1716486018</v>
      </c>
      <c r="D52" s="111">
        <v>0</v>
      </c>
      <c r="E52" s="111">
        <v>0</v>
      </c>
      <c r="F52" s="111">
        <v>0</v>
      </c>
      <c r="G52" s="111">
        <f t="shared" si="12"/>
        <v>1716486018</v>
      </c>
      <c r="H52" s="111">
        <v>743269209</v>
      </c>
      <c r="I52" s="111">
        <v>1022143057</v>
      </c>
      <c r="J52" s="111">
        <f t="shared" si="5"/>
        <v>694342961</v>
      </c>
      <c r="K52" s="111">
        <v>21080410</v>
      </c>
      <c r="L52" s="111">
        <v>29783973</v>
      </c>
      <c r="M52" s="111">
        <f t="shared" si="6"/>
        <v>992359084</v>
      </c>
      <c r="N52" s="111">
        <v>1023565786</v>
      </c>
      <c r="O52" s="111">
        <f t="shared" si="7"/>
        <v>1422729</v>
      </c>
      <c r="P52" s="111">
        <f t="shared" si="8"/>
        <v>692920232</v>
      </c>
      <c r="Q52" s="111">
        <f t="shared" si="9"/>
        <v>29783973</v>
      </c>
      <c r="S52" s="101">
        <v>2112118</v>
      </c>
      <c r="T52" s="116" t="s">
        <v>12</v>
      </c>
      <c r="U52" s="102">
        <v>1716486018</v>
      </c>
      <c r="V52" s="102">
        <v>0</v>
      </c>
      <c r="W52" s="102">
        <v>0</v>
      </c>
      <c r="X52" s="102">
        <v>0</v>
      </c>
      <c r="Y52" s="102">
        <v>1716486018</v>
      </c>
      <c r="Z52" s="102">
        <v>0</v>
      </c>
      <c r="AA52" s="102">
        <v>0</v>
      </c>
      <c r="AB52" s="119">
        <v>743269209</v>
      </c>
      <c r="AC52" s="102">
        <v>743269209</v>
      </c>
      <c r="AD52" s="102">
        <v>1022143057</v>
      </c>
      <c r="AE52" s="119">
        <v>1022143057</v>
      </c>
      <c r="AF52" s="102">
        <v>694342961</v>
      </c>
      <c r="AG52" s="102">
        <v>0</v>
      </c>
      <c r="AH52" s="119">
        <v>21080410</v>
      </c>
      <c r="AI52" s="119">
        <v>29783973</v>
      </c>
      <c r="AJ52" s="100">
        <v>992359084</v>
      </c>
      <c r="AK52" s="100">
        <v>0</v>
      </c>
      <c r="AL52" s="100">
        <v>529800</v>
      </c>
      <c r="AM52" s="100">
        <v>1023565786</v>
      </c>
      <c r="AN52" s="122">
        <v>1023565786</v>
      </c>
      <c r="AO52" s="100">
        <v>1422729</v>
      </c>
      <c r="AP52" s="102">
        <v>692920232</v>
      </c>
      <c r="AQ52" s="100">
        <v>0</v>
      </c>
      <c r="AS52" s="118">
        <f t="shared" si="0"/>
        <v>0</v>
      </c>
      <c r="AU52" s="122"/>
      <c r="AV52" s="122"/>
    </row>
    <row r="53" spans="1:48" x14ac:dyDescent="0.25">
      <c r="A53" s="88">
        <v>21121181</v>
      </c>
      <c r="B53" s="86" t="s">
        <v>517</v>
      </c>
      <c r="C53" s="91">
        <v>740067090</v>
      </c>
      <c r="D53" s="91">
        <v>0</v>
      </c>
      <c r="E53" s="91">
        <v>0</v>
      </c>
      <c r="F53" s="91">
        <v>0</v>
      </c>
      <c r="G53" s="91">
        <f t="shared" si="12"/>
        <v>740067090</v>
      </c>
      <c r="H53" s="91">
        <v>371634604.5</v>
      </c>
      <c r="I53" s="91">
        <v>492487560.5</v>
      </c>
      <c r="J53" s="91">
        <f t="shared" si="5"/>
        <v>247579529.5</v>
      </c>
      <c r="K53" s="91">
        <v>0</v>
      </c>
      <c r="L53" s="91">
        <v>0</v>
      </c>
      <c r="M53" s="91">
        <f t="shared" si="6"/>
        <v>492487560.5</v>
      </c>
      <c r="N53" s="91">
        <v>492487560.5</v>
      </c>
      <c r="O53" s="91">
        <f t="shared" si="7"/>
        <v>0</v>
      </c>
      <c r="P53" s="91">
        <f t="shared" si="8"/>
        <v>247579529.5</v>
      </c>
      <c r="Q53" s="91">
        <f t="shared" si="9"/>
        <v>0</v>
      </c>
      <c r="S53" s="96">
        <v>21121181</v>
      </c>
      <c r="T53" s="117" t="s">
        <v>676</v>
      </c>
      <c r="U53" s="95">
        <v>740067090</v>
      </c>
      <c r="V53" s="95">
        <v>0</v>
      </c>
      <c r="W53" s="95">
        <v>0</v>
      </c>
      <c r="X53" s="95">
        <v>0</v>
      </c>
      <c r="Y53" s="95">
        <v>740067090</v>
      </c>
      <c r="Z53" s="95">
        <v>0</v>
      </c>
      <c r="AA53" s="95">
        <v>0</v>
      </c>
      <c r="AB53" s="120">
        <v>371634604.5</v>
      </c>
      <c r="AC53" s="95">
        <v>371634604.5</v>
      </c>
      <c r="AD53" s="95">
        <v>492487560.5</v>
      </c>
      <c r="AE53" s="120">
        <v>492487560.5</v>
      </c>
      <c r="AF53" s="95">
        <v>247579529.5</v>
      </c>
      <c r="AG53" s="95">
        <v>0</v>
      </c>
      <c r="AH53" s="120">
        <v>0</v>
      </c>
      <c r="AI53" s="120">
        <v>0</v>
      </c>
      <c r="AJ53" s="84">
        <v>492487560.5</v>
      </c>
      <c r="AK53" s="84">
        <v>0</v>
      </c>
      <c r="AL53" s="84">
        <v>0</v>
      </c>
      <c r="AM53" s="84">
        <v>492487560.5</v>
      </c>
      <c r="AN53" s="121">
        <v>492487560.5</v>
      </c>
      <c r="AO53" s="84">
        <v>0</v>
      </c>
      <c r="AP53" s="95">
        <v>247579529.5</v>
      </c>
      <c r="AQ53" s="84">
        <v>0</v>
      </c>
      <c r="AS53" s="118">
        <f t="shared" si="0"/>
        <v>0</v>
      </c>
      <c r="AU53" s="121">
        <f t="shared" ref="AU53:AU55" si="28">+G53-P53</f>
        <v>492487560.5</v>
      </c>
      <c r="AV53" s="121">
        <f t="shared" ref="AV53:AV55" si="29">+P53-AU53</f>
        <v>-244908031</v>
      </c>
    </row>
    <row r="54" spans="1:48" x14ac:dyDescent="0.25">
      <c r="A54" s="88">
        <v>21121182</v>
      </c>
      <c r="B54" s="86" t="s">
        <v>518</v>
      </c>
      <c r="C54" s="91">
        <v>976418928</v>
      </c>
      <c r="D54" s="91">
        <v>0</v>
      </c>
      <c r="E54" s="91">
        <v>0</v>
      </c>
      <c r="F54" s="91">
        <v>0</v>
      </c>
      <c r="G54" s="91">
        <f t="shared" si="12"/>
        <v>976418928</v>
      </c>
      <c r="H54" s="91">
        <v>371634604.5</v>
      </c>
      <c r="I54" s="91">
        <v>529655496.5</v>
      </c>
      <c r="J54" s="91">
        <f t="shared" si="5"/>
        <v>446763431.5</v>
      </c>
      <c r="K54" s="91">
        <v>21080410</v>
      </c>
      <c r="L54" s="91">
        <v>29783973</v>
      </c>
      <c r="M54" s="91">
        <f t="shared" si="6"/>
        <v>499871523.5</v>
      </c>
      <c r="N54" s="91">
        <v>531078225.5</v>
      </c>
      <c r="O54" s="91">
        <f t="shared" si="7"/>
        <v>1422729</v>
      </c>
      <c r="P54" s="91">
        <f t="shared" si="8"/>
        <v>445340702.5</v>
      </c>
      <c r="Q54" s="91">
        <f t="shared" si="9"/>
        <v>29783973</v>
      </c>
      <c r="S54" s="96">
        <v>21121182</v>
      </c>
      <c r="T54" s="117" t="s">
        <v>677</v>
      </c>
      <c r="U54" s="95">
        <v>976418928</v>
      </c>
      <c r="V54" s="95">
        <v>0</v>
      </c>
      <c r="W54" s="95">
        <v>0</v>
      </c>
      <c r="X54" s="95">
        <v>0</v>
      </c>
      <c r="Y54" s="95">
        <v>976418928</v>
      </c>
      <c r="Z54" s="95">
        <v>0</v>
      </c>
      <c r="AA54" s="95">
        <v>0</v>
      </c>
      <c r="AB54" s="120">
        <v>371634604.5</v>
      </c>
      <c r="AC54" s="95">
        <v>371634604.5</v>
      </c>
      <c r="AD54" s="95">
        <v>529655496.5</v>
      </c>
      <c r="AE54" s="120">
        <v>529655496.5</v>
      </c>
      <c r="AF54" s="95">
        <v>446763431.5</v>
      </c>
      <c r="AG54" s="95">
        <v>0</v>
      </c>
      <c r="AH54" s="120">
        <v>21080410</v>
      </c>
      <c r="AI54" s="120">
        <v>29783973</v>
      </c>
      <c r="AJ54" s="84">
        <v>499871523.5</v>
      </c>
      <c r="AK54" s="84">
        <v>0</v>
      </c>
      <c r="AL54" s="84">
        <v>529800</v>
      </c>
      <c r="AM54" s="84">
        <v>531078225.5</v>
      </c>
      <c r="AN54" s="121">
        <v>531078225.5</v>
      </c>
      <c r="AO54" s="84">
        <v>1422729</v>
      </c>
      <c r="AP54" s="95">
        <v>445340702.5</v>
      </c>
      <c r="AQ54" s="84">
        <v>0</v>
      </c>
      <c r="AS54" s="118">
        <f t="shared" si="0"/>
        <v>0</v>
      </c>
      <c r="AU54" s="121">
        <f t="shared" si="28"/>
        <v>531078225.5</v>
      </c>
      <c r="AV54" s="121">
        <f t="shared" si="29"/>
        <v>-85737523</v>
      </c>
    </row>
    <row r="55" spans="1:48" x14ac:dyDescent="0.25">
      <c r="A55" s="88">
        <v>2112119</v>
      </c>
      <c r="B55" s="86" t="s">
        <v>531</v>
      </c>
      <c r="C55" s="91">
        <v>65224474</v>
      </c>
      <c r="D55" s="91">
        <v>0</v>
      </c>
      <c r="E55" s="91">
        <v>0</v>
      </c>
      <c r="F55" s="91">
        <v>0</v>
      </c>
      <c r="G55" s="91">
        <f t="shared" si="12"/>
        <v>65224474</v>
      </c>
      <c r="H55" s="91">
        <v>2264158</v>
      </c>
      <c r="I55" s="91">
        <v>2264158</v>
      </c>
      <c r="J55" s="91">
        <f t="shared" si="5"/>
        <v>62960316</v>
      </c>
      <c r="K55" s="91">
        <v>0</v>
      </c>
      <c r="L55" s="91">
        <v>0</v>
      </c>
      <c r="M55" s="91">
        <f t="shared" si="6"/>
        <v>2264158</v>
      </c>
      <c r="N55" s="91">
        <v>2264158</v>
      </c>
      <c r="O55" s="91">
        <f t="shared" si="7"/>
        <v>0</v>
      </c>
      <c r="P55" s="91">
        <f t="shared" si="8"/>
        <v>62960316</v>
      </c>
      <c r="Q55" s="91">
        <f t="shared" si="9"/>
        <v>0</v>
      </c>
      <c r="S55" s="96">
        <v>2112119</v>
      </c>
      <c r="T55" s="117" t="s">
        <v>20</v>
      </c>
      <c r="U55" s="95">
        <v>65224474</v>
      </c>
      <c r="V55" s="95">
        <v>0</v>
      </c>
      <c r="W55" s="95">
        <v>0</v>
      </c>
      <c r="X55" s="95">
        <v>0</v>
      </c>
      <c r="Y55" s="95">
        <v>65224474</v>
      </c>
      <c r="Z55" s="95">
        <v>0</v>
      </c>
      <c r="AA55" s="95">
        <v>0</v>
      </c>
      <c r="AB55" s="120">
        <v>2264158</v>
      </c>
      <c r="AC55" s="95">
        <v>2264158</v>
      </c>
      <c r="AD55" s="95">
        <v>2264158</v>
      </c>
      <c r="AE55" s="120">
        <v>2264158</v>
      </c>
      <c r="AF55" s="95">
        <v>62960316</v>
      </c>
      <c r="AG55" s="95">
        <v>0</v>
      </c>
      <c r="AH55" s="120">
        <v>0</v>
      </c>
      <c r="AI55" s="120">
        <v>0</v>
      </c>
      <c r="AJ55" s="84">
        <v>2264158</v>
      </c>
      <c r="AK55" s="84">
        <v>0</v>
      </c>
      <c r="AL55" s="84">
        <v>2264158</v>
      </c>
      <c r="AM55" s="84">
        <v>2264158</v>
      </c>
      <c r="AN55" s="121">
        <v>2264158</v>
      </c>
      <c r="AO55" s="84">
        <v>0</v>
      </c>
      <c r="AP55" s="95">
        <v>62960316</v>
      </c>
      <c r="AQ55" s="84">
        <v>0</v>
      </c>
      <c r="AS55" s="118">
        <f t="shared" si="0"/>
        <v>0</v>
      </c>
      <c r="AU55" s="121">
        <f t="shared" si="28"/>
        <v>2264158</v>
      </c>
      <c r="AV55" s="121">
        <f t="shared" si="29"/>
        <v>60696158</v>
      </c>
    </row>
    <row r="56" spans="1:48" s="100" customFormat="1" x14ac:dyDescent="0.25">
      <c r="A56" s="109">
        <v>21122</v>
      </c>
      <c r="B56" s="110" t="s">
        <v>14</v>
      </c>
      <c r="C56" s="111">
        <f>SUM(C57:C62)</f>
        <v>4794961154</v>
      </c>
      <c r="D56" s="111">
        <v>0</v>
      </c>
      <c r="E56" s="111">
        <v>0</v>
      </c>
      <c r="F56" s="111">
        <v>0</v>
      </c>
      <c r="G56" s="111">
        <f t="shared" si="12"/>
        <v>4794961154</v>
      </c>
      <c r="H56" s="111">
        <v>913912042</v>
      </c>
      <c r="I56" s="111">
        <v>1689766286</v>
      </c>
      <c r="J56" s="111">
        <f t="shared" si="5"/>
        <v>3105194868</v>
      </c>
      <c r="K56" s="111">
        <v>20229007</v>
      </c>
      <c r="L56" s="111">
        <v>167536460</v>
      </c>
      <c r="M56" s="111">
        <f t="shared" si="6"/>
        <v>1522229826</v>
      </c>
      <c r="N56" s="111">
        <v>1727832671</v>
      </c>
      <c r="O56" s="111">
        <f t="shared" si="7"/>
        <v>38066385</v>
      </c>
      <c r="P56" s="111">
        <f t="shared" si="8"/>
        <v>3067128483</v>
      </c>
      <c r="Q56" s="111">
        <f t="shared" si="9"/>
        <v>167536460</v>
      </c>
      <c r="S56" s="101">
        <v>21122</v>
      </c>
      <c r="T56" s="116" t="s">
        <v>14</v>
      </c>
      <c r="U56" s="102">
        <v>4794961154</v>
      </c>
      <c r="V56" s="102">
        <v>0</v>
      </c>
      <c r="W56" s="102">
        <v>0</v>
      </c>
      <c r="X56" s="102">
        <v>0</v>
      </c>
      <c r="Y56" s="102">
        <v>4794961154</v>
      </c>
      <c r="Z56" s="102">
        <v>0</v>
      </c>
      <c r="AA56" s="102">
        <v>0</v>
      </c>
      <c r="AB56" s="119">
        <v>913912042</v>
      </c>
      <c r="AC56" s="102">
        <v>913912042</v>
      </c>
      <c r="AD56" s="102">
        <v>1689766286</v>
      </c>
      <c r="AE56" s="119">
        <v>1689766286</v>
      </c>
      <c r="AF56" s="102">
        <v>3105194868</v>
      </c>
      <c r="AG56" s="102">
        <v>0</v>
      </c>
      <c r="AH56" s="119">
        <v>20229007</v>
      </c>
      <c r="AI56" s="119">
        <v>167536460</v>
      </c>
      <c r="AJ56" s="100">
        <v>1522229826</v>
      </c>
      <c r="AK56" s="100">
        <v>0</v>
      </c>
      <c r="AL56" s="100">
        <v>26928089</v>
      </c>
      <c r="AM56" s="100">
        <v>1727832671</v>
      </c>
      <c r="AN56" s="122">
        <v>1727832671</v>
      </c>
      <c r="AO56" s="100">
        <v>38066385</v>
      </c>
      <c r="AP56" s="102">
        <v>3067128483</v>
      </c>
      <c r="AQ56" s="100">
        <v>0</v>
      </c>
      <c r="AS56" s="118">
        <f t="shared" si="0"/>
        <v>0</v>
      </c>
      <c r="AU56" s="122"/>
      <c r="AV56" s="122"/>
    </row>
    <row r="57" spans="1:48" x14ac:dyDescent="0.25">
      <c r="A57" s="88">
        <v>211221</v>
      </c>
      <c r="B57" s="86" t="s">
        <v>532</v>
      </c>
      <c r="C57" s="91">
        <v>1515268362</v>
      </c>
      <c r="D57" s="91">
        <v>0</v>
      </c>
      <c r="E57" s="91">
        <v>0</v>
      </c>
      <c r="F57" s="91">
        <v>0</v>
      </c>
      <c r="G57" s="91">
        <f t="shared" si="12"/>
        <v>1515268362</v>
      </c>
      <c r="H57" s="91">
        <v>460305538</v>
      </c>
      <c r="I57" s="91">
        <v>694635913</v>
      </c>
      <c r="J57" s="91">
        <f t="shared" si="5"/>
        <v>820632449</v>
      </c>
      <c r="K57" s="91">
        <v>10114503.5</v>
      </c>
      <c r="L57" s="91">
        <v>14230167.5</v>
      </c>
      <c r="M57" s="91">
        <f t="shared" si="6"/>
        <v>680405745.5</v>
      </c>
      <c r="N57" s="91">
        <v>700351157</v>
      </c>
      <c r="O57" s="91">
        <f t="shared" si="7"/>
        <v>5715244</v>
      </c>
      <c r="P57" s="91">
        <f t="shared" si="8"/>
        <v>814917205</v>
      </c>
      <c r="Q57" s="91">
        <f t="shared" si="9"/>
        <v>14230167.5</v>
      </c>
      <c r="S57" s="96">
        <v>211221</v>
      </c>
      <c r="T57" s="117" t="s">
        <v>692</v>
      </c>
      <c r="U57" s="95">
        <v>1515268362</v>
      </c>
      <c r="V57" s="95">
        <v>0</v>
      </c>
      <c r="W57" s="95">
        <v>0</v>
      </c>
      <c r="X57" s="95">
        <v>0</v>
      </c>
      <c r="Y57" s="95">
        <v>1515268362</v>
      </c>
      <c r="Z57" s="95">
        <v>0</v>
      </c>
      <c r="AA57" s="95">
        <v>0</v>
      </c>
      <c r="AB57" s="120">
        <v>460305538</v>
      </c>
      <c r="AC57" s="95">
        <v>460305538</v>
      </c>
      <c r="AD57" s="95">
        <v>694635913</v>
      </c>
      <c r="AE57" s="120">
        <v>694635913</v>
      </c>
      <c r="AF57" s="95">
        <v>820632449</v>
      </c>
      <c r="AG57" s="95">
        <v>0</v>
      </c>
      <c r="AH57" s="120">
        <v>10114503.5</v>
      </c>
      <c r="AI57" s="120">
        <v>14230167.5</v>
      </c>
      <c r="AJ57" s="84">
        <v>680405745.5</v>
      </c>
      <c r="AK57" s="84">
        <v>0</v>
      </c>
      <c r="AL57" s="84">
        <v>3882686</v>
      </c>
      <c r="AM57" s="84">
        <v>700351157</v>
      </c>
      <c r="AN57" s="121">
        <v>700351157</v>
      </c>
      <c r="AO57" s="84">
        <v>5715244</v>
      </c>
      <c r="AP57" s="95">
        <v>814917205</v>
      </c>
      <c r="AQ57" s="84">
        <v>0</v>
      </c>
      <c r="AS57" s="118">
        <f t="shared" si="0"/>
        <v>0</v>
      </c>
      <c r="AU57" s="121">
        <f t="shared" ref="AU57:AU62" si="30">+G57-P57</f>
        <v>700351157</v>
      </c>
      <c r="AV57" s="121">
        <f t="shared" ref="AV57:AV62" si="31">+P57-AU57</f>
        <v>114566048</v>
      </c>
    </row>
    <row r="58" spans="1:48" x14ac:dyDescent="0.25">
      <c r="A58" s="88">
        <v>211222</v>
      </c>
      <c r="B58" s="86" t="s">
        <v>533</v>
      </c>
      <c r="C58" s="91">
        <v>1129786699</v>
      </c>
      <c r="D58" s="91">
        <v>0</v>
      </c>
      <c r="E58" s="91">
        <v>0</v>
      </c>
      <c r="F58" s="91">
        <v>0</v>
      </c>
      <c r="G58" s="91">
        <f t="shared" si="12"/>
        <v>1129786699</v>
      </c>
      <c r="H58" s="91">
        <v>434899232</v>
      </c>
      <c r="I58" s="91">
        <v>611462862</v>
      </c>
      <c r="J58" s="91">
        <f t="shared" si="5"/>
        <v>518323837</v>
      </c>
      <c r="K58" s="91">
        <v>10114503.5</v>
      </c>
      <c r="L58" s="91">
        <v>14230167.5</v>
      </c>
      <c r="M58" s="91">
        <f t="shared" si="6"/>
        <v>597232694.5</v>
      </c>
      <c r="N58" s="91">
        <v>642584411</v>
      </c>
      <c r="O58" s="91">
        <f t="shared" si="7"/>
        <v>31121549</v>
      </c>
      <c r="P58" s="91">
        <f t="shared" si="8"/>
        <v>487202288</v>
      </c>
      <c r="Q58" s="91">
        <f t="shared" si="9"/>
        <v>14230167.5</v>
      </c>
      <c r="S58" s="96">
        <v>211222</v>
      </c>
      <c r="T58" s="117" t="s">
        <v>693</v>
      </c>
      <c r="U58" s="95">
        <v>1129786699</v>
      </c>
      <c r="V58" s="95">
        <v>0</v>
      </c>
      <c r="W58" s="95">
        <v>0</v>
      </c>
      <c r="X58" s="95">
        <v>0</v>
      </c>
      <c r="Y58" s="95">
        <v>1129786699</v>
      </c>
      <c r="Z58" s="95">
        <v>0</v>
      </c>
      <c r="AA58" s="95">
        <v>0</v>
      </c>
      <c r="AB58" s="120">
        <v>434899232</v>
      </c>
      <c r="AC58" s="95">
        <v>434899232</v>
      </c>
      <c r="AD58" s="95">
        <v>611462862</v>
      </c>
      <c r="AE58" s="120">
        <v>611462862</v>
      </c>
      <c r="AF58" s="95">
        <v>518323837</v>
      </c>
      <c r="AG58" s="95">
        <v>0</v>
      </c>
      <c r="AH58" s="120">
        <v>10114503.5</v>
      </c>
      <c r="AI58" s="120">
        <v>14230167.5</v>
      </c>
      <c r="AJ58" s="84">
        <v>597232694.5</v>
      </c>
      <c r="AK58" s="84">
        <v>0</v>
      </c>
      <c r="AL58" s="84">
        <v>3882686</v>
      </c>
      <c r="AM58" s="84">
        <v>642584411</v>
      </c>
      <c r="AN58" s="121">
        <v>642584411</v>
      </c>
      <c r="AO58" s="84">
        <v>31121549</v>
      </c>
      <c r="AP58" s="95">
        <v>487202288</v>
      </c>
      <c r="AQ58" s="84">
        <v>0</v>
      </c>
      <c r="AS58" s="118">
        <f t="shared" si="0"/>
        <v>0</v>
      </c>
      <c r="AU58" s="121">
        <f t="shared" si="30"/>
        <v>642584411</v>
      </c>
      <c r="AV58" s="121">
        <f t="shared" si="31"/>
        <v>-155382123</v>
      </c>
    </row>
    <row r="59" spans="1:48" x14ac:dyDescent="0.25">
      <c r="A59" s="88">
        <v>211223</v>
      </c>
      <c r="B59" s="86" t="s">
        <v>525</v>
      </c>
      <c r="C59" s="91">
        <v>1018047988</v>
      </c>
      <c r="D59" s="91">
        <v>0</v>
      </c>
      <c r="E59" s="91">
        <v>0</v>
      </c>
      <c r="F59" s="91">
        <v>0</v>
      </c>
      <c r="G59" s="91">
        <f t="shared" si="12"/>
        <v>1018047988</v>
      </c>
      <c r="H59" s="91">
        <v>0</v>
      </c>
      <c r="I59" s="91">
        <v>164188236</v>
      </c>
      <c r="J59" s="91">
        <f t="shared" si="5"/>
        <v>853859752</v>
      </c>
      <c r="K59" s="91">
        <v>0</v>
      </c>
      <c r="L59" s="91">
        <v>139076125</v>
      </c>
      <c r="M59" s="91">
        <f t="shared" si="6"/>
        <v>25112111</v>
      </c>
      <c r="N59" s="91">
        <v>165417828</v>
      </c>
      <c r="O59" s="91">
        <f t="shared" si="7"/>
        <v>1229592</v>
      </c>
      <c r="P59" s="91">
        <f t="shared" si="8"/>
        <v>852630160</v>
      </c>
      <c r="Q59" s="91">
        <f t="shared" si="9"/>
        <v>139076125</v>
      </c>
      <c r="S59" s="96">
        <v>211223</v>
      </c>
      <c r="T59" s="117" t="s">
        <v>684</v>
      </c>
      <c r="U59" s="95">
        <v>1018047988</v>
      </c>
      <c r="V59" s="95">
        <v>0</v>
      </c>
      <c r="W59" s="95">
        <v>0</v>
      </c>
      <c r="X59" s="95">
        <v>0</v>
      </c>
      <c r="Y59" s="95">
        <v>1018047988</v>
      </c>
      <c r="Z59" s="95">
        <v>0</v>
      </c>
      <c r="AA59" s="95">
        <v>0</v>
      </c>
      <c r="AB59" s="120">
        <v>0</v>
      </c>
      <c r="AC59" s="95">
        <v>0</v>
      </c>
      <c r="AD59" s="95">
        <v>164188236</v>
      </c>
      <c r="AE59" s="120">
        <v>164188236</v>
      </c>
      <c r="AF59" s="95">
        <v>853859752</v>
      </c>
      <c r="AG59" s="95">
        <v>0</v>
      </c>
      <c r="AH59" s="120">
        <v>0</v>
      </c>
      <c r="AI59" s="120">
        <v>139076125</v>
      </c>
      <c r="AJ59" s="84">
        <v>25112111</v>
      </c>
      <c r="AK59" s="84">
        <v>0</v>
      </c>
      <c r="AL59" s="84">
        <v>455445</v>
      </c>
      <c r="AM59" s="84">
        <v>165417828</v>
      </c>
      <c r="AN59" s="121">
        <v>165417828</v>
      </c>
      <c r="AO59" s="84">
        <v>1229592</v>
      </c>
      <c r="AP59" s="95">
        <v>852630160</v>
      </c>
      <c r="AQ59" s="84">
        <v>0</v>
      </c>
      <c r="AS59" s="118">
        <f t="shared" si="0"/>
        <v>0</v>
      </c>
      <c r="AU59" s="121">
        <f t="shared" si="30"/>
        <v>165417828</v>
      </c>
      <c r="AV59" s="121">
        <f t="shared" si="31"/>
        <v>687212332</v>
      </c>
    </row>
    <row r="60" spans="1:48" x14ac:dyDescent="0.25">
      <c r="A60" s="88">
        <v>211224</v>
      </c>
      <c r="B60" s="86" t="s">
        <v>534</v>
      </c>
      <c r="C60" s="91">
        <v>502767364</v>
      </c>
      <c r="D60" s="91">
        <v>0</v>
      </c>
      <c r="E60" s="91">
        <v>0</v>
      </c>
      <c r="F60" s="91">
        <v>0</v>
      </c>
      <c r="G60" s="91">
        <f t="shared" si="12"/>
        <v>502767364</v>
      </c>
      <c r="H60" s="91">
        <v>0</v>
      </c>
      <c r="I60" s="91">
        <v>76179154</v>
      </c>
      <c r="J60" s="91">
        <f t="shared" si="5"/>
        <v>426588210</v>
      </c>
      <c r="K60" s="91">
        <v>0</v>
      </c>
      <c r="L60" s="91">
        <v>0</v>
      </c>
      <c r="M60" s="91">
        <f t="shared" si="6"/>
        <v>76179154</v>
      </c>
      <c r="N60" s="91">
        <v>76179154</v>
      </c>
      <c r="O60" s="91">
        <f t="shared" si="7"/>
        <v>0</v>
      </c>
      <c r="P60" s="91">
        <f t="shared" si="8"/>
        <v>426588210</v>
      </c>
      <c r="Q60" s="91">
        <f t="shared" si="9"/>
        <v>0</v>
      </c>
      <c r="S60" s="96">
        <v>211224</v>
      </c>
      <c r="T60" s="117" t="s">
        <v>694</v>
      </c>
      <c r="U60" s="95">
        <v>502767364</v>
      </c>
      <c r="V60" s="95">
        <v>0</v>
      </c>
      <c r="W60" s="95">
        <v>0</v>
      </c>
      <c r="X60" s="95">
        <v>0</v>
      </c>
      <c r="Y60" s="95">
        <v>502767364</v>
      </c>
      <c r="Z60" s="95">
        <v>0</v>
      </c>
      <c r="AA60" s="95">
        <v>0</v>
      </c>
      <c r="AB60" s="120">
        <v>0</v>
      </c>
      <c r="AC60" s="95">
        <v>0</v>
      </c>
      <c r="AD60" s="95">
        <v>76179154</v>
      </c>
      <c r="AE60" s="120">
        <v>76179154</v>
      </c>
      <c r="AF60" s="95">
        <v>426588210</v>
      </c>
      <c r="AG60" s="95">
        <v>0</v>
      </c>
      <c r="AH60" s="120">
        <v>0</v>
      </c>
      <c r="AI60" s="120">
        <v>0</v>
      </c>
      <c r="AJ60" s="84">
        <v>76179154</v>
      </c>
      <c r="AK60" s="84">
        <v>0</v>
      </c>
      <c r="AL60" s="84">
        <v>0</v>
      </c>
      <c r="AM60" s="84">
        <v>76179154</v>
      </c>
      <c r="AN60" s="121">
        <v>76179154</v>
      </c>
      <c r="AO60" s="84">
        <v>0</v>
      </c>
      <c r="AP60" s="95">
        <v>426588210</v>
      </c>
      <c r="AQ60" s="84">
        <v>0</v>
      </c>
      <c r="AS60" s="118">
        <f t="shared" si="0"/>
        <v>0</v>
      </c>
      <c r="AU60" s="121">
        <f t="shared" si="30"/>
        <v>76179154</v>
      </c>
      <c r="AV60" s="121">
        <f t="shared" si="31"/>
        <v>350409056</v>
      </c>
    </row>
    <row r="61" spans="1:48" x14ac:dyDescent="0.25">
      <c r="A61" s="88">
        <v>211225</v>
      </c>
      <c r="B61" s="86" t="s">
        <v>527</v>
      </c>
      <c r="C61" s="91">
        <v>252015215</v>
      </c>
      <c r="D61" s="91">
        <v>0</v>
      </c>
      <c r="E61" s="91">
        <v>0</v>
      </c>
      <c r="F61" s="91">
        <v>0</v>
      </c>
      <c r="G61" s="91">
        <f t="shared" si="12"/>
        <v>252015215</v>
      </c>
      <c r="H61" s="91">
        <v>18707272</v>
      </c>
      <c r="I61" s="91">
        <v>86165755</v>
      </c>
      <c r="J61" s="91">
        <f t="shared" si="5"/>
        <v>165849460</v>
      </c>
      <c r="K61" s="91">
        <v>0</v>
      </c>
      <c r="L61" s="91">
        <v>0</v>
      </c>
      <c r="M61" s="91">
        <f t="shared" si="6"/>
        <v>86165755</v>
      </c>
      <c r="N61" s="91">
        <v>86165755</v>
      </c>
      <c r="O61" s="91">
        <f t="shared" si="7"/>
        <v>0</v>
      </c>
      <c r="P61" s="91">
        <f t="shared" si="8"/>
        <v>165849460</v>
      </c>
      <c r="Q61" s="91">
        <f t="shared" si="9"/>
        <v>0</v>
      </c>
      <c r="S61" s="96">
        <v>211225</v>
      </c>
      <c r="T61" s="117" t="s">
        <v>686</v>
      </c>
      <c r="U61" s="95">
        <v>252015215</v>
      </c>
      <c r="V61" s="95">
        <v>0</v>
      </c>
      <c r="W61" s="95">
        <v>0</v>
      </c>
      <c r="X61" s="95">
        <v>0</v>
      </c>
      <c r="Y61" s="95">
        <v>252015215</v>
      </c>
      <c r="Z61" s="95">
        <v>0</v>
      </c>
      <c r="AA61" s="95">
        <v>0</v>
      </c>
      <c r="AB61" s="120">
        <v>18707272</v>
      </c>
      <c r="AC61" s="95">
        <v>18707272</v>
      </c>
      <c r="AD61" s="95">
        <v>86165755</v>
      </c>
      <c r="AE61" s="120">
        <v>86165755</v>
      </c>
      <c r="AF61" s="95">
        <v>165849460</v>
      </c>
      <c r="AG61" s="95">
        <v>0</v>
      </c>
      <c r="AH61" s="120">
        <v>0</v>
      </c>
      <c r="AI61" s="120">
        <v>0</v>
      </c>
      <c r="AJ61" s="84">
        <v>86165755</v>
      </c>
      <c r="AK61" s="84">
        <v>0</v>
      </c>
      <c r="AL61" s="84">
        <v>18707272</v>
      </c>
      <c r="AM61" s="84">
        <v>86165755</v>
      </c>
      <c r="AN61" s="121">
        <v>86165755</v>
      </c>
      <c r="AO61" s="84">
        <v>0</v>
      </c>
      <c r="AP61" s="95">
        <v>165849460</v>
      </c>
      <c r="AQ61" s="84">
        <v>0</v>
      </c>
      <c r="AS61" s="118">
        <f t="shared" si="0"/>
        <v>0</v>
      </c>
      <c r="AU61" s="121">
        <f t="shared" si="30"/>
        <v>86165755</v>
      </c>
      <c r="AV61" s="121">
        <f t="shared" si="31"/>
        <v>79683705</v>
      </c>
    </row>
    <row r="62" spans="1:48" x14ac:dyDescent="0.25">
      <c r="A62" s="88">
        <v>211226</v>
      </c>
      <c r="B62" s="86" t="s">
        <v>633</v>
      </c>
      <c r="C62" s="91">
        <v>377075526</v>
      </c>
      <c r="D62" s="91">
        <v>0</v>
      </c>
      <c r="E62" s="91">
        <v>0</v>
      </c>
      <c r="F62" s="91">
        <v>0</v>
      </c>
      <c r="G62" s="91">
        <f t="shared" si="12"/>
        <v>377075526</v>
      </c>
      <c r="H62" s="91">
        <v>0</v>
      </c>
      <c r="I62" s="91">
        <v>57134366</v>
      </c>
      <c r="J62" s="91">
        <f t="shared" si="5"/>
        <v>319941160</v>
      </c>
      <c r="K62" s="91">
        <v>0</v>
      </c>
      <c r="L62" s="91">
        <v>0</v>
      </c>
      <c r="M62" s="91">
        <f t="shared" si="6"/>
        <v>57134366</v>
      </c>
      <c r="N62" s="91">
        <v>57134366</v>
      </c>
      <c r="O62" s="91">
        <f t="shared" si="7"/>
        <v>0</v>
      </c>
      <c r="P62" s="91">
        <f t="shared" si="8"/>
        <v>319941160</v>
      </c>
      <c r="Q62" s="91">
        <f t="shared" si="9"/>
        <v>0</v>
      </c>
      <c r="S62" s="96">
        <v>211226</v>
      </c>
      <c r="T62" s="117" t="s">
        <v>687</v>
      </c>
      <c r="U62" s="95">
        <v>377075526</v>
      </c>
      <c r="V62" s="95">
        <v>0</v>
      </c>
      <c r="W62" s="95">
        <v>0</v>
      </c>
      <c r="X62" s="95">
        <v>0</v>
      </c>
      <c r="Y62" s="95">
        <v>377075526</v>
      </c>
      <c r="Z62" s="95">
        <v>0</v>
      </c>
      <c r="AA62" s="95">
        <v>0</v>
      </c>
      <c r="AB62" s="120">
        <v>0</v>
      </c>
      <c r="AC62" s="95">
        <v>0</v>
      </c>
      <c r="AD62" s="95">
        <v>57134366</v>
      </c>
      <c r="AE62" s="120">
        <v>57134366</v>
      </c>
      <c r="AF62" s="95">
        <v>319941160</v>
      </c>
      <c r="AG62" s="95">
        <v>0</v>
      </c>
      <c r="AH62" s="120">
        <v>0</v>
      </c>
      <c r="AI62" s="120">
        <v>0</v>
      </c>
      <c r="AJ62" s="84">
        <v>57134366</v>
      </c>
      <c r="AK62" s="84">
        <v>0</v>
      </c>
      <c r="AL62" s="84">
        <v>0</v>
      </c>
      <c r="AM62" s="84">
        <v>57134366</v>
      </c>
      <c r="AN62" s="121">
        <v>57134366</v>
      </c>
      <c r="AO62" s="84">
        <v>0</v>
      </c>
      <c r="AP62" s="95">
        <v>319941160</v>
      </c>
      <c r="AQ62" s="84">
        <v>0</v>
      </c>
      <c r="AS62" s="118">
        <f t="shared" si="0"/>
        <v>0</v>
      </c>
      <c r="AU62" s="121">
        <f t="shared" si="30"/>
        <v>57134366</v>
      </c>
      <c r="AV62" s="121">
        <f t="shared" si="31"/>
        <v>262806794</v>
      </c>
    </row>
    <row r="63" spans="1:48" s="100" customFormat="1" x14ac:dyDescent="0.25">
      <c r="A63" s="103">
        <v>212</v>
      </c>
      <c r="B63" s="104" t="s">
        <v>21</v>
      </c>
      <c r="C63" s="105">
        <f>+C64+C108</f>
        <v>8555827773</v>
      </c>
      <c r="D63" s="105">
        <f t="shared" ref="D63:Q63" si="32">+D64+D108</f>
        <v>2872403991</v>
      </c>
      <c r="E63" s="105">
        <f t="shared" si="32"/>
        <v>589712351</v>
      </c>
      <c r="F63" s="105">
        <f t="shared" si="32"/>
        <v>1651590599</v>
      </c>
      <c r="G63" s="105">
        <f t="shared" si="32"/>
        <v>12490110012</v>
      </c>
      <c r="H63" s="105">
        <v>1231823929.5</v>
      </c>
      <c r="I63" s="105">
        <v>5261524763.8700008</v>
      </c>
      <c r="J63" s="105">
        <f t="shared" si="32"/>
        <v>6879617307.1300001</v>
      </c>
      <c r="K63" s="105">
        <v>861663215.35000002</v>
      </c>
      <c r="L63" s="105">
        <v>1817281028.3700001</v>
      </c>
      <c r="M63" s="105">
        <f t="shared" si="32"/>
        <v>3444243735.5</v>
      </c>
      <c r="N63" s="105">
        <v>8467786437.2099991</v>
      </c>
      <c r="O63" s="105">
        <f t="shared" si="32"/>
        <v>3012261673.3400002</v>
      </c>
      <c r="P63" s="105">
        <f t="shared" si="32"/>
        <v>3867355633.79</v>
      </c>
      <c r="Q63" s="105">
        <f t="shared" si="32"/>
        <v>1817281028.3699999</v>
      </c>
      <c r="S63" s="101">
        <v>212</v>
      </c>
      <c r="T63" s="116" t="s">
        <v>21</v>
      </c>
      <c r="U63" s="102">
        <v>8555827773</v>
      </c>
      <c r="V63" s="102">
        <v>2872403991</v>
      </c>
      <c r="W63" s="102">
        <v>589712351</v>
      </c>
      <c r="X63" s="102">
        <v>1651590599</v>
      </c>
      <c r="Y63" s="102">
        <v>12490110012</v>
      </c>
      <c r="Z63" s="102">
        <v>671478846</v>
      </c>
      <c r="AA63" s="102">
        <v>5515951</v>
      </c>
      <c r="AB63" s="119">
        <v>1231823929.5</v>
      </c>
      <c r="AC63" s="102">
        <v>1226307978.5</v>
      </c>
      <c r="AD63" s="102">
        <v>5933003609.8700008</v>
      </c>
      <c r="AE63" s="119">
        <v>5261524763.8700008</v>
      </c>
      <c r="AF63" s="102">
        <v>7228585248.1299992</v>
      </c>
      <c r="AG63" s="102">
        <v>297553177</v>
      </c>
      <c r="AH63" s="119">
        <v>861663215.35000002</v>
      </c>
      <c r="AI63" s="119">
        <v>1817281028.3700001</v>
      </c>
      <c r="AJ63" s="100">
        <v>3741796912.500001</v>
      </c>
      <c r="AK63" s="100">
        <v>277761779</v>
      </c>
      <c r="AL63" s="100">
        <v>1783016535.3900001</v>
      </c>
      <c r="AM63" s="100">
        <v>8745548216.2099991</v>
      </c>
      <c r="AN63" s="122">
        <v>8467786437.2099991</v>
      </c>
      <c r="AO63" s="100">
        <v>3206261673.3399982</v>
      </c>
      <c r="AP63" s="102">
        <v>4022323574.7900009</v>
      </c>
      <c r="AQ63" s="100">
        <v>0</v>
      </c>
      <c r="AS63" s="118">
        <f t="shared" si="0"/>
        <v>0</v>
      </c>
    </row>
    <row r="64" spans="1:48" s="100" customFormat="1" x14ac:dyDescent="0.25">
      <c r="A64" s="103">
        <v>2121</v>
      </c>
      <c r="B64" s="104" t="s">
        <v>22</v>
      </c>
      <c r="C64" s="105">
        <f>+C65+C106</f>
        <v>351990348</v>
      </c>
      <c r="D64" s="105">
        <f t="shared" ref="D64:Q64" si="33">+D65+D106</f>
        <v>744690000</v>
      </c>
      <c r="E64" s="105">
        <f t="shared" si="33"/>
        <v>20000000</v>
      </c>
      <c r="F64" s="105">
        <f t="shared" si="33"/>
        <v>521122658</v>
      </c>
      <c r="G64" s="105">
        <f t="shared" si="33"/>
        <v>1597803006</v>
      </c>
      <c r="H64" s="105">
        <v>96114088</v>
      </c>
      <c r="I64" s="105">
        <v>596114186</v>
      </c>
      <c r="J64" s="105">
        <f t="shared" si="33"/>
        <v>1001688820</v>
      </c>
      <c r="K64" s="105">
        <v>169854914</v>
      </c>
      <c r="L64" s="105">
        <v>321458990</v>
      </c>
      <c r="M64" s="105">
        <f t="shared" si="33"/>
        <v>274655196</v>
      </c>
      <c r="N64" s="105">
        <v>784185124</v>
      </c>
      <c r="O64" s="105">
        <f t="shared" si="33"/>
        <v>188070938</v>
      </c>
      <c r="P64" s="105">
        <f t="shared" si="33"/>
        <v>813617882</v>
      </c>
      <c r="Q64" s="105">
        <f t="shared" si="33"/>
        <v>321458990</v>
      </c>
      <c r="S64" s="101">
        <v>2121</v>
      </c>
      <c r="T64" s="116" t="s">
        <v>22</v>
      </c>
      <c r="U64" s="102">
        <v>351990348</v>
      </c>
      <c r="V64" s="102">
        <v>744690000</v>
      </c>
      <c r="W64" s="102">
        <v>20000000</v>
      </c>
      <c r="X64" s="102">
        <v>521122658</v>
      </c>
      <c r="Y64" s="102">
        <v>1597803006</v>
      </c>
      <c r="Z64" s="102">
        <v>0</v>
      </c>
      <c r="AA64" s="102">
        <v>0</v>
      </c>
      <c r="AB64" s="119">
        <v>96114088</v>
      </c>
      <c r="AC64" s="102">
        <v>96114088</v>
      </c>
      <c r="AD64" s="102">
        <v>596114186</v>
      </c>
      <c r="AE64" s="119">
        <v>596114186</v>
      </c>
      <c r="AF64" s="102">
        <v>1001688820</v>
      </c>
      <c r="AG64" s="102">
        <v>0</v>
      </c>
      <c r="AH64" s="119">
        <v>169854914</v>
      </c>
      <c r="AI64" s="119">
        <v>321458990</v>
      </c>
      <c r="AJ64" s="100">
        <v>274655196</v>
      </c>
      <c r="AK64" s="100">
        <v>20000000</v>
      </c>
      <c r="AL64" s="100">
        <v>133844819</v>
      </c>
      <c r="AM64" s="100">
        <v>804185124</v>
      </c>
      <c r="AN64" s="122">
        <v>784185124</v>
      </c>
      <c r="AO64" s="100">
        <v>188070938</v>
      </c>
      <c r="AP64" s="102">
        <v>813617882</v>
      </c>
      <c r="AQ64" s="100">
        <v>0</v>
      </c>
      <c r="AS64" s="118">
        <f t="shared" si="0"/>
        <v>0</v>
      </c>
    </row>
    <row r="65" spans="1:45" s="100" customFormat="1" x14ac:dyDescent="0.25">
      <c r="A65" s="106">
        <v>21211</v>
      </c>
      <c r="B65" s="107" t="s">
        <v>23</v>
      </c>
      <c r="C65" s="108">
        <f>+C66+C70+C95</f>
        <v>331990348</v>
      </c>
      <c r="D65" s="108">
        <f t="shared" ref="D65:Q65" si="34">+D66+D70+D95</f>
        <v>744690000</v>
      </c>
      <c r="E65" s="108">
        <f t="shared" si="34"/>
        <v>0</v>
      </c>
      <c r="F65" s="108">
        <f t="shared" si="34"/>
        <v>521122658</v>
      </c>
      <c r="G65" s="108">
        <f t="shared" si="34"/>
        <v>1597803006</v>
      </c>
      <c r="H65" s="108">
        <v>96114088</v>
      </c>
      <c r="I65" s="108">
        <v>596114186</v>
      </c>
      <c r="J65" s="108">
        <f t="shared" si="34"/>
        <v>1001688820</v>
      </c>
      <c r="K65" s="108">
        <v>169854914</v>
      </c>
      <c r="L65" s="108">
        <v>321458990</v>
      </c>
      <c r="M65" s="108">
        <f t="shared" si="34"/>
        <v>274655196</v>
      </c>
      <c r="N65" s="108">
        <v>784185124</v>
      </c>
      <c r="O65" s="108">
        <f t="shared" si="34"/>
        <v>188070938</v>
      </c>
      <c r="P65" s="108">
        <f t="shared" si="34"/>
        <v>813617882</v>
      </c>
      <c r="Q65" s="108">
        <f t="shared" si="34"/>
        <v>321458990</v>
      </c>
      <c r="S65" s="101">
        <v>21211</v>
      </c>
      <c r="T65" s="116" t="s">
        <v>23</v>
      </c>
      <c r="U65" s="102">
        <v>331990348</v>
      </c>
      <c r="V65" s="102">
        <v>744690000</v>
      </c>
      <c r="W65" s="102">
        <v>0</v>
      </c>
      <c r="X65" s="102">
        <v>521122658</v>
      </c>
      <c r="Y65" s="102">
        <v>1597803006</v>
      </c>
      <c r="Z65" s="102">
        <v>0</v>
      </c>
      <c r="AA65" s="102">
        <v>0</v>
      </c>
      <c r="AB65" s="119">
        <v>96114088</v>
      </c>
      <c r="AC65" s="102">
        <v>96114088</v>
      </c>
      <c r="AD65" s="102">
        <v>596114186</v>
      </c>
      <c r="AE65" s="119">
        <v>596114186</v>
      </c>
      <c r="AF65" s="102">
        <v>1001688820</v>
      </c>
      <c r="AG65" s="102">
        <v>0</v>
      </c>
      <c r="AH65" s="119">
        <v>169854914</v>
      </c>
      <c r="AI65" s="119">
        <v>321458990</v>
      </c>
      <c r="AJ65" s="100">
        <v>274655196</v>
      </c>
      <c r="AK65" s="100">
        <v>0</v>
      </c>
      <c r="AL65" s="100">
        <v>133844819</v>
      </c>
      <c r="AM65" s="100">
        <v>784185124</v>
      </c>
      <c r="AN65" s="122">
        <v>784185124</v>
      </c>
      <c r="AO65" s="100">
        <v>188070938</v>
      </c>
      <c r="AP65" s="102">
        <v>813617882</v>
      </c>
      <c r="AQ65" s="100">
        <v>0</v>
      </c>
      <c r="AS65" s="118">
        <f t="shared" si="0"/>
        <v>0</v>
      </c>
    </row>
    <row r="66" spans="1:45" s="100" customFormat="1" x14ac:dyDescent="0.25">
      <c r="A66" s="106">
        <v>212111</v>
      </c>
      <c r="B66" s="107" t="s">
        <v>24</v>
      </c>
      <c r="C66" s="108">
        <f>+C67</f>
        <v>10000000</v>
      </c>
      <c r="D66" s="108">
        <f t="shared" ref="D66:Q66" si="35">+D67</f>
        <v>0</v>
      </c>
      <c r="E66" s="108">
        <f t="shared" si="35"/>
        <v>0</v>
      </c>
      <c r="F66" s="108">
        <f t="shared" si="35"/>
        <v>0</v>
      </c>
      <c r="G66" s="108">
        <f t="shared" si="35"/>
        <v>10000000</v>
      </c>
      <c r="H66" s="108">
        <v>0</v>
      </c>
      <c r="I66" s="108">
        <v>0</v>
      </c>
      <c r="J66" s="108">
        <f t="shared" si="35"/>
        <v>10000000</v>
      </c>
      <c r="K66" s="108">
        <v>0</v>
      </c>
      <c r="L66" s="108">
        <v>0</v>
      </c>
      <c r="M66" s="108">
        <f t="shared" si="35"/>
        <v>0</v>
      </c>
      <c r="N66" s="108">
        <v>0</v>
      </c>
      <c r="O66" s="108">
        <f t="shared" si="35"/>
        <v>0</v>
      </c>
      <c r="P66" s="108">
        <f t="shared" si="35"/>
        <v>10000000</v>
      </c>
      <c r="Q66" s="108">
        <f t="shared" si="35"/>
        <v>0</v>
      </c>
      <c r="S66" s="101">
        <v>212111</v>
      </c>
      <c r="T66" s="116" t="s">
        <v>24</v>
      </c>
      <c r="U66" s="102">
        <v>10000000</v>
      </c>
      <c r="V66" s="102">
        <v>0</v>
      </c>
      <c r="W66" s="102">
        <v>0</v>
      </c>
      <c r="X66" s="102">
        <v>0</v>
      </c>
      <c r="Y66" s="102">
        <v>10000000</v>
      </c>
      <c r="Z66" s="102">
        <v>0</v>
      </c>
      <c r="AA66" s="102">
        <v>0</v>
      </c>
      <c r="AB66" s="119">
        <v>0</v>
      </c>
      <c r="AC66" s="102">
        <v>0</v>
      </c>
      <c r="AD66" s="102">
        <v>0</v>
      </c>
      <c r="AE66" s="119">
        <v>0</v>
      </c>
      <c r="AF66" s="102">
        <v>10000000</v>
      </c>
      <c r="AG66" s="102">
        <v>0</v>
      </c>
      <c r="AH66" s="119">
        <v>0</v>
      </c>
      <c r="AI66" s="119">
        <v>0</v>
      </c>
      <c r="AJ66" s="100">
        <v>0</v>
      </c>
      <c r="AK66" s="100">
        <v>0</v>
      </c>
      <c r="AL66" s="100">
        <v>0</v>
      </c>
      <c r="AM66" s="100">
        <v>0</v>
      </c>
      <c r="AN66" s="122">
        <v>0</v>
      </c>
      <c r="AO66" s="100">
        <v>0</v>
      </c>
      <c r="AP66" s="102">
        <v>10000000</v>
      </c>
      <c r="AQ66" s="100">
        <v>0</v>
      </c>
      <c r="AS66" s="118">
        <f t="shared" si="0"/>
        <v>0</v>
      </c>
    </row>
    <row r="67" spans="1:45" s="100" customFormat="1" x14ac:dyDescent="0.25">
      <c r="A67" s="109">
        <v>2121113</v>
      </c>
      <c r="B67" s="110" t="s">
        <v>25</v>
      </c>
      <c r="C67" s="111">
        <f>+C68+C69</f>
        <v>10000000</v>
      </c>
      <c r="D67" s="111">
        <f t="shared" ref="D67:Q67" si="36">+D68+D69</f>
        <v>0</v>
      </c>
      <c r="E67" s="111">
        <f t="shared" si="36"/>
        <v>0</v>
      </c>
      <c r="F67" s="111">
        <f t="shared" si="36"/>
        <v>0</v>
      </c>
      <c r="G67" s="111">
        <f t="shared" si="36"/>
        <v>10000000</v>
      </c>
      <c r="H67" s="111">
        <v>0</v>
      </c>
      <c r="I67" s="111">
        <v>0</v>
      </c>
      <c r="J67" s="111">
        <f t="shared" si="36"/>
        <v>10000000</v>
      </c>
      <c r="K67" s="111">
        <v>0</v>
      </c>
      <c r="L67" s="111">
        <v>0</v>
      </c>
      <c r="M67" s="111">
        <f t="shared" si="36"/>
        <v>0</v>
      </c>
      <c r="N67" s="111">
        <v>0</v>
      </c>
      <c r="O67" s="111">
        <f t="shared" si="36"/>
        <v>0</v>
      </c>
      <c r="P67" s="111">
        <f t="shared" si="36"/>
        <v>10000000</v>
      </c>
      <c r="Q67" s="111">
        <f t="shared" si="36"/>
        <v>0</v>
      </c>
      <c r="S67" s="101">
        <v>2121113</v>
      </c>
      <c r="T67" s="116" t="s">
        <v>25</v>
      </c>
      <c r="U67" s="102">
        <v>10000000</v>
      </c>
      <c r="V67" s="102">
        <v>0</v>
      </c>
      <c r="W67" s="102">
        <v>0</v>
      </c>
      <c r="X67" s="102">
        <v>0</v>
      </c>
      <c r="Y67" s="102">
        <v>10000000</v>
      </c>
      <c r="Z67" s="102">
        <v>0</v>
      </c>
      <c r="AA67" s="102">
        <v>0</v>
      </c>
      <c r="AB67" s="119">
        <v>0</v>
      </c>
      <c r="AC67" s="102">
        <v>0</v>
      </c>
      <c r="AD67" s="102">
        <v>0</v>
      </c>
      <c r="AE67" s="119">
        <v>0</v>
      </c>
      <c r="AF67" s="102">
        <v>10000000</v>
      </c>
      <c r="AG67" s="102">
        <v>0</v>
      </c>
      <c r="AH67" s="119">
        <v>0</v>
      </c>
      <c r="AI67" s="119">
        <v>0</v>
      </c>
      <c r="AJ67" s="100">
        <v>0</v>
      </c>
      <c r="AK67" s="100">
        <v>0</v>
      </c>
      <c r="AL67" s="100">
        <v>0</v>
      </c>
      <c r="AM67" s="100">
        <v>0</v>
      </c>
      <c r="AN67" s="122">
        <v>0</v>
      </c>
      <c r="AO67" s="100">
        <v>0</v>
      </c>
      <c r="AP67" s="102">
        <v>10000000</v>
      </c>
      <c r="AQ67" s="100">
        <v>0</v>
      </c>
      <c r="AS67" s="118">
        <f t="shared" si="0"/>
        <v>0</v>
      </c>
    </row>
    <row r="68" spans="1:45" ht="30" x14ac:dyDescent="0.25">
      <c r="A68" s="88">
        <v>212111313</v>
      </c>
      <c r="B68" s="86" t="s">
        <v>535</v>
      </c>
      <c r="C68" s="91">
        <v>5000000</v>
      </c>
      <c r="D68" s="91">
        <v>0</v>
      </c>
      <c r="E68" s="91">
        <v>0</v>
      </c>
      <c r="F68" s="91">
        <v>0</v>
      </c>
      <c r="G68" s="91">
        <f t="shared" si="12"/>
        <v>5000000</v>
      </c>
      <c r="H68" s="91">
        <v>0</v>
      </c>
      <c r="I68" s="91">
        <v>0</v>
      </c>
      <c r="J68" s="91">
        <f t="shared" si="5"/>
        <v>5000000</v>
      </c>
      <c r="K68" s="91">
        <v>0</v>
      </c>
      <c r="L68" s="91">
        <v>0</v>
      </c>
      <c r="M68" s="91">
        <f t="shared" si="6"/>
        <v>0</v>
      </c>
      <c r="N68" s="91">
        <v>0</v>
      </c>
      <c r="O68" s="91">
        <f t="shared" si="7"/>
        <v>0</v>
      </c>
      <c r="P68" s="91">
        <f t="shared" si="8"/>
        <v>5000000</v>
      </c>
      <c r="Q68" s="91">
        <f t="shared" si="9"/>
        <v>0</v>
      </c>
      <c r="S68" s="96">
        <v>212111313</v>
      </c>
      <c r="T68" s="117" t="s">
        <v>695</v>
      </c>
      <c r="U68" s="95">
        <v>5000000</v>
      </c>
      <c r="V68" s="95">
        <v>0</v>
      </c>
      <c r="W68" s="95">
        <v>0</v>
      </c>
      <c r="X68" s="95">
        <v>0</v>
      </c>
      <c r="Y68" s="95">
        <v>5000000</v>
      </c>
      <c r="Z68" s="95">
        <v>0</v>
      </c>
      <c r="AA68" s="95">
        <v>0</v>
      </c>
      <c r="AB68" s="120">
        <v>0</v>
      </c>
      <c r="AC68" s="95">
        <v>0</v>
      </c>
      <c r="AD68" s="95">
        <v>0</v>
      </c>
      <c r="AE68" s="120">
        <v>0</v>
      </c>
      <c r="AF68" s="95">
        <v>5000000</v>
      </c>
      <c r="AG68" s="95">
        <v>0</v>
      </c>
      <c r="AH68" s="120">
        <v>0</v>
      </c>
      <c r="AI68" s="120">
        <v>0</v>
      </c>
      <c r="AJ68" s="84">
        <v>0</v>
      </c>
      <c r="AK68" s="84">
        <v>0</v>
      </c>
      <c r="AL68" s="84">
        <v>0</v>
      </c>
      <c r="AM68" s="84">
        <v>0</v>
      </c>
      <c r="AN68" s="121">
        <v>0</v>
      </c>
      <c r="AO68" s="84">
        <v>0</v>
      </c>
      <c r="AP68" s="95">
        <v>5000000</v>
      </c>
      <c r="AQ68" s="84">
        <v>0</v>
      </c>
      <c r="AS68" s="118">
        <f t="shared" si="0"/>
        <v>0</v>
      </c>
    </row>
    <row r="69" spans="1:45" x14ac:dyDescent="0.25">
      <c r="A69" s="88">
        <v>212111314</v>
      </c>
      <c r="B69" s="86" t="s">
        <v>536</v>
      </c>
      <c r="C69" s="91">
        <v>5000000</v>
      </c>
      <c r="D69" s="91">
        <v>0</v>
      </c>
      <c r="E69" s="91">
        <v>0</v>
      </c>
      <c r="F69" s="91">
        <v>0</v>
      </c>
      <c r="G69" s="91">
        <f t="shared" si="12"/>
        <v>5000000</v>
      </c>
      <c r="H69" s="91">
        <v>0</v>
      </c>
      <c r="I69" s="91">
        <v>0</v>
      </c>
      <c r="J69" s="91">
        <f t="shared" si="5"/>
        <v>5000000</v>
      </c>
      <c r="K69" s="91">
        <v>0</v>
      </c>
      <c r="L69" s="91">
        <v>0</v>
      </c>
      <c r="M69" s="91">
        <f t="shared" si="6"/>
        <v>0</v>
      </c>
      <c r="N69" s="91">
        <v>0</v>
      </c>
      <c r="O69" s="91">
        <f t="shared" si="7"/>
        <v>0</v>
      </c>
      <c r="P69" s="91">
        <f t="shared" si="8"/>
        <v>5000000</v>
      </c>
      <c r="Q69" s="91">
        <f t="shared" si="9"/>
        <v>0</v>
      </c>
      <c r="S69" s="96">
        <v>212111314</v>
      </c>
      <c r="T69" s="117" t="s">
        <v>696</v>
      </c>
      <c r="U69" s="95">
        <v>5000000</v>
      </c>
      <c r="V69" s="95">
        <v>0</v>
      </c>
      <c r="W69" s="95">
        <v>0</v>
      </c>
      <c r="X69" s="95">
        <v>0</v>
      </c>
      <c r="Y69" s="95">
        <v>5000000</v>
      </c>
      <c r="Z69" s="95">
        <v>0</v>
      </c>
      <c r="AA69" s="95">
        <v>0</v>
      </c>
      <c r="AB69" s="120">
        <v>0</v>
      </c>
      <c r="AC69" s="95">
        <v>0</v>
      </c>
      <c r="AD69" s="95">
        <v>0</v>
      </c>
      <c r="AE69" s="120">
        <v>0</v>
      </c>
      <c r="AF69" s="95">
        <v>5000000</v>
      </c>
      <c r="AG69" s="95">
        <v>0</v>
      </c>
      <c r="AH69" s="120">
        <v>0</v>
      </c>
      <c r="AI69" s="120">
        <v>0</v>
      </c>
      <c r="AJ69" s="84">
        <v>0</v>
      </c>
      <c r="AK69" s="84">
        <v>0</v>
      </c>
      <c r="AL69" s="84">
        <v>0</v>
      </c>
      <c r="AM69" s="84">
        <v>0</v>
      </c>
      <c r="AN69" s="121">
        <v>0</v>
      </c>
      <c r="AO69" s="84">
        <v>0</v>
      </c>
      <c r="AP69" s="95">
        <v>5000000</v>
      </c>
      <c r="AQ69" s="84">
        <v>0</v>
      </c>
      <c r="AS69" s="118">
        <f t="shared" si="0"/>
        <v>0</v>
      </c>
    </row>
    <row r="70" spans="1:45" s="100" customFormat="1" x14ac:dyDescent="0.25">
      <c r="A70" s="106">
        <v>212113</v>
      </c>
      <c r="B70" s="107" t="s">
        <v>26</v>
      </c>
      <c r="C70" s="108">
        <f>+C71</f>
        <v>243800000</v>
      </c>
      <c r="D70" s="108">
        <v>309000000</v>
      </c>
      <c r="E70" s="108">
        <v>0</v>
      </c>
      <c r="F70" s="108">
        <v>496122658</v>
      </c>
      <c r="G70" s="108">
        <f t="shared" si="12"/>
        <v>1048922658</v>
      </c>
      <c r="H70" s="108">
        <v>85127588</v>
      </c>
      <c r="I70" s="108">
        <v>276168813</v>
      </c>
      <c r="J70" s="108">
        <f t="shared" si="5"/>
        <v>772753845</v>
      </c>
      <c r="K70" s="108">
        <v>14639168</v>
      </c>
      <c r="L70" s="108">
        <v>166243244</v>
      </c>
      <c r="M70" s="108">
        <f t="shared" si="6"/>
        <v>109925569</v>
      </c>
      <c r="N70" s="108">
        <v>358187924</v>
      </c>
      <c r="O70" s="108">
        <f t="shared" si="7"/>
        <v>82019111</v>
      </c>
      <c r="P70" s="108">
        <f t="shared" si="8"/>
        <v>690734734</v>
      </c>
      <c r="Q70" s="108">
        <f t="shared" si="9"/>
        <v>166243244</v>
      </c>
      <c r="S70" s="101">
        <v>212113</v>
      </c>
      <c r="T70" s="116" t="s">
        <v>26</v>
      </c>
      <c r="U70" s="102">
        <v>243800000</v>
      </c>
      <c r="V70" s="102">
        <v>309000000</v>
      </c>
      <c r="W70" s="102">
        <v>0</v>
      </c>
      <c r="X70" s="102">
        <v>496122658</v>
      </c>
      <c r="Y70" s="102">
        <v>1048922658</v>
      </c>
      <c r="Z70" s="102">
        <v>0</v>
      </c>
      <c r="AA70" s="102">
        <v>0</v>
      </c>
      <c r="AB70" s="119">
        <v>85127588</v>
      </c>
      <c r="AC70" s="102">
        <v>85127588</v>
      </c>
      <c r="AD70" s="102">
        <v>276168813</v>
      </c>
      <c r="AE70" s="119">
        <v>276168813</v>
      </c>
      <c r="AF70" s="102">
        <v>772753845</v>
      </c>
      <c r="AG70" s="102">
        <v>0</v>
      </c>
      <c r="AH70" s="119">
        <v>14639168</v>
      </c>
      <c r="AI70" s="119">
        <v>166243244</v>
      </c>
      <c r="AJ70" s="100">
        <v>109925569</v>
      </c>
      <c r="AK70" s="100">
        <v>0</v>
      </c>
      <c r="AL70" s="100">
        <v>122537619</v>
      </c>
      <c r="AM70" s="100">
        <v>358187924</v>
      </c>
      <c r="AN70" s="122">
        <v>358187924</v>
      </c>
      <c r="AO70" s="100">
        <v>82019111</v>
      </c>
      <c r="AP70" s="102">
        <v>690734734</v>
      </c>
      <c r="AQ70" s="100">
        <v>0</v>
      </c>
      <c r="AS70" s="118">
        <f t="shared" si="0"/>
        <v>0</v>
      </c>
    </row>
    <row r="71" spans="1:45" s="100" customFormat="1" x14ac:dyDescent="0.25">
      <c r="A71" s="106">
        <v>2121131</v>
      </c>
      <c r="B71" s="107" t="s">
        <v>27</v>
      </c>
      <c r="C71" s="108">
        <f>+C72+C74+C78+C81+C87+C91+C93</f>
        <v>243800000</v>
      </c>
      <c r="D71" s="108">
        <v>309000000</v>
      </c>
      <c r="E71" s="108">
        <v>0</v>
      </c>
      <c r="F71" s="108">
        <v>496122658</v>
      </c>
      <c r="G71" s="108">
        <f t="shared" si="12"/>
        <v>1048922658</v>
      </c>
      <c r="H71" s="108">
        <v>85127588</v>
      </c>
      <c r="I71" s="108">
        <v>276168813</v>
      </c>
      <c r="J71" s="108">
        <f t="shared" ref="J71:J135" si="37">+G71-I71</f>
        <v>772753845</v>
      </c>
      <c r="K71" s="108">
        <v>14639168</v>
      </c>
      <c r="L71" s="108">
        <v>166243244</v>
      </c>
      <c r="M71" s="108">
        <f t="shared" ref="M71:M135" si="38">+I71-L71</f>
        <v>109925569</v>
      </c>
      <c r="N71" s="108">
        <v>358187924</v>
      </c>
      <c r="O71" s="108">
        <f t="shared" ref="O71:O135" si="39">+N71-I71</f>
        <v>82019111</v>
      </c>
      <c r="P71" s="108">
        <f t="shared" ref="P71:P135" si="40">+G71-N71</f>
        <v>690734734</v>
      </c>
      <c r="Q71" s="108">
        <f t="shared" ref="Q71:Q135" si="41">+L71</f>
        <v>166243244</v>
      </c>
      <c r="S71" s="101">
        <v>2121131</v>
      </c>
      <c r="T71" s="116" t="s">
        <v>27</v>
      </c>
      <c r="U71" s="102">
        <v>243800000</v>
      </c>
      <c r="V71" s="102">
        <v>309000000</v>
      </c>
      <c r="W71" s="102">
        <v>0</v>
      </c>
      <c r="X71" s="102">
        <v>496122658</v>
      </c>
      <c r="Y71" s="102">
        <v>1048922658</v>
      </c>
      <c r="Z71" s="102">
        <v>0</v>
      </c>
      <c r="AA71" s="102">
        <v>0</v>
      </c>
      <c r="AB71" s="119">
        <v>85127588</v>
      </c>
      <c r="AC71" s="102">
        <v>85127588</v>
      </c>
      <c r="AD71" s="102">
        <v>276168813</v>
      </c>
      <c r="AE71" s="119">
        <v>276168813</v>
      </c>
      <c r="AF71" s="102">
        <v>772753845</v>
      </c>
      <c r="AG71" s="102">
        <v>0</v>
      </c>
      <c r="AH71" s="119">
        <v>14639168</v>
      </c>
      <c r="AI71" s="119">
        <v>166243244</v>
      </c>
      <c r="AJ71" s="100">
        <v>109925569</v>
      </c>
      <c r="AK71" s="100">
        <v>0</v>
      </c>
      <c r="AL71" s="100">
        <v>122537619</v>
      </c>
      <c r="AM71" s="100">
        <v>358187924</v>
      </c>
      <c r="AN71" s="122">
        <v>358187924</v>
      </c>
      <c r="AO71" s="100">
        <v>82019111</v>
      </c>
      <c r="AP71" s="102">
        <v>690734734</v>
      </c>
      <c r="AQ71" s="100">
        <v>0</v>
      </c>
      <c r="AS71" s="118">
        <f t="shared" ref="AS71:AS134" si="42">+E71-W71</f>
        <v>0</v>
      </c>
    </row>
    <row r="72" spans="1:45" s="100" customFormat="1" x14ac:dyDescent="0.25">
      <c r="A72" s="109">
        <v>21211311</v>
      </c>
      <c r="B72" s="110" t="s">
        <v>28</v>
      </c>
      <c r="C72" s="111">
        <f>+C73</f>
        <v>20000000</v>
      </c>
      <c r="D72" s="111">
        <v>10000000</v>
      </c>
      <c r="E72" s="111">
        <v>0</v>
      </c>
      <c r="F72" s="111">
        <v>0</v>
      </c>
      <c r="G72" s="111">
        <f t="shared" si="12"/>
        <v>30000000</v>
      </c>
      <c r="H72" s="111">
        <v>293600</v>
      </c>
      <c r="I72" s="111">
        <v>4868200</v>
      </c>
      <c r="J72" s="111">
        <f t="shared" si="37"/>
        <v>25131800</v>
      </c>
      <c r="K72" s="111">
        <v>1394600</v>
      </c>
      <c r="L72" s="111">
        <v>4769200</v>
      </c>
      <c r="M72" s="111">
        <f t="shared" si="38"/>
        <v>99000</v>
      </c>
      <c r="N72" s="111">
        <v>9165079</v>
      </c>
      <c r="O72" s="111">
        <f t="shared" si="39"/>
        <v>4296879</v>
      </c>
      <c r="P72" s="111">
        <f t="shared" si="40"/>
        <v>20834921</v>
      </c>
      <c r="Q72" s="111">
        <f t="shared" si="41"/>
        <v>4769200</v>
      </c>
      <c r="S72" s="101">
        <v>21211311</v>
      </c>
      <c r="T72" s="116" t="s">
        <v>28</v>
      </c>
      <c r="U72" s="102">
        <v>20000000</v>
      </c>
      <c r="V72" s="102">
        <v>10000000</v>
      </c>
      <c r="W72" s="102">
        <v>0</v>
      </c>
      <c r="X72" s="102">
        <v>0</v>
      </c>
      <c r="Y72" s="102">
        <v>30000000</v>
      </c>
      <c r="Z72" s="102">
        <v>0</v>
      </c>
      <c r="AA72" s="102">
        <v>0</v>
      </c>
      <c r="AB72" s="119">
        <v>293600</v>
      </c>
      <c r="AC72" s="102">
        <v>293600</v>
      </c>
      <c r="AD72" s="102">
        <v>4868200</v>
      </c>
      <c r="AE72" s="119">
        <v>4868200</v>
      </c>
      <c r="AF72" s="102">
        <v>25131800</v>
      </c>
      <c r="AG72" s="102">
        <v>0</v>
      </c>
      <c r="AH72" s="119">
        <v>1394600</v>
      </c>
      <c r="AI72" s="119">
        <v>4769200</v>
      </c>
      <c r="AJ72" s="100">
        <v>99000</v>
      </c>
      <c r="AK72" s="100">
        <v>0</v>
      </c>
      <c r="AL72" s="100">
        <v>293600</v>
      </c>
      <c r="AM72" s="100">
        <v>9165079</v>
      </c>
      <c r="AN72" s="122">
        <v>9165079</v>
      </c>
      <c r="AO72" s="100">
        <v>4296879</v>
      </c>
      <c r="AP72" s="102">
        <v>20834921</v>
      </c>
      <c r="AQ72" s="100">
        <v>0</v>
      </c>
      <c r="AS72" s="118">
        <f t="shared" si="42"/>
        <v>0</v>
      </c>
    </row>
    <row r="73" spans="1:45" x14ac:dyDescent="0.25">
      <c r="A73" s="88">
        <v>212113116</v>
      </c>
      <c r="B73" s="86" t="s">
        <v>537</v>
      </c>
      <c r="C73" s="91">
        <v>20000000</v>
      </c>
      <c r="D73" s="91">
        <v>10000000</v>
      </c>
      <c r="E73" s="91">
        <v>0</v>
      </c>
      <c r="F73" s="91">
        <v>0</v>
      </c>
      <c r="G73" s="91">
        <f t="shared" si="12"/>
        <v>30000000</v>
      </c>
      <c r="H73" s="91">
        <v>293600</v>
      </c>
      <c r="I73" s="91">
        <v>4868200</v>
      </c>
      <c r="J73" s="91">
        <f t="shared" si="37"/>
        <v>25131800</v>
      </c>
      <c r="K73" s="91">
        <v>1394600</v>
      </c>
      <c r="L73" s="91">
        <v>4769200</v>
      </c>
      <c r="M73" s="91">
        <f t="shared" si="38"/>
        <v>99000</v>
      </c>
      <c r="N73" s="91">
        <v>9165079</v>
      </c>
      <c r="O73" s="91">
        <f t="shared" si="39"/>
        <v>4296879</v>
      </c>
      <c r="P73" s="91">
        <f t="shared" si="40"/>
        <v>20834921</v>
      </c>
      <c r="Q73" s="91">
        <f t="shared" si="41"/>
        <v>4769200</v>
      </c>
      <c r="S73" s="96">
        <v>212113116</v>
      </c>
      <c r="T73" s="117" t="s">
        <v>697</v>
      </c>
      <c r="U73" s="95">
        <v>20000000</v>
      </c>
      <c r="V73" s="95">
        <v>10000000</v>
      </c>
      <c r="W73" s="95">
        <v>0</v>
      </c>
      <c r="X73" s="95">
        <v>0</v>
      </c>
      <c r="Y73" s="95">
        <v>30000000</v>
      </c>
      <c r="Z73" s="95">
        <v>0</v>
      </c>
      <c r="AA73" s="95">
        <v>0</v>
      </c>
      <c r="AB73" s="120">
        <v>293600</v>
      </c>
      <c r="AC73" s="95">
        <v>293600</v>
      </c>
      <c r="AD73" s="95">
        <v>4868200</v>
      </c>
      <c r="AE73" s="120">
        <v>4868200</v>
      </c>
      <c r="AF73" s="95">
        <v>25131800</v>
      </c>
      <c r="AG73" s="95">
        <v>0</v>
      </c>
      <c r="AH73" s="120">
        <v>1394600</v>
      </c>
      <c r="AI73" s="120">
        <v>4769200</v>
      </c>
      <c r="AJ73" s="84">
        <v>99000</v>
      </c>
      <c r="AK73" s="84">
        <v>0</v>
      </c>
      <c r="AL73" s="84">
        <v>293600</v>
      </c>
      <c r="AM73" s="84">
        <v>9165079</v>
      </c>
      <c r="AN73" s="121">
        <v>9165079</v>
      </c>
      <c r="AO73" s="84">
        <v>4296879</v>
      </c>
      <c r="AP73" s="95">
        <v>20834921</v>
      </c>
      <c r="AQ73" s="84">
        <v>0</v>
      </c>
      <c r="AS73" s="118">
        <f t="shared" si="42"/>
        <v>0</v>
      </c>
    </row>
    <row r="74" spans="1:45" s="100" customFormat="1" x14ac:dyDescent="0.25">
      <c r="A74" s="109">
        <v>21211312</v>
      </c>
      <c r="B74" s="110" t="s">
        <v>29</v>
      </c>
      <c r="C74" s="111">
        <f>+C75+C76+C77</f>
        <v>53000000</v>
      </c>
      <c r="D74" s="111">
        <v>20000000</v>
      </c>
      <c r="E74" s="111">
        <v>0</v>
      </c>
      <c r="F74" s="111">
        <v>132683041</v>
      </c>
      <c r="G74" s="111">
        <f t="shared" si="12"/>
        <v>205683041</v>
      </c>
      <c r="H74" s="111">
        <v>1810000</v>
      </c>
      <c r="I74" s="111">
        <v>9552801</v>
      </c>
      <c r="J74" s="111">
        <f t="shared" si="37"/>
        <v>196130240</v>
      </c>
      <c r="K74" s="111">
        <v>3351000</v>
      </c>
      <c r="L74" s="111">
        <v>8593801</v>
      </c>
      <c r="M74" s="111">
        <f t="shared" si="38"/>
        <v>959000</v>
      </c>
      <c r="N74" s="111">
        <v>12682201</v>
      </c>
      <c r="O74" s="111">
        <f t="shared" si="39"/>
        <v>3129400</v>
      </c>
      <c r="P74" s="111">
        <f t="shared" si="40"/>
        <v>193000840</v>
      </c>
      <c r="Q74" s="111">
        <f t="shared" si="41"/>
        <v>8593801</v>
      </c>
      <c r="S74" s="101">
        <v>21211312</v>
      </c>
      <c r="T74" s="116" t="s">
        <v>29</v>
      </c>
      <c r="U74" s="102">
        <v>53000000</v>
      </c>
      <c r="V74" s="102">
        <v>20000000</v>
      </c>
      <c r="W74" s="102">
        <v>0</v>
      </c>
      <c r="X74" s="102">
        <v>132683041</v>
      </c>
      <c r="Y74" s="102">
        <v>205683041</v>
      </c>
      <c r="Z74" s="102">
        <v>0</v>
      </c>
      <c r="AA74" s="102">
        <v>0</v>
      </c>
      <c r="AB74" s="119">
        <v>1810000</v>
      </c>
      <c r="AC74" s="102">
        <v>1810000</v>
      </c>
      <c r="AD74" s="102">
        <v>9552801</v>
      </c>
      <c r="AE74" s="119">
        <v>9552801</v>
      </c>
      <c r="AF74" s="102">
        <v>196130240</v>
      </c>
      <c r="AG74" s="102">
        <v>0</v>
      </c>
      <c r="AH74" s="119">
        <v>3351000</v>
      </c>
      <c r="AI74" s="119">
        <v>8593801</v>
      </c>
      <c r="AJ74" s="100">
        <v>959000</v>
      </c>
      <c r="AK74" s="100">
        <v>0</v>
      </c>
      <c r="AL74" s="100">
        <v>2275000</v>
      </c>
      <c r="AM74" s="100">
        <v>12682201</v>
      </c>
      <c r="AN74" s="122">
        <v>12682201</v>
      </c>
      <c r="AO74" s="100">
        <v>3129400</v>
      </c>
      <c r="AP74" s="102">
        <v>193000840</v>
      </c>
      <c r="AQ74" s="100">
        <v>0</v>
      </c>
      <c r="AS74" s="118">
        <f t="shared" si="42"/>
        <v>0</v>
      </c>
    </row>
    <row r="75" spans="1:45" x14ac:dyDescent="0.25">
      <c r="A75" s="88">
        <v>212113121</v>
      </c>
      <c r="B75" s="86" t="s">
        <v>807</v>
      </c>
      <c r="C75" s="91"/>
      <c r="D75" s="91">
        <v>29000000</v>
      </c>
      <c r="E75" s="91">
        <v>0</v>
      </c>
      <c r="F75" s="91">
        <v>0</v>
      </c>
      <c r="G75" s="91">
        <f t="shared" si="12"/>
        <v>29000000</v>
      </c>
      <c r="H75" s="91">
        <v>0</v>
      </c>
      <c r="I75" s="91">
        <v>0</v>
      </c>
      <c r="J75" s="91"/>
      <c r="K75" s="91">
        <v>0</v>
      </c>
      <c r="L75" s="91">
        <v>0</v>
      </c>
      <c r="M75" s="91"/>
      <c r="N75" s="91">
        <v>29000000</v>
      </c>
      <c r="O75" s="91"/>
      <c r="P75" s="91"/>
      <c r="Q75" s="91"/>
      <c r="S75" s="96">
        <v>212113121</v>
      </c>
      <c r="T75" s="117" t="s">
        <v>807</v>
      </c>
      <c r="U75" s="95">
        <v>0</v>
      </c>
      <c r="V75" s="95">
        <v>29000000</v>
      </c>
      <c r="W75" s="95">
        <v>0</v>
      </c>
      <c r="X75" s="95">
        <v>0</v>
      </c>
      <c r="Y75" s="95">
        <v>29000000</v>
      </c>
      <c r="Z75" s="95">
        <v>0</v>
      </c>
      <c r="AA75" s="95">
        <v>0</v>
      </c>
      <c r="AB75" s="120">
        <v>0</v>
      </c>
      <c r="AC75" s="95">
        <v>0</v>
      </c>
      <c r="AD75" s="95">
        <v>0</v>
      </c>
      <c r="AE75" s="120">
        <v>0</v>
      </c>
      <c r="AF75" s="95">
        <v>29000000</v>
      </c>
      <c r="AG75" s="95">
        <v>0</v>
      </c>
      <c r="AH75" s="120">
        <v>0</v>
      </c>
      <c r="AI75" s="120">
        <v>0</v>
      </c>
      <c r="AJ75" s="84">
        <v>0</v>
      </c>
      <c r="AK75" s="84">
        <v>0</v>
      </c>
      <c r="AL75" s="84">
        <v>29000000</v>
      </c>
      <c r="AM75" s="84">
        <v>29000000</v>
      </c>
      <c r="AN75" s="121">
        <v>29000000</v>
      </c>
      <c r="AO75" s="84">
        <v>29000000</v>
      </c>
      <c r="AP75" s="95">
        <v>0</v>
      </c>
      <c r="AQ75" s="84">
        <v>0</v>
      </c>
      <c r="AS75" s="118">
        <f t="shared" si="42"/>
        <v>0</v>
      </c>
    </row>
    <row r="76" spans="1:45" x14ac:dyDescent="0.25">
      <c r="A76" s="88">
        <v>212113122</v>
      </c>
      <c r="B76" s="86" t="s">
        <v>538</v>
      </c>
      <c r="C76" s="91">
        <v>8000000</v>
      </c>
      <c r="D76" s="91">
        <v>10000000</v>
      </c>
      <c r="E76" s="91">
        <v>0</v>
      </c>
      <c r="F76" s="91">
        <v>0</v>
      </c>
      <c r="G76" s="91">
        <f t="shared" si="12"/>
        <v>18000000</v>
      </c>
      <c r="H76" s="91">
        <v>1031000</v>
      </c>
      <c r="I76" s="91">
        <v>4748301</v>
      </c>
      <c r="J76" s="91">
        <f t="shared" si="37"/>
        <v>13251699</v>
      </c>
      <c r="K76" s="91">
        <v>1898000</v>
      </c>
      <c r="L76" s="91">
        <v>4615301</v>
      </c>
      <c r="M76" s="91">
        <f t="shared" si="38"/>
        <v>133000</v>
      </c>
      <c r="N76" s="91">
        <v>5213301</v>
      </c>
      <c r="O76" s="91">
        <f t="shared" si="39"/>
        <v>465000</v>
      </c>
      <c r="P76" s="91">
        <f t="shared" si="40"/>
        <v>12786699</v>
      </c>
      <c r="Q76" s="91">
        <f t="shared" si="41"/>
        <v>4615301</v>
      </c>
      <c r="S76" s="96">
        <v>212113122</v>
      </c>
      <c r="T76" s="117" t="s">
        <v>698</v>
      </c>
      <c r="U76" s="95">
        <v>8000000</v>
      </c>
      <c r="V76" s="95">
        <v>10000000</v>
      </c>
      <c r="W76" s="95">
        <v>0</v>
      </c>
      <c r="X76" s="95">
        <v>0</v>
      </c>
      <c r="Y76" s="95">
        <v>18000000</v>
      </c>
      <c r="Z76" s="95">
        <v>0</v>
      </c>
      <c r="AA76" s="95">
        <v>0</v>
      </c>
      <c r="AB76" s="120">
        <v>1031000</v>
      </c>
      <c r="AC76" s="95">
        <v>1031000</v>
      </c>
      <c r="AD76" s="95">
        <v>4748301</v>
      </c>
      <c r="AE76" s="120">
        <v>4748301</v>
      </c>
      <c r="AF76" s="95">
        <v>13251699</v>
      </c>
      <c r="AG76" s="95">
        <v>0</v>
      </c>
      <c r="AH76" s="120">
        <v>1898000</v>
      </c>
      <c r="AI76" s="120">
        <v>4615301</v>
      </c>
      <c r="AJ76" s="84">
        <v>133000</v>
      </c>
      <c r="AK76" s="84">
        <v>0</v>
      </c>
      <c r="AL76" s="84">
        <v>1496000</v>
      </c>
      <c r="AM76" s="84">
        <v>5213301</v>
      </c>
      <c r="AN76" s="121">
        <v>5213301</v>
      </c>
      <c r="AO76" s="84">
        <v>465000</v>
      </c>
      <c r="AP76" s="95">
        <v>12786699</v>
      </c>
      <c r="AQ76" s="84">
        <v>0</v>
      </c>
      <c r="AS76" s="118">
        <f t="shared" si="42"/>
        <v>0</v>
      </c>
    </row>
    <row r="77" spans="1:45" x14ac:dyDescent="0.25">
      <c r="A77" s="88">
        <v>212113128</v>
      </c>
      <c r="B77" s="86" t="s">
        <v>539</v>
      </c>
      <c r="C77" s="91">
        <v>45000000</v>
      </c>
      <c r="D77" s="91">
        <v>10000000</v>
      </c>
      <c r="E77" s="91">
        <v>0</v>
      </c>
      <c r="F77" s="91">
        <v>132683041</v>
      </c>
      <c r="G77" s="91">
        <f t="shared" si="12"/>
        <v>187683041</v>
      </c>
      <c r="H77" s="91">
        <v>779000</v>
      </c>
      <c r="I77" s="91">
        <v>4804500</v>
      </c>
      <c r="J77" s="91">
        <f t="shared" si="37"/>
        <v>182878541</v>
      </c>
      <c r="K77" s="91">
        <v>1453000</v>
      </c>
      <c r="L77" s="91">
        <v>3978500</v>
      </c>
      <c r="M77" s="91">
        <f t="shared" si="38"/>
        <v>826000</v>
      </c>
      <c r="N77" s="91">
        <v>7468900</v>
      </c>
      <c r="O77" s="91">
        <f t="shared" si="39"/>
        <v>2664400</v>
      </c>
      <c r="P77" s="91">
        <f t="shared" si="40"/>
        <v>180214141</v>
      </c>
      <c r="Q77" s="91">
        <f t="shared" si="41"/>
        <v>3978500</v>
      </c>
      <c r="S77" s="96">
        <v>212113128</v>
      </c>
      <c r="T77" s="117" t="s">
        <v>699</v>
      </c>
      <c r="U77" s="95">
        <v>45000000</v>
      </c>
      <c r="V77" s="95">
        <v>10000000</v>
      </c>
      <c r="W77" s="95">
        <v>0</v>
      </c>
      <c r="X77" s="95">
        <v>132683041</v>
      </c>
      <c r="Y77" s="95">
        <v>187683041</v>
      </c>
      <c r="Z77" s="95">
        <v>0</v>
      </c>
      <c r="AA77" s="95">
        <v>0</v>
      </c>
      <c r="AB77" s="120">
        <v>779000</v>
      </c>
      <c r="AC77" s="95">
        <v>779000</v>
      </c>
      <c r="AD77" s="95">
        <v>4804500</v>
      </c>
      <c r="AE77" s="120">
        <v>4804500</v>
      </c>
      <c r="AF77" s="95">
        <v>182878541</v>
      </c>
      <c r="AG77" s="95">
        <v>0</v>
      </c>
      <c r="AH77" s="120">
        <v>1453000</v>
      </c>
      <c r="AI77" s="120">
        <v>3978500</v>
      </c>
      <c r="AJ77" s="84">
        <v>826000</v>
      </c>
      <c r="AK77" s="84">
        <v>0</v>
      </c>
      <c r="AL77" s="84">
        <v>779000</v>
      </c>
      <c r="AM77" s="84">
        <v>7468900</v>
      </c>
      <c r="AN77" s="121">
        <v>7468900</v>
      </c>
      <c r="AO77" s="84">
        <v>2664400</v>
      </c>
      <c r="AP77" s="95">
        <v>180214141</v>
      </c>
      <c r="AQ77" s="84">
        <v>0</v>
      </c>
      <c r="AS77" s="118">
        <f t="shared" si="42"/>
        <v>0</v>
      </c>
    </row>
    <row r="78" spans="1:45" s="100" customFormat="1" x14ac:dyDescent="0.25">
      <c r="A78" s="109">
        <v>21211313</v>
      </c>
      <c r="B78" s="110" t="s">
        <v>30</v>
      </c>
      <c r="C78" s="111">
        <f>+C79+C80</f>
        <v>100000000</v>
      </c>
      <c r="D78" s="111">
        <v>20000000</v>
      </c>
      <c r="E78" s="111">
        <v>0</v>
      </c>
      <c r="F78" s="111">
        <v>163439617</v>
      </c>
      <c r="G78" s="111">
        <f t="shared" si="12"/>
        <v>283439617</v>
      </c>
      <c r="H78" s="111">
        <v>2223898</v>
      </c>
      <c r="I78" s="111">
        <v>33179048</v>
      </c>
      <c r="J78" s="111">
        <f t="shared" si="37"/>
        <v>250260569</v>
      </c>
      <c r="K78" s="111">
        <v>4692549</v>
      </c>
      <c r="L78" s="111">
        <v>7651549</v>
      </c>
      <c r="M78" s="111">
        <f t="shared" si="38"/>
        <v>25527499</v>
      </c>
      <c r="N78" s="111">
        <v>67175049</v>
      </c>
      <c r="O78" s="111">
        <f t="shared" si="39"/>
        <v>33996001</v>
      </c>
      <c r="P78" s="111">
        <f t="shared" si="40"/>
        <v>216264568</v>
      </c>
      <c r="Q78" s="111">
        <f t="shared" si="41"/>
        <v>7651549</v>
      </c>
      <c r="S78" s="101">
        <v>21211313</v>
      </c>
      <c r="T78" s="116" t="s">
        <v>30</v>
      </c>
      <c r="U78" s="102">
        <v>100000000</v>
      </c>
      <c r="V78" s="102">
        <v>20000000</v>
      </c>
      <c r="W78" s="102">
        <v>0</v>
      </c>
      <c r="X78" s="102">
        <v>163439617</v>
      </c>
      <c r="Y78" s="102">
        <v>283439617</v>
      </c>
      <c r="Z78" s="102">
        <v>0</v>
      </c>
      <c r="AA78" s="102">
        <v>0</v>
      </c>
      <c r="AB78" s="119">
        <v>2223898</v>
      </c>
      <c r="AC78" s="102">
        <v>2223898</v>
      </c>
      <c r="AD78" s="102">
        <v>33179048</v>
      </c>
      <c r="AE78" s="119">
        <v>33179048</v>
      </c>
      <c r="AF78" s="102">
        <v>250260569</v>
      </c>
      <c r="AG78" s="102">
        <v>0</v>
      </c>
      <c r="AH78" s="119">
        <v>4692549</v>
      </c>
      <c r="AI78" s="119">
        <v>7651549</v>
      </c>
      <c r="AJ78" s="100">
        <v>25527499</v>
      </c>
      <c r="AK78" s="100">
        <v>0</v>
      </c>
      <c r="AL78" s="100">
        <v>10569899</v>
      </c>
      <c r="AM78" s="100">
        <v>67175049</v>
      </c>
      <c r="AN78" s="122">
        <v>67175049</v>
      </c>
      <c r="AO78" s="100">
        <v>33996001</v>
      </c>
      <c r="AP78" s="102">
        <v>216264568</v>
      </c>
      <c r="AQ78" s="100">
        <v>0</v>
      </c>
      <c r="AS78" s="118">
        <f t="shared" si="42"/>
        <v>0</v>
      </c>
    </row>
    <row r="79" spans="1:45" x14ac:dyDescent="0.25">
      <c r="A79" s="88">
        <v>212113131</v>
      </c>
      <c r="B79" s="86" t="s">
        <v>540</v>
      </c>
      <c r="C79" s="91">
        <v>45000000</v>
      </c>
      <c r="D79" s="91">
        <v>10000000</v>
      </c>
      <c r="E79" s="91">
        <v>0</v>
      </c>
      <c r="F79" s="91">
        <v>57000000</v>
      </c>
      <c r="G79" s="91">
        <f t="shared" si="12"/>
        <v>112000000</v>
      </c>
      <c r="H79" s="91">
        <v>319999</v>
      </c>
      <c r="I79" s="91">
        <v>3132649</v>
      </c>
      <c r="J79" s="91">
        <f t="shared" si="37"/>
        <v>108867351</v>
      </c>
      <c r="K79" s="91">
        <v>1932649</v>
      </c>
      <c r="L79" s="91">
        <v>3132649</v>
      </c>
      <c r="M79" s="91">
        <f t="shared" si="38"/>
        <v>0</v>
      </c>
      <c r="N79" s="91">
        <v>27132649</v>
      </c>
      <c r="O79" s="91">
        <f t="shared" si="39"/>
        <v>24000000</v>
      </c>
      <c r="P79" s="91">
        <f t="shared" si="40"/>
        <v>84867351</v>
      </c>
      <c r="Q79" s="91">
        <f t="shared" si="41"/>
        <v>3132649</v>
      </c>
      <c r="S79" s="96">
        <v>212113131</v>
      </c>
      <c r="T79" s="117" t="s">
        <v>700</v>
      </c>
      <c r="U79" s="95">
        <v>45000000</v>
      </c>
      <c r="V79" s="95">
        <v>10000000</v>
      </c>
      <c r="W79" s="95">
        <v>0</v>
      </c>
      <c r="X79" s="95">
        <v>57000000</v>
      </c>
      <c r="Y79" s="95">
        <v>112000000</v>
      </c>
      <c r="Z79" s="95">
        <v>0</v>
      </c>
      <c r="AA79" s="95">
        <v>0</v>
      </c>
      <c r="AB79" s="120">
        <v>319999</v>
      </c>
      <c r="AC79" s="95">
        <v>319999</v>
      </c>
      <c r="AD79" s="95">
        <v>3132649</v>
      </c>
      <c r="AE79" s="120">
        <v>3132649</v>
      </c>
      <c r="AF79" s="95">
        <v>108867351</v>
      </c>
      <c r="AG79" s="95">
        <v>0</v>
      </c>
      <c r="AH79" s="120">
        <v>1932649</v>
      </c>
      <c r="AI79" s="120">
        <v>3132649</v>
      </c>
      <c r="AJ79" s="84">
        <v>0</v>
      </c>
      <c r="AK79" s="84">
        <v>0</v>
      </c>
      <c r="AL79" s="84">
        <v>319999</v>
      </c>
      <c r="AM79" s="84">
        <v>27132649</v>
      </c>
      <c r="AN79" s="121">
        <v>27132649</v>
      </c>
      <c r="AO79" s="84">
        <v>24000000</v>
      </c>
      <c r="AP79" s="95">
        <v>84867351</v>
      </c>
      <c r="AQ79" s="84">
        <v>0</v>
      </c>
      <c r="AS79" s="118">
        <f t="shared" si="42"/>
        <v>0</v>
      </c>
    </row>
    <row r="80" spans="1:45" x14ac:dyDescent="0.25">
      <c r="A80" s="88">
        <v>212113132</v>
      </c>
      <c r="B80" s="86" t="s">
        <v>541</v>
      </c>
      <c r="C80" s="91">
        <v>55000000</v>
      </c>
      <c r="D80" s="91">
        <v>10000000</v>
      </c>
      <c r="E80" s="91">
        <v>0</v>
      </c>
      <c r="F80" s="91">
        <v>106439617</v>
      </c>
      <c r="G80" s="91">
        <f t="shared" ref="G80:G143" si="43">+C80+D80-E80+F80</f>
        <v>171439617</v>
      </c>
      <c r="H80" s="91">
        <v>1903899</v>
      </c>
      <c r="I80" s="91">
        <v>30046399</v>
      </c>
      <c r="J80" s="91">
        <f t="shared" si="37"/>
        <v>141393218</v>
      </c>
      <c r="K80" s="91">
        <v>2759900</v>
      </c>
      <c r="L80" s="91">
        <v>4518900</v>
      </c>
      <c r="M80" s="91">
        <f t="shared" si="38"/>
        <v>25527499</v>
      </c>
      <c r="N80" s="91">
        <v>40042400</v>
      </c>
      <c r="O80" s="91">
        <f t="shared" si="39"/>
        <v>9996001</v>
      </c>
      <c r="P80" s="91">
        <f t="shared" si="40"/>
        <v>131397217</v>
      </c>
      <c r="Q80" s="91">
        <f t="shared" si="41"/>
        <v>4518900</v>
      </c>
      <c r="S80" s="96">
        <v>212113132</v>
      </c>
      <c r="T80" s="117" t="s">
        <v>701</v>
      </c>
      <c r="U80" s="95">
        <v>55000000</v>
      </c>
      <c r="V80" s="95">
        <v>10000000</v>
      </c>
      <c r="W80" s="95">
        <v>0</v>
      </c>
      <c r="X80" s="95">
        <v>106439617</v>
      </c>
      <c r="Y80" s="95">
        <v>171439617</v>
      </c>
      <c r="Z80" s="95">
        <v>0</v>
      </c>
      <c r="AA80" s="95">
        <v>0</v>
      </c>
      <c r="AB80" s="120">
        <v>1903899</v>
      </c>
      <c r="AC80" s="95">
        <v>1903899</v>
      </c>
      <c r="AD80" s="95">
        <v>30046399</v>
      </c>
      <c r="AE80" s="120">
        <v>30046399</v>
      </c>
      <c r="AF80" s="95">
        <v>141393218</v>
      </c>
      <c r="AG80" s="95">
        <v>0</v>
      </c>
      <c r="AH80" s="120">
        <v>2759900</v>
      </c>
      <c r="AI80" s="120">
        <v>4518900</v>
      </c>
      <c r="AJ80" s="84">
        <v>25527499</v>
      </c>
      <c r="AK80" s="84">
        <v>0</v>
      </c>
      <c r="AL80" s="84">
        <v>10249900</v>
      </c>
      <c r="AM80" s="84">
        <v>40042400</v>
      </c>
      <c r="AN80" s="121">
        <v>40042400</v>
      </c>
      <c r="AO80" s="84">
        <v>9996001</v>
      </c>
      <c r="AP80" s="95">
        <v>131397217</v>
      </c>
      <c r="AQ80" s="84">
        <v>0</v>
      </c>
      <c r="AS80" s="118">
        <f t="shared" si="42"/>
        <v>0</v>
      </c>
    </row>
    <row r="81" spans="1:45" s="100" customFormat="1" x14ac:dyDescent="0.25">
      <c r="A81" s="109">
        <v>21211314</v>
      </c>
      <c r="B81" s="110" t="s">
        <v>31</v>
      </c>
      <c r="C81" s="111">
        <f>+C82+C83+C84+C85+C86</f>
        <v>18800000</v>
      </c>
      <c r="D81" s="111">
        <v>50000000</v>
      </c>
      <c r="E81" s="111">
        <v>0</v>
      </c>
      <c r="F81" s="111">
        <v>155000000</v>
      </c>
      <c r="G81" s="111">
        <f t="shared" si="43"/>
        <v>223800000</v>
      </c>
      <c r="H81" s="111">
        <v>399120</v>
      </c>
      <c r="I81" s="111">
        <v>9289779</v>
      </c>
      <c r="J81" s="111">
        <f t="shared" si="37"/>
        <v>214510221</v>
      </c>
      <c r="K81" s="111">
        <v>3616119</v>
      </c>
      <c r="L81" s="111">
        <v>8565779</v>
      </c>
      <c r="M81" s="111">
        <f t="shared" si="38"/>
        <v>724000</v>
      </c>
      <c r="N81" s="111">
        <v>9808580</v>
      </c>
      <c r="O81" s="111">
        <f t="shared" si="39"/>
        <v>518801</v>
      </c>
      <c r="P81" s="111">
        <f t="shared" si="40"/>
        <v>213991420</v>
      </c>
      <c r="Q81" s="111">
        <f t="shared" si="41"/>
        <v>8565779</v>
      </c>
      <c r="S81" s="101">
        <v>21211314</v>
      </c>
      <c r="T81" s="116" t="s">
        <v>31</v>
      </c>
      <c r="U81" s="102">
        <v>18800000</v>
      </c>
      <c r="V81" s="102">
        <v>50000000</v>
      </c>
      <c r="W81" s="102">
        <v>0</v>
      </c>
      <c r="X81" s="102">
        <v>155000000</v>
      </c>
      <c r="Y81" s="102">
        <v>223800000</v>
      </c>
      <c r="Z81" s="102">
        <v>0</v>
      </c>
      <c r="AA81" s="102">
        <v>0</v>
      </c>
      <c r="AB81" s="119">
        <v>399120</v>
      </c>
      <c r="AC81" s="102">
        <v>399120</v>
      </c>
      <c r="AD81" s="102">
        <v>9289779</v>
      </c>
      <c r="AE81" s="119">
        <v>9289779</v>
      </c>
      <c r="AF81" s="102">
        <v>214510221</v>
      </c>
      <c r="AG81" s="102">
        <v>0</v>
      </c>
      <c r="AH81" s="119">
        <v>3616119</v>
      </c>
      <c r="AI81" s="119">
        <v>8565779</v>
      </c>
      <c r="AJ81" s="100">
        <v>724000</v>
      </c>
      <c r="AK81" s="100">
        <v>0</v>
      </c>
      <c r="AL81" s="100">
        <v>399120</v>
      </c>
      <c r="AM81" s="100">
        <v>9808580</v>
      </c>
      <c r="AN81" s="122">
        <v>9808580</v>
      </c>
      <c r="AO81" s="100">
        <v>518801</v>
      </c>
      <c r="AP81" s="102">
        <v>213991420</v>
      </c>
      <c r="AQ81" s="100">
        <v>0</v>
      </c>
      <c r="AS81" s="118">
        <f t="shared" si="42"/>
        <v>0</v>
      </c>
    </row>
    <row r="82" spans="1:45" ht="30" x14ac:dyDescent="0.25">
      <c r="A82" s="88">
        <v>212113141</v>
      </c>
      <c r="B82" s="86" t="s">
        <v>542</v>
      </c>
      <c r="C82" s="91">
        <v>3000000</v>
      </c>
      <c r="D82" s="91">
        <v>10000000</v>
      </c>
      <c r="E82" s="91">
        <v>0</v>
      </c>
      <c r="F82" s="91">
        <v>45000000</v>
      </c>
      <c r="G82" s="91">
        <f t="shared" si="43"/>
        <v>58000000</v>
      </c>
      <c r="H82" s="91">
        <v>0</v>
      </c>
      <c r="I82" s="91">
        <v>3107999</v>
      </c>
      <c r="J82" s="91">
        <f t="shared" si="37"/>
        <v>54892001</v>
      </c>
      <c r="K82" s="91">
        <v>1387999</v>
      </c>
      <c r="L82" s="91">
        <v>3087999</v>
      </c>
      <c r="M82" s="91">
        <f t="shared" si="38"/>
        <v>20000</v>
      </c>
      <c r="N82" s="91">
        <v>3109800</v>
      </c>
      <c r="O82" s="91">
        <f t="shared" si="39"/>
        <v>1801</v>
      </c>
      <c r="P82" s="91">
        <f t="shared" si="40"/>
        <v>54890200</v>
      </c>
      <c r="Q82" s="91">
        <f t="shared" si="41"/>
        <v>3087999</v>
      </c>
      <c r="S82" s="96">
        <v>212113141</v>
      </c>
      <c r="T82" s="117" t="s">
        <v>702</v>
      </c>
      <c r="U82" s="95">
        <v>3000000</v>
      </c>
      <c r="V82" s="95">
        <v>10000000</v>
      </c>
      <c r="W82" s="95">
        <v>0</v>
      </c>
      <c r="X82" s="95">
        <v>45000000</v>
      </c>
      <c r="Y82" s="95">
        <v>58000000</v>
      </c>
      <c r="Z82" s="95">
        <v>0</v>
      </c>
      <c r="AA82" s="95">
        <v>0</v>
      </c>
      <c r="AB82" s="120">
        <v>0</v>
      </c>
      <c r="AC82" s="95">
        <v>0</v>
      </c>
      <c r="AD82" s="95">
        <v>3107999</v>
      </c>
      <c r="AE82" s="120">
        <v>3107999</v>
      </c>
      <c r="AF82" s="95">
        <v>54892001</v>
      </c>
      <c r="AG82" s="95">
        <v>0</v>
      </c>
      <c r="AH82" s="120">
        <v>1387999</v>
      </c>
      <c r="AI82" s="120">
        <v>3087999</v>
      </c>
      <c r="AJ82" s="84">
        <v>20000</v>
      </c>
      <c r="AK82" s="84">
        <v>0</v>
      </c>
      <c r="AL82" s="84">
        <v>0</v>
      </c>
      <c r="AM82" s="84">
        <v>3109800</v>
      </c>
      <c r="AN82" s="121">
        <v>3109800</v>
      </c>
      <c r="AO82" s="84">
        <v>1801</v>
      </c>
      <c r="AP82" s="95">
        <v>54890200</v>
      </c>
      <c r="AQ82" s="84">
        <v>0</v>
      </c>
      <c r="AS82" s="118">
        <f t="shared" si="42"/>
        <v>0</v>
      </c>
    </row>
    <row r="83" spans="1:45" x14ac:dyDescent="0.25">
      <c r="A83" s="88">
        <v>212113142</v>
      </c>
      <c r="B83" s="86" t="s">
        <v>543</v>
      </c>
      <c r="C83" s="91">
        <v>0</v>
      </c>
      <c r="D83" s="91">
        <v>10000000</v>
      </c>
      <c r="E83" s="91">
        <v>0</v>
      </c>
      <c r="F83" s="91">
        <v>35000000</v>
      </c>
      <c r="G83" s="91">
        <f t="shared" si="43"/>
        <v>45000000</v>
      </c>
      <c r="H83" s="91">
        <v>399120</v>
      </c>
      <c r="I83" s="91">
        <v>5348780</v>
      </c>
      <c r="J83" s="91">
        <f t="shared" si="37"/>
        <v>39651220</v>
      </c>
      <c r="K83" s="91">
        <v>1395120</v>
      </c>
      <c r="L83" s="91">
        <v>4644780</v>
      </c>
      <c r="M83" s="91">
        <f t="shared" si="38"/>
        <v>704000</v>
      </c>
      <c r="N83" s="91">
        <v>5848780</v>
      </c>
      <c r="O83" s="91">
        <f t="shared" si="39"/>
        <v>500000</v>
      </c>
      <c r="P83" s="91">
        <f t="shared" si="40"/>
        <v>39151220</v>
      </c>
      <c r="Q83" s="91">
        <f t="shared" si="41"/>
        <v>4644780</v>
      </c>
      <c r="S83" s="96">
        <v>212113142</v>
      </c>
      <c r="T83" s="117" t="s">
        <v>703</v>
      </c>
      <c r="U83" s="95">
        <v>0</v>
      </c>
      <c r="V83" s="95">
        <v>10000000</v>
      </c>
      <c r="W83" s="95">
        <v>0</v>
      </c>
      <c r="X83" s="95">
        <v>35000000</v>
      </c>
      <c r="Y83" s="95">
        <v>45000000</v>
      </c>
      <c r="Z83" s="95">
        <v>0</v>
      </c>
      <c r="AA83" s="95">
        <v>0</v>
      </c>
      <c r="AB83" s="120">
        <v>399120</v>
      </c>
      <c r="AC83" s="95">
        <v>399120</v>
      </c>
      <c r="AD83" s="95">
        <v>5348780</v>
      </c>
      <c r="AE83" s="120">
        <v>5348780</v>
      </c>
      <c r="AF83" s="95">
        <v>39651220</v>
      </c>
      <c r="AG83" s="95">
        <v>0</v>
      </c>
      <c r="AH83" s="120">
        <v>1395120</v>
      </c>
      <c r="AI83" s="120">
        <v>4644780</v>
      </c>
      <c r="AJ83" s="84">
        <v>704000</v>
      </c>
      <c r="AK83" s="84">
        <v>0</v>
      </c>
      <c r="AL83" s="84">
        <v>399120</v>
      </c>
      <c r="AM83" s="84">
        <v>5848780</v>
      </c>
      <c r="AN83" s="121">
        <v>5848780</v>
      </c>
      <c r="AO83" s="84">
        <v>500000</v>
      </c>
      <c r="AP83" s="95">
        <v>39151220</v>
      </c>
      <c r="AQ83" s="84">
        <v>0</v>
      </c>
      <c r="AS83" s="118">
        <f t="shared" si="42"/>
        <v>0</v>
      </c>
    </row>
    <row r="84" spans="1:45" x14ac:dyDescent="0.25">
      <c r="A84" s="88">
        <v>212113143</v>
      </c>
      <c r="B84" s="86" t="s">
        <v>544</v>
      </c>
      <c r="C84" s="91">
        <v>0</v>
      </c>
      <c r="D84" s="91">
        <v>10000000</v>
      </c>
      <c r="E84" s="91">
        <v>0</v>
      </c>
      <c r="F84" s="91">
        <v>25000000</v>
      </c>
      <c r="G84" s="91">
        <f t="shared" si="43"/>
        <v>35000000</v>
      </c>
      <c r="H84" s="91">
        <v>0</v>
      </c>
      <c r="I84" s="91">
        <v>0</v>
      </c>
      <c r="J84" s="91">
        <f t="shared" si="37"/>
        <v>35000000</v>
      </c>
      <c r="K84" s="91">
        <v>0</v>
      </c>
      <c r="L84" s="91">
        <v>0</v>
      </c>
      <c r="M84" s="91">
        <f t="shared" si="38"/>
        <v>0</v>
      </c>
      <c r="N84" s="91">
        <v>0</v>
      </c>
      <c r="O84" s="91">
        <f t="shared" si="39"/>
        <v>0</v>
      </c>
      <c r="P84" s="91">
        <f t="shared" si="40"/>
        <v>35000000</v>
      </c>
      <c r="Q84" s="91">
        <f t="shared" si="41"/>
        <v>0</v>
      </c>
      <c r="S84" s="96">
        <v>212113143</v>
      </c>
      <c r="T84" s="117" t="s">
        <v>808</v>
      </c>
      <c r="U84" s="95">
        <v>0</v>
      </c>
      <c r="V84" s="95">
        <v>10000000</v>
      </c>
      <c r="W84" s="95">
        <v>0</v>
      </c>
      <c r="X84" s="95">
        <v>25000000</v>
      </c>
      <c r="Y84" s="95">
        <v>35000000</v>
      </c>
      <c r="Z84" s="95">
        <v>0</v>
      </c>
      <c r="AA84" s="95">
        <v>0</v>
      </c>
      <c r="AB84" s="120">
        <v>0</v>
      </c>
      <c r="AC84" s="95">
        <v>0</v>
      </c>
      <c r="AD84" s="95">
        <v>0</v>
      </c>
      <c r="AE84" s="120">
        <v>0</v>
      </c>
      <c r="AF84" s="95">
        <v>35000000</v>
      </c>
      <c r="AG84" s="95">
        <v>0</v>
      </c>
      <c r="AH84" s="120">
        <v>0</v>
      </c>
      <c r="AI84" s="120">
        <v>0</v>
      </c>
      <c r="AJ84" s="84">
        <v>0</v>
      </c>
      <c r="AK84" s="84">
        <v>0</v>
      </c>
      <c r="AL84" s="84">
        <v>0</v>
      </c>
      <c r="AM84" s="84">
        <v>0</v>
      </c>
      <c r="AN84" s="121">
        <v>0</v>
      </c>
      <c r="AO84" s="84">
        <v>0</v>
      </c>
      <c r="AP84" s="95">
        <v>35000000</v>
      </c>
      <c r="AQ84" s="84">
        <v>0</v>
      </c>
      <c r="AS84" s="118">
        <f t="shared" si="42"/>
        <v>0</v>
      </c>
    </row>
    <row r="85" spans="1:45" ht="30" x14ac:dyDescent="0.25">
      <c r="A85" s="88">
        <v>212113144</v>
      </c>
      <c r="B85" s="86" t="s">
        <v>635</v>
      </c>
      <c r="C85" s="91">
        <v>1000000</v>
      </c>
      <c r="D85" s="91">
        <v>10000000</v>
      </c>
      <c r="E85" s="91">
        <v>0</v>
      </c>
      <c r="F85" s="91">
        <v>25000000</v>
      </c>
      <c r="G85" s="91">
        <f t="shared" si="43"/>
        <v>36000000</v>
      </c>
      <c r="H85" s="91">
        <v>0</v>
      </c>
      <c r="I85" s="91">
        <v>0</v>
      </c>
      <c r="J85" s="91">
        <f t="shared" si="37"/>
        <v>36000000</v>
      </c>
      <c r="K85" s="91">
        <v>0</v>
      </c>
      <c r="L85" s="91">
        <v>0</v>
      </c>
      <c r="M85" s="91">
        <f t="shared" si="38"/>
        <v>0</v>
      </c>
      <c r="N85" s="91">
        <v>0</v>
      </c>
      <c r="O85" s="91">
        <f t="shared" si="39"/>
        <v>0</v>
      </c>
      <c r="P85" s="91">
        <f t="shared" si="40"/>
        <v>36000000</v>
      </c>
      <c r="Q85" s="91">
        <f t="shared" si="41"/>
        <v>0</v>
      </c>
      <c r="S85" s="96">
        <v>212113144</v>
      </c>
      <c r="T85" s="117" t="s">
        <v>704</v>
      </c>
      <c r="U85" s="95">
        <v>1000000</v>
      </c>
      <c r="V85" s="95">
        <v>10000000</v>
      </c>
      <c r="W85" s="95">
        <v>0</v>
      </c>
      <c r="X85" s="95">
        <v>25000000</v>
      </c>
      <c r="Y85" s="95">
        <v>36000000</v>
      </c>
      <c r="Z85" s="95">
        <v>0</v>
      </c>
      <c r="AA85" s="95">
        <v>0</v>
      </c>
      <c r="AB85" s="120">
        <v>0</v>
      </c>
      <c r="AC85" s="95">
        <v>0</v>
      </c>
      <c r="AD85" s="95">
        <v>0</v>
      </c>
      <c r="AE85" s="120">
        <v>0</v>
      </c>
      <c r="AF85" s="95">
        <v>36000000</v>
      </c>
      <c r="AG85" s="95">
        <v>0</v>
      </c>
      <c r="AH85" s="120">
        <v>0</v>
      </c>
      <c r="AI85" s="120">
        <v>0</v>
      </c>
      <c r="AJ85" s="84">
        <v>0</v>
      </c>
      <c r="AK85" s="84">
        <v>0</v>
      </c>
      <c r="AL85" s="84">
        <v>0</v>
      </c>
      <c r="AM85" s="84">
        <v>0</v>
      </c>
      <c r="AN85" s="121">
        <v>0</v>
      </c>
      <c r="AO85" s="84">
        <v>0</v>
      </c>
      <c r="AP85" s="95">
        <v>36000000</v>
      </c>
      <c r="AQ85" s="84">
        <v>0</v>
      </c>
      <c r="AS85" s="118">
        <f t="shared" si="42"/>
        <v>0</v>
      </c>
    </row>
    <row r="86" spans="1:45" x14ac:dyDescent="0.25">
      <c r="A86" s="88">
        <v>212113145</v>
      </c>
      <c r="B86" s="86" t="s">
        <v>543</v>
      </c>
      <c r="C86" s="91">
        <v>14800000</v>
      </c>
      <c r="D86" s="91">
        <v>10000000</v>
      </c>
      <c r="E86" s="91">
        <v>0</v>
      </c>
      <c r="F86" s="91">
        <v>25000000</v>
      </c>
      <c r="G86" s="91">
        <f t="shared" si="43"/>
        <v>49800000</v>
      </c>
      <c r="H86" s="91">
        <v>0</v>
      </c>
      <c r="I86" s="91">
        <v>833000</v>
      </c>
      <c r="J86" s="91">
        <f t="shared" si="37"/>
        <v>48967000</v>
      </c>
      <c r="K86" s="91">
        <v>833000</v>
      </c>
      <c r="L86" s="91">
        <v>833000</v>
      </c>
      <c r="M86" s="91">
        <f t="shared" si="38"/>
        <v>0</v>
      </c>
      <c r="N86" s="91">
        <v>850000</v>
      </c>
      <c r="O86" s="91">
        <f t="shared" si="39"/>
        <v>17000</v>
      </c>
      <c r="P86" s="91">
        <f t="shared" si="40"/>
        <v>48950000</v>
      </c>
      <c r="Q86" s="91">
        <f t="shared" si="41"/>
        <v>833000</v>
      </c>
      <c r="S86" s="96">
        <v>212113145</v>
      </c>
      <c r="T86" s="117" t="s">
        <v>703</v>
      </c>
      <c r="U86" s="95">
        <v>14800000</v>
      </c>
      <c r="V86" s="95">
        <v>10000000</v>
      </c>
      <c r="W86" s="95">
        <v>0</v>
      </c>
      <c r="X86" s="95">
        <v>25000000</v>
      </c>
      <c r="Y86" s="95">
        <v>49800000</v>
      </c>
      <c r="Z86" s="95">
        <v>0</v>
      </c>
      <c r="AA86" s="95">
        <v>0</v>
      </c>
      <c r="AB86" s="120">
        <v>0</v>
      </c>
      <c r="AC86" s="95">
        <v>0</v>
      </c>
      <c r="AD86" s="95">
        <v>833000</v>
      </c>
      <c r="AE86" s="120">
        <v>833000</v>
      </c>
      <c r="AF86" s="95">
        <v>48967000</v>
      </c>
      <c r="AG86" s="95">
        <v>0</v>
      </c>
      <c r="AH86" s="120">
        <v>833000</v>
      </c>
      <c r="AI86" s="120">
        <v>833000</v>
      </c>
      <c r="AJ86" s="84">
        <v>0</v>
      </c>
      <c r="AK86" s="84">
        <v>0</v>
      </c>
      <c r="AL86" s="84">
        <v>0</v>
      </c>
      <c r="AM86" s="84">
        <v>850000</v>
      </c>
      <c r="AN86" s="121">
        <v>850000</v>
      </c>
      <c r="AO86" s="84">
        <v>17000</v>
      </c>
      <c r="AP86" s="95">
        <v>48950000</v>
      </c>
      <c r="AQ86" s="84">
        <v>0</v>
      </c>
      <c r="AS86" s="118">
        <f t="shared" si="42"/>
        <v>0</v>
      </c>
    </row>
    <row r="87" spans="1:45" s="100" customFormat="1" x14ac:dyDescent="0.25">
      <c r="A87" s="109">
        <v>21211315</v>
      </c>
      <c r="B87" s="110" t="s">
        <v>32</v>
      </c>
      <c r="C87" s="111">
        <f>+C88+C89+C90</f>
        <v>17000000</v>
      </c>
      <c r="D87" s="111">
        <v>0</v>
      </c>
      <c r="E87" s="111">
        <v>0</v>
      </c>
      <c r="F87" s="111">
        <v>0</v>
      </c>
      <c r="G87" s="111">
        <f t="shared" si="43"/>
        <v>17000000</v>
      </c>
      <c r="H87" s="111">
        <v>0</v>
      </c>
      <c r="I87" s="111">
        <v>3172515</v>
      </c>
      <c r="J87" s="111">
        <f t="shared" si="37"/>
        <v>13827485</v>
      </c>
      <c r="K87" s="111">
        <v>800000</v>
      </c>
      <c r="L87" s="111">
        <v>2172515</v>
      </c>
      <c r="M87" s="111">
        <f t="shared" si="38"/>
        <v>1000000</v>
      </c>
      <c r="N87" s="111">
        <v>3172515</v>
      </c>
      <c r="O87" s="111">
        <f t="shared" si="39"/>
        <v>0</v>
      </c>
      <c r="P87" s="111">
        <f t="shared" si="40"/>
        <v>13827485</v>
      </c>
      <c r="Q87" s="111">
        <f t="shared" si="41"/>
        <v>2172515</v>
      </c>
      <c r="S87" s="101">
        <v>21211315</v>
      </c>
      <c r="T87" s="116" t="s">
        <v>32</v>
      </c>
      <c r="U87" s="102">
        <v>17000000</v>
      </c>
      <c r="V87" s="102">
        <v>0</v>
      </c>
      <c r="W87" s="102">
        <v>0</v>
      </c>
      <c r="X87" s="102">
        <v>0</v>
      </c>
      <c r="Y87" s="102">
        <v>17000000</v>
      </c>
      <c r="Z87" s="102">
        <v>0</v>
      </c>
      <c r="AA87" s="102">
        <v>0</v>
      </c>
      <c r="AB87" s="119">
        <v>0</v>
      </c>
      <c r="AC87" s="102">
        <v>0</v>
      </c>
      <c r="AD87" s="102">
        <v>3172515</v>
      </c>
      <c r="AE87" s="119">
        <v>3172515</v>
      </c>
      <c r="AF87" s="102">
        <v>13827485</v>
      </c>
      <c r="AG87" s="102">
        <v>0</v>
      </c>
      <c r="AH87" s="119">
        <v>800000</v>
      </c>
      <c r="AI87" s="119">
        <v>2172515</v>
      </c>
      <c r="AJ87" s="100">
        <v>1000000</v>
      </c>
      <c r="AK87" s="100">
        <v>0</v>
      </c>
      <c r="AL87" s="100">
        <v>0</v>
      </c>
      <c r="AM87" s="100">
        <v>3172515</v>
      </c>
      <c r="AN87" s="122">
        <v>3172515</v>
      </c>
      <c r="AO87" s="100">
        <v>0</v>
      </c>
      <c r="AP87" s="102">
        <v>13827485</v>
      </c>
      <c r="AQ87" s="100">
        <v>0</v>
      </c>
      <c r="AS87" s="118">
        <f t="shared" si="42"/>
        <v>0</v>
      </c>
    </row>
    <row r="88" spans="1:45" ht="30" x14ac:dyDescent="0.25">
      <c r="A88" s="88">
        <v>212113151</v>
      </c>
      <c r="B88" s="86" t="s">
        <v>545</v>
      </c>
      <c r="C88" s="91">
        <v>8000000</v>
      </c>
      <c r="D88" s="91">
        <v>0</v>
      </c>
      <c r="E88" s="91">
        <v>0</v>
      </c>
      <c r="F88" s="91">
        <v>0</v>
      </c>
      <c r="G88" s="91">
        <f t="shared" si="43"/>
        <v>8000000</v>
      </c>
      <c r="H88" s="91">
        <v>0</v>
      </c>
      <c r="I88" s="91">
        <v>3172515</v>
      </c>
      <c r="J88" s="91">
        <f t="shared" si="37"/>
        <v>4827485</v>
      </c>
      <c r="K88" s="91">
        <v>800000</v>
      </c>
      <c r="L88" s="91">
        <v>2172515</v>
      </c>
      <c r="M88" s="91">
        <f t="shared" si="38"/>
        <v>1000000</v>
      </c>
      <c r="N88" s="91">
        <v>3172515</v>
      </c>
      <c r="O88" s="91">
        <f t="shared" si="39"/>
        <v>0</v>
      </c>
      <c r="P88" s="91">
        <f t="shared" si="40"/>
        <v>4827485</v>
      </c>
      <c r="Q88" s="91">
        <f t="shared" si="41"/>
        <v>2172515</v>
      </c>
      <c r="S88" s="96">
        <v>212113151</v>
      </c>
      <c r="T88" s="117" t="s">
        <v>705</v>
      </c>
      <c r="U88" s="95">
        <v>8000000</v>
      </c>
      <c r="V88" s="95">
        <v>0</v>
      </c>
      <c r="W88" s="95">
        <v>0</v>
      </c>
      <c r="X88" s="95">
        <v>0</v>
      </c>
      <c r="Y88" s="95">
        <v>8000000</v>
      </c>
      <c r="Z88" s="95">
        <v>0</v>
      </c>
      <c r="AA88" s="95">
        <v>0</v>
      </c>
      <c r="AB88" s="120">
        <v>0</v>
      </c>
      <c r="AC88" s="95">
        <v>0</v>
      </c>
      <c r="AD88" s="95">
        <v>3172515</v>
      </c>
      <c r="AE88" s="120">
        <v>3172515</v>
      </c>
      <c r="AF88" s="95">
        <v>4827485</v>
      </c>
      <c r="AG88" s="95">
        <v>0</v>
      </c>
      <c r="AH88" s="120">
        <v>800000</v>
      </c>
      <c r="AI88" s="120">
        <v>2172515</v>
      </c>
      <c r="AJ88" s="84">
        <v>1000000</v>
      </c>
      <c r="AK88" s="84">
        <v>0</v>
      </c>
      <c r="AL88" s="84">
        <v>0</v>
      </c>
      <c r="AM88" s="84">
        <v>3172515</v>
      </c>
      <c r="AN88" s="121">
        <v>3172515</v>
      </c>
      <c r="AO88" s="84">
        <v>0</v>
      </c>
      <c r="AP88" s="95">
        <v>4827485</v>
      </c>
      <c r="AQ88" s="84">
        <v>0</v>
      </c>
      <c r="AS88" s="118">
        <f t="shared" si="42"/>
        <v>0</v>
      </c>
    </row>
    <row r="89" spans="1:45" ht="30" x14ac:dyDescent="0.25">
      <c r="A89" s="88">
        <v>212113152</v>
      </c>
      <c r="B89" s="86" t="s">
        <v>546</v>
      </c>
      <c r="C89" s="91">
        <v>6000000</v>
      </c>
      <c r="D89" s="91">
        <v>0</v>
      </c>
      <c r="E89" s="91">
        <v>0</v>
      </c>
      <c r="F89" s="91">
        <v>0</v>
      </c>
      <c r="G89" s="91">
        <f t="shared" si="43"/>
        <v>6000000</v>
      </c>
      <c r="H89" s="91">
        <v>0</v>
      </c>
      <c r="I89" s="91">
        <v>0</v>
      </c>
      <c r="J89" s="91">
        <f t="shared" si="37"/>
        <v>6000000</v>
      </c>
      <c r="K89" s="91">
        <v>0</v>
      </c>
      <c r="L89" s="91">
        <v>0</v>
      </c>
      <c r="M89" s="91">
        <f t="shared" si="38"/>
        <v>0</v>
      </c>
      <c r="N89" s="91">
        <v>0</v>
      </c>
      <c r="O89" s="91">
        <f t="shared" si="39"/>
        <v>0</v>
      </c>
      <c r="P89" s="91">
        <f t="shared" si="40"/>
        <v>6000000</v>
      </c>
      <c r="Q89" s="91">
        <f t="shared" si="41"/>
        <v>0</v>
      </c>
      <c r="S89" s="96">
        <v>212113152</v>
      </c>
      <c r="T89" s="117" t="s">
        <v>706</v>
      </c>
      <c r="U89" s="95">
        <v>6000000</v>
      </c>
      <c r="V89" s="95">
        <v>0</v>
      </c>
      <c r="W89" s="95">
        <v>0</v>
      </c>
      <c r="X89" s="95">
        <v>0</v>
      </c>
      <c r="Y89" s="95">
        <v>6000000</v>
      </c>
      <c r="Z89" s="95">
        <v>0</v>
      </c>
      <c r="AA89" s="95">
        <v>0</v>
      </c>
      <c r="AB89" s="120">
        <v>0</v>
      </c>
      <c r="AC89" s="95">
        <v>0</v>
      </c>
      <c r="AD89" s="95">
        <v>0</v>
      </c>
      <c r="AE89" s="120">
        <v>0</v>
      </c>
      <c r="AF89" s="95">
        <v>6000000</v>
      </c>
      <c r="AG89" s="95">
        <v>0</v>
      </c>
      <c r="AH89" s="120">
        <v>0</v>
      </c>
      <c r="AI89" s="120">
        <v>0</v>
      </c>
      <c r="AJ89" s="84">
        <v>0</v>
      </c>
      <c r="AK89" s="84">
        <v>0</v>
      </c>
      <c r="AL89" s="84">
        <v>0</v>
      </c>
      <c r="AM89" s="84">
        <v>0</v>
      </c>
      <c r="AN89" s="121">
        <v>0</v>
      </c>
      <c r="AO89" s="84">
        <v>0</v>
      </c>
      <c r="AP89" s="95">
        <v>6000000</v>
      </c>
      <c r="AQ89" s="84">
        <v>0</v>
      </c>
      <c r="AS89" s="118">
        <f t="shared" si="42"/>
        <v>0</v>
      </c>
    </row>
    <row r="90" spans="1:45" ht="30" x14ac:dyDescent="0.25">
      <c r="A90" s="88">
        <v>212113153</v>
      </c>
      <c r="B90" s="86" t="s">
        <v>636</v>
      </c>
      <c r="C90" s="91">
        <v>3000000</v>
      </c>
      <c r="D90" s="91">
        <v>0</v>
      </c>
      <c r="E90" s="91">
        <v>0</v>
      </c>
      <c r="F90" s="91">
        <v>0</v>
      </c>
      <c r="G90" s="91">
        <f t="shared" si="43"/>
        <v>3000000</v>
      </c>
      <c r="H90" s="91">
        <v>0</v>
      </c>
      <c r="I90" s="91">
        <v>0</v>
      </c>
      <c r="J90" s="91">
        <f t="shared" si="37"/>
        <v>3000000</v>
      </c>
      <c r="K90" s="91">
        <v>0</v>
      </c>
      <c r="L90" s="91">
        <v>0</v>
      </c>
      <c r="M90" s="91">
        <f t="shared" si="38"/>
        <v>0</v>
      </c>
      <c r="N90" s="91">
        <v>0</v>
      </c>
      <c r="O90" s="91">
        <f t="shared" si="39"/>
        <v>0</v>
      </c>
      <c r="P90" s="91">
        <f t="shared" si="40"/>
        <v>3000000</v>
      </c>
      <c r="Q90" s="91">
        <f t="shared" si="41"/>
        <v>0</v>
      </c>
      <c r="S90" s="96">
        <v>212113153</v>
      </c>
      <c r="T90" s="117" t="s">
        <v>707</v>
      </c>
      <c r="U90" s="95">
        <v>3000000</v>
      </c>
      <c r="V90" s="95">
        <v>0</v>
      </c>
      <c r="W90" s="95">
        <v>0</v>
      </c>
      <c r="X90" s="95">
        <v>0</v>
      </c>
      <c r="Y90" s="95">
        <v>3000000</v>
      </c>
      <c r="Z90" s="95">
        <v>0</v>
      </c>
      <c r="AA90" s="95">
        <v>0</v>
      </c>
      <c r="AB90" s="120">
        <v>0</v>
      </c>
      <c r="AC90" s="95">
        <v>0</v>
      </c>
      <c r="AD90" s="95">
        <v>0</v>
      </c>
      <c r="AE90" s="120">
        <v>0</v>
      </c>
      <c r="AF90" s="95">
        <v>3000000</v>
      </c>
      <c r="AG90" s="95">
        <v>0</v>
      </c>
      <c r="AH90" s="120">
        <v>0</v>
      </c>
      <c r="AI90" s="120">
        <v>0</v>
      </c>
      <c r="AJ90" s="84">
        <v>0</v>
      </c>
      <c r="AK90" s="84">
        <v>0</v>
      </c>
      <c r="AL90" s="84">
        <v>0</v>
      </c>
      <c r="AM90" s="84">
        <v>0</v>
      </c>
      <c r="AN90" s="121">
        <v>0</v>
      </c>
      <c r="AO90" s="84">
        <v>0</v>
      </c>
      <c r="AP90" s="95">
        <v>3000000</v>
      </c>
      <c r="AQ90" s="84">
        <v>0</v>
      </c>
      <c r="AS90" s="118">
        <f t="shared" si="42"/>
        <v>0</v>
      </c>
    </row>
    <row r="91" spans="1:45" s="100" customFormat="1" x14ac:dyDescent="0.25">
      <c r="A91" s="109">
        <v>21211316</v>
      </c>
      <c r="B91" s="110" t="s">
        <v>33</v>
      </c>
      <c r="C91" s="111">
        <f>+C92</f>
        <v>35000000</v>
      </c>
      <c r="D91" s="111">
        <v>0</v>
      </c>
      <c r="E91" s="111">
        <v>0</v>
      </c>
      <c r="F91" s="111">
        <v>0</v>
      </c>
      <c r="G91" s="111">
        <f t="shared" si="43"/>
        <v>35000000</v>
      </c>
      <c r="H91" s="111">
        <v>0</v>
      </c>
      <c r="I91" s="111">
        <v>2709500</v>
      </c>
      <c r="J91" s="111">
        <f t="shared" si="37"/>
        <v>32290500</v>
      </c>
      <c r="K91" s="111">
        <v>0</v>
      </c>
      <c r="L91" s="111">
        <v>2709500</v>
      </c>
      <c r="M91" s="111">
        <f t="shared" si="38"/>
        <v>0</v>
      </c>
      <c r="N91" s="111">
        <v>2709500</v>
      </c>
      <c r="O91" s="111">
        <f t="shared" si="39"/>
        <v>0</v>
      </c>
      <c r="P91" s="111">
        <f t="shared" si="40"/>
        <v>32290500</v>
      </c>
      <c r="Q91" s="111">
        <f t="shared" si="41"/>
        <v>2709500</v>
      </c>
      <c r="S91" s="101">
        <v>21211316</v>
      </c>
      <c r="T91" s="116" t="s">
        <v>33</v>
      </c>
      <c r="U91" s="102">
        <v>35000000</v>
      </c>
      <c r="V91" s="102">
        <v>0</v>
      </c>
      <c r="W91" s="102">
        <v>0</v>
      </c>
      <c r="X91" s="102">
        <v>0</v>
      </c>
      <c r="Y91" s="102">
        <v>35000000</v>
      </c>
      <c r="Z91" s="102">
        <v>0</v>
      </c>
      <c r="AA91" s="102">
        <v>0</v>
      </c>
      <c r="AB91" s="119">
        <v>0</v>
      </c>
      <c r="AC91" s="102">
        <v>0</v>
      </c>
      <c r="AD91" s="102">
        <v>2709500</v>
      </c>
      <c r="AE91" s="119">
        <v>2709500</v>
      </c>
      <c r="AF91" s="102">
        <v>32290500</v>
      </c>
      <c r="AG91" s="102">
        <v>0</v>
      </c>
      <c r="AH91" s="119">
        <v>0</v>
      </c>
      <c r="AI91" s="119">
        <v>2709500</v>
      </c>
      <c r="AJ91" s="100">
        <v>0</v>
      </c>
      <c r="AK91" s="100">
        <v>0</v>
      </c>
      <c r="AL91" s="100">
        <v>0</v>
      </c>
      <c r="AM91" s="100">
        <v>2709500</v>
      </c>
      <c r="AN91" s="122">
        <v>2709500</v>
      </c>
      <c r="AO91" s="100">
        <v>0</v>
      </c>
      <c r="AP91" s="102">
        <v>32290500</v>
      </c>
      <c r="AQ91" s="100">
        <v>0</v>
      </c>
      <c r="AS91" s="118">
        <f t="shared" si="42"/>
        <v>0</v>
      </c>
    </row>
    <row r="92" spans="1:45" ht="30" x14ac:dyDescent="0.25">
      <c r="A92" s="88">
        <v>212113162</v>
      </c>
      <c r="B92" s="86" t="s">
        <v>547</v>
      </c>
      <c r="C92" s="91">
        <v>35000000</v>
      </c>
      <c r="D92" s="91">
        <v>0</v>
      </c>
      <c r="E92" s="91">
        <v>0</v>
      </c>
      <c r="F92" s="91">
        <v>0</v>
      </c>
      <c r="G92" s="91">
        <f t="shared" si="43"/>
        <v>35000000</v>
      </c>
      <c r="H92" s="91">
        <v>0</v>
      </c>
      <c r="I92" s="91">
        <v>2709500</v>
      </c>
      <c r="J92" s="91">
        <f t="shared" si="37"/>
        <v>32290500</v>
      </c>
      <c r="K92" s="91">
        <v>0</v>
      </c>
      <c r="L92" s="91">
        <v>2709500</v>
      </c>
      <c r="M92" s="91">
        <f t="shared" si="38"/>
        <v>0</v>
      </c>
      <c r="N92" s="91">
        <v>2709500</v>
      </c>
      <c r="O92" s="91">
        <f t="shared" si="39"/>
        <v>0</v>
      </c>
      <c r="P92" s="91">
        <f t="shared" si="40"/>
        <v>32290500</v>
      </c>
      <c r="Q92" s="91">
        <f t="shared" si="41"/>
        <v>2709500</v>
      </c>
      <c r="S92" s="96">
        <v>212113162</v>
      </c>
      <c r="T92" s="117" t="s">
        <v>708</v>
      </c>
      <c r="U92" s="95">
        <v>35000000</v>
      </c>
      <c r="V92" s="95">
        <v>0</v>
      </c>
      <c r="W92" s="95">
        <v>0</v>
      </c>
      <c r="X92" s="95">
        <v>0</v>
      </c>
      <c r="Y92" s="95">
        <v>35000000</v>
      </c>
      <c r="Z92" s="95">
        <v>0</v>
      </c>
      <c r="AA92" s="95">
        <v>0</v>
      </c>
      <c r="AB92" s="120">
        <v>0</v>
      </c>
      <c r="AC92" s="95">
        <v>0</v>
      </c>
      <c r="AD92" s="95">
        <v>2709500</v>
      </c>
      <c r="AE92" s="120">
        <v>2709500</v>
      </c>
      <c r="AF92" s="95">
        <v>32290500</v>
      </c>
      <c r="AG92" s="95">
        <v>0</v>
      </c>
      <c r="AH92" s="120">
        <v>0</v>
      </c>
      <c r="AI92" s="120">
        <v>2709500</v>
      </c>
      <c r="AJ92" s="84">
        <v>0</v>
      </c>
      <c r="AK92" s="84">
        <v>0</v>
      </c>
      <c r="AL92" s="84">
        <v>0</v>
      </c>
      <c r="AM92" s="84">
        <v>2709500</v>
      </c>
      <c r="AN92" s="121">
        <v>2709500</v>
      </c>
      <c r="AO92" s="84">
        <v>0</v>
      </c>
      <c r="AP92" s="95">
        <v>32290500</v>
      </c>
      <c r="AQ92" s="84">
        <v>0</v>
      </c>
      <c r="AS92" s="118">
        <f t="shared" si="42"/>
        <v>0</v>
      </c>
    </row>
    <row r="93" spans="1:45" s="100" customFormat="1" x14ac:dyDescent="0.25">
      <c r="A93" s="109">
        <v>21211317</v>
      </c>
      <c r="B93" s="110" t="s">
        <v>34</v>
      </c>
      <c r="C93" s="111">
        <f>+C94</f>
        <v>0</v>
      </c>
      <c r="D93" s="111">
        <v>180000000</v>
      </c>
      <c r="E93" s="111">
        <v>0</v>
      </c>
      <c r="F93" s="111">
        <v>45000000</v>
      </c>
      <c r="G93" s="111">
        <f t="shared" si="43"/>
        <v>225000000</v>
      </c>
      <c r="H93" s="111">
        <v>80400970</v>
      </c>
      <c r="I93" s="111">
        <v>213396970</v>
      </c>
      <c r="J93" s="111">
        <f t="shared" si="37"/>
        <v>11603030</v>
      </c>
      <c r="K93" s="111">
        <v>784900</v>
      </c>
      <c r="L93" s="111">
        <v>131780900</v>
      </c>
      <c r="M93" s="111">
        <f t="shared" si="38"/>
        <v>81616070</v>
      </c>
      <c r="N93" s="111">
        <v>224475000</v>
      </c>
      <c r="O93" s="111">
        <f t="shared" si="39"/>
        <v>11078030</v>
      </c>
      <c r="P93" s="111">
        <f t="shared" si="40"/>
        <v>525000</v>
      </c>
      <c r="Q93" s="111">
        <f t="shared" si="41"/>
        <v>131780900</v>
      </c>
      <c r="S93" s="101">
        <v>21211317</v>
      </c>
      <c r="T93" s="116" t="s">
        <v>34</v>
      </c>
      <c r="U93" s="102">
        <v>0</v>
      </c>
      <c r="V93" s="102">
        <v>180000000</v>
      </c>
      <c r="W93" s="102">
        <v>0</v>
      </c>
      <c r="X93" s="102">
        <v>45000000</v>
      </c>
      <c r="Y93" s="102">
        <v>225000000</v>
      </c>
      <c r="Z93" s="102">
        <v>0</v>
      </c>
      <c r="AA93" s="102">
        <v>0</v>
      </c>
      <c r="AB93" s="119">
        <v>80400970</v>
      </c>
      <c r="AC93" s="102">
        <v>80400970</v>
      </c>
      <c r="AD93" s="102">
        <v>213396970</v>
      </c>
      <c r="AE93" s="119">
        <v>213396970</v>
      </c>
      <c r="AF93" s="102">
        <v>11603030</v>
      </c>
      <c r="AG93" s="102">
        <v>0</v>
      </c>
      <c r="AH93" s="119">
        <v>784900</v>
      </c>
      <c r="AI93" s="119">
        <v>131780900</v>
      </c>
      <c r="AJ93" s="100">
        <v>81616070</v>
      </c>
      <c r="AK93" s="100">
        <v>0</v>
      </c>
      <c r="AL93" s="100">
        <v>80000000</v>
      </c>
      <c r="AM93" s="100">
        <v>224475000</v>
      </c>
      <c r="AN93" s="122">
        <v>224475000</v>
      </c>
      <c r="AO93" s="100">
        <v>11078030</v>
      </c>
      <c r="AP93" s="102">
        <v>525000</v>
      </c>
      <c r="AQ93" s="100">
        <v>0</v>
      </c>
      <c r="AS93" s="118">
        <f t="shared" si="42"/>
        <v>0</v>
      </c>
    </row>
    <row r="94" spans="1:45" ht="30" x14ac:dyDescent="0.25">
      <c r="A94" s="88">
        <v>212113171</v>
      </c>
      <c r="B94" s="86" t="s">
        <v>548</v>
      </c>
      <c r="C94" s="91">
        <v>0</v>
      </c>
      <c r="D94" s="91">
        <v>180000000</v>
      </c>
      <c r="E94" s="91">
        <v>0</v>
      </c>
      <c r="F94" s="91">
        <v>45000000</v>
      </c>
      <c r="G94" s="91">
        <f t="shared" si="43"/>
        <v>225000000</v>
      </c>
      <c r="H94" s="91">
        <v>80400970</v>
      </c>
      <c r="I94" s="91">
        <v>213396970</v>
      </c>
      <c r="J94" s="91">
        <f t="shared" si="37"/>
        <v>11603030</v>
      </c>
      <c r="K94" s="91">
        <v>784900</v>
      </c>
      <c r="L94" s="91">
        <v>131780900</v>
      </c>
      <c r="M94" s="91">
        <f t="shared" si="38"/>
        <v>81616070</v>
      </c>
      <c r="N94" s="91">
        <v>224475000</v>
      </c>
      <c r="O94" s="91">
        <f t="shared" si="39"/>
        <v>11078030</v>
      </c>
      <c r="P94" s="91">
        <f t="shared" si="40"/>
        <v>525000</v>
      </c>
      <c r="Q94" s="91">
        <f t="shared" si="41"/>
        <v>131780900</v>
      </c>
      <c r="S94" s="96">
        <v>212113171</v>
      </c>
      <c r="T94" s="117" t="s">
        <v>709</v>
      </c>
      <c r="U94" s="95">
        <v>0</v>
      </c>
      <c r="V94" s="95">
        <v>180000000</v>
      </c>
      <c r="W94" s="95">
        <v>0</v>
      </c>
      <c r="X94" s="95">
        <v>45000000</v>
      </c>
      <c r="Y94" s="95">
        <v>225000000</v>
      </c>
      <c r="Z94" s="95">
        <v>0</v>
      </c>
      <c r="AA94" s="95">
        <v>0</v>
      </c>
      <c r="AB94" s="120">
        <v>80400970</v>
      </c>
      <c r="AC94" s="95">
        <v>80400970</v>
      </c>
      <c r="AD94" s="95">
        <v>213396970</v>
      </c>
      <c r="AE94" s="120">
        <v>213396970</v>
      </c>
      <c r="AF94" s="95">
        <v>11603030</v>
      </c>
      <c r="AG94" s="95">
        <v>0</v>
      </c>
      <c r="AH94" s="120">
        <v>784900</v>
      </c>
      <c r="AI94" s="120">
        <v>131780900</v>
      </c>
      <c r="AJ94" s="84">
        <v>81616070</v>
      </c>
      <c r="AK94" s="84">
        <v>0</v>
      </c>
      <c r="AL94" s="84">
        <v>80000000</v>
      </c>
      <c r="AM94" s="84">
        <v>224475000</v>
      </c>
      <c r="AN94" s="121">
        <v>224475000</v>
      </c>
      <c r="AO94" s="84">
        <v>11078030</v>
      </c>
      <c r="AP94" s="95">
        <v>525000</v>
      </c>
      <c r="AQ94" s="84">
        <v>0</v>
      </c>
      <c r="AS94" s="118">
        <f t="shared" si="42"/>
        <v>0</v>
      </c>
    </row>
    <row r="95" spans="1:45" s="100" customFormat="1" x14ac:dyDescent="0.25">
      <c r="A95" s="106">
        <v>212114</v>
      </c>
      <c r="B95" s="107" t="s">
        <v>35</v>
      </c>
      <c r="C95" s="108">
        <f>+C96+C100</f>
        <v>78190348</v>
      </c>
      <c r="D95" s="108">
        <v>435690000</v>
      </c>
      <c r="E95" s="108">
        <v>0</v>
      </c>
      <c r="F95" s="108">
        <v>25000000</v>
      </c>
      <c r="G95" s="108">
        <f t="shared" si="43"/>
        <v>538880348</v>
      </c>
      <c r="H95" s="108">
        <v>10986500</v>
      </c>
      <c r="I95" s="108">
        <v>319945373</v>
      </c>
      <c r="J95" s="108">
        <f t="shared" si="37"/>
        <v>218934975</v>
      </c>
      <c r="K95" s="108">
        <v>155215746</v>
      </c>
      <c r="L95" s="108">
        <v>155215746</v>
      </c>
      <c r="M95" s="108">
        <f t="shared" si="38"/>
        <v>164729627</v>
      </c>
      <c r="N95" s="108">
        <v>425997200</v>
      </c>
      <c r="O95" s="108">
        <f t="shared" si="39"/>
        <v>106051827</v>
      </c>
      <c r="P95" s="108">
        <f t="shared" si="40"/>
        <v>112883148</v>
      </c>
      <c r="Q95" s="108">
        <f t="shared" si="41"/>
        <v>155215746</v>
      </c>
      <c r="S95" s="101">
        <v>212114</v>
      </c>
      <c r="T95" s="116" t="s">
        <v>35</v>
      </c>
      <c r="U95" s="102">
        <v>78190348</v>
      </c>
      <c r="V95" s="102">
        <v>435690000</v>
      </c>
      <c r="W95" s="102">
        <v>0</v>
      </c>
      <c r="X95" s="102">
        <v>25000000</v>
      </c>
      <c r="Y95" s="102">
        <v>538880348</v>
      </c>
      <c r="Z95" s="102">
        <v>0</v>
      </c>
      <c r="AA95" s="102">
        <v>0</v>
      </c>
      <c r="AB95" s="119">
        <v>10986500</v>
      </c>
      <c r="AC95" s="102">
        <v>10986500</v>
      </c>
      <c r="AD95" s="102">
        <v>319945373</v>
      </c>
      <c r="AE95" s="119">
        <v>319945373</v>
      </c>
      <c r="AF95" s="102">
        <v>218934975</v>
      </c>
      <c r="AG95" s="102">
        <v>0</v>
      </c>
      <c r="AH95" s="119">
        <v>155215746</v>
      </c>
      <c r="AI95" s="119">
        <v>155215746</v>
      </c>
      <c r="AJ95" s="100">
        <v>164729627</v>
      </c>
      <c r="AK95" s="100">
        <v>0</v>
      </c>
      <c r="AL95" s="100">
        <v>11307200</v>
      </c>
      <c r="AM95" s="100">
        <v>425997200</v>
      </c>
      <c r="AN95" s="122">
        <v>425997200</v>
      </c>
      <c r="AO95" s="100">
        <v>106051827</v>
      </c>
      <c r="AP95" s="102">
        <v>112883148</v>
      </c>
      <c r="AQ95" s="100">
        <v>0</v>
      </c>
      <c r="AS95" s="118">
        <f t="shared" si="42"/>
        <v>0</v>
      </c>
    </row>
    <row r="96" spans="1:45" s="100" customFormat="1" x14ac:dyDescent="0.25">
      <c r="A96" s="106">
        <v>2121142</v>
      </c>
      <c r="B96" s="107" t="s">
        <v>36</v>
      </c>
      <c r="C96" s="108">
        <f>+C97</f>
        <v>0</v>
      </c>
      <c r="D96" s="108">
        <v>410690000</v>
      </c>
      <c r="E96" s="108">
        <v>0</v>
      </c>
      <c r="F96" s="108">
        <v>25000000</v>
      </c>
      <c r="G96" s="108">
        <f t="shared" si="43"/>
        <v>435690000</v>
      </c>
      <c r="H96" s="108">
        <v>10986500</v>
      </c>
      <c r="I96" s="108">
        <v>319945373</v>
      </c>
      <c r="J96" s="108">
        <f t="shared" si="37"/>
        <v>115744627</v>
      </c>
      <c r="K96" s="108">
        <v>155215746</v>
      </c>
      <c r="L96" s="108">
        <v>155215746</v>
      </c>
      <c r="M96" s="108">
        <f t="shared" si="38"/>
        <v>164729627</v>
      </c>
      <c r="N96" s="108">
        <v>425997200</v>
      </c>
      <c r="O96" s="108">
        <f t="shared" si="39"/>
        <v>106051827</v>
      </c>
      <c r="P96" s="108">
        <f t="shared" si="40"/>
        <v>9692800</v>
      </c>
      <c r="Q96" s="108">
        <f t="shared" si="41"/>
        <v>155215746</v>
      </c>
      <c r="S96" s="101">
        <v>2121142</v>
      </c>
      <c r="T96" s="116" t="s">
        <v>36</v>
      </c>
      <c r="U96" s="102">
        <v>0</v>
      </c>
      <c r="V96" s="102">
        <v>410690000</v>
      </c>
      <c r="W96" s="102">
        <v>0</v>
      </c>
      <c r="X96" s="102">
        <v>25000000</v>
      </c>
      <c r="Y96" s="102">
        <v>435690000</v>
      </c>
      <c r="Z96" s="102">
        <v>0</v>
      </c>
      <c r="AA96" s="102">
        <v>0</v>
      </c>
      <c r="AB96" s="119">
        <v>10986500</v>
      </c>
      <c r="AC96" s="102">
        <v>10986500</v>
      </c>
      <c r="AD96" s="102">
        <v>319945373</v>
      </c>
      <c r="AE96" s="119">
        <v>319945373</v>
      </c>
      <c r="AF96" s="102">
        <v>115744627</v>
      </c>
      <c r="AG96" s="102">
        <v>0</v>
      </c>
      <c r="AH96" s="119">
        <v>155215746</v>
      </c>
      <c r="AI96" s="119">
        <v>155215746</v>
      </c>
      <c r="AJ96" s="100">
        <v>164729627</v>
      </c>
      <c r="AK96" s="100">
        <v>0</v>
      </c>
      <c r="AL96" s="100">
        <v>11307200</v>
      </c>
      <c r="AM96" s="100">
        <v>425997200</v>
      </c>
      <c r="AN96" s="122">
        <v>425997200</v>
      </c>
      <c r="AO96" s="100">
        <v>106051827</v>
      </c>
      <c r="AP96" s="102">
        <v>9692800</v>
      </c>
      <c r="AQ96" s="100">
        <v>0</v>
      </c>
      <c r="AS96" s="118">
        <f t="shared" si="42"/>
        <v>0</v>
      </c>
    </row>
    <row r="97" spans="1:45" x14ac:dyDescent="0.25">
      <c r="A97" s="87">
        <v>21211423</v>
      </c>
      <c r="B97" s="85" t="s">
        <v>37</v>
      </c>
      <c r="C97" s="90">
        <f>+C98</f>
        <v>0</v>
      </c>
      <c r="D97" s="90">
        <v>410690000</v>
      </c>
      <c r="E97" s="90">
        <v>0</v>
      </c>
      <c r="F97" s="90">
        <v>25000000</v>
      </c>
      <c r="G97" s="90">
        <f t="shared" si="43"/>
        <v>435690000</v>
      </c>
      <c r="H97" s="90">
        <v>10986500</v>
      </c>
      <c r="I97" s="90">
        <v>319945373</v>
      </c>
      <c r="J97" s="90">
        <f t="shared" si="37"/>
        <v>115744627</v>
      </c>
      <c r="K97" s="90">
        <v>155215746</v>
      </c>
      <c r="L97" s="90">
        <v>155215746</v>
      </c>
      <c r="M97" s="90">
        <f t="shared" si="38"/>
        <v>164729627</v>
      </c>
      <c r="N97" s="90">
        <v>425997200</v>
      </c>
      <c r="O97" s="90">
        <f t="shared" si="39"/>
        <v>106051827</v>
      </c>
      <c r="P97" s="90">
        <f t="shared" si="40"/>
        <v>9692800</v>
      </c>
      <c r="Q97" s="90">
        <f t="shared" si="41"/>
        <v>155215746</v>
      </c>
      <c r="S97" s="96">
        <v>21211423</v>
      </c>
      <c r="T97" s="117" t="s">
        <v>37</v>
      </c>
      <c r="U97" s="95">
        <v>0</v>
      </c>
      <c r="V97" s="95">
        <v>410690000</v>
      </c>
      <c r="W97" s="95">
        <v>0</v>
      </c>
      <c r="X97" s="95">
        <v>25000000</v>
      </c>
      <c r="Y97" s="95">
        <v>435690000</v>
      </c>
      <c r="Z97" s="95">
        <v>0</v>
      </c>
      <c r="AA97" s="95">
        <v>0</v>
      </c>
      <c r="AB97" s="120">
        <v>10986500</v>
      </c>
      <c r="AC97" s="95">
        <v>10986500</v>
      </c>
      <c r="AD97" s="95">
        <v>319945373</v>
      </c>
      <c r="AE97" s="120">
        <v>319945373</v>
      </c>
      <c r="AF97" s="95">
        <v>115744627</v>
      </c>
      <c r="AG97" s="95">
        <v>0</v>
      </c>
      <c r="AH97" s="120">
        <v>155215746</v>
      </c>
      <c r="AI97" s="120">
        <v>155215746</v>
      </c>
      <c r="AJ97" s="84">
        <v>164729627</v>
      </c>
      <c r="AK97" s="84">
        <v>0</v>
      </c>
      <c r="AL97" s="84">
        <v>11307200</v>
      </c>
      <c r="AM97" s="84">
        <v>425997200</v>
      </c>
      <c r="AN97" s="121">
        <v>425997200</v>
      </c>
      <c r="AO97" s="84">
        <v>106051827</v>
      </c>
      <c r="AP97" s="95">
        <v>9692800</v>
      </c>
      <c r="AQ97" s="84">
        <v>0</v>
      </c>
      <c r="AS97" s="118">
        <f t="shared" si="42"/>
        <v>0</v>
      </c>
    </row>
    <row r="98" spans="1:45" s="100" customFormat="1" x14ac:dyDescent="0.25">
      <c r="A98" s="109">
        <v>212114231</v>
      </c>
      <c r="B98" s="110" t="s">
        <v>38</v>
      </c>
      <c r="C98" s="111">
        <f>+C99</f>
        <v>0</v>
      </c>
      <c r="D98" s="111">
        <v>410690000</v>
      </c>
      <c r="E98" s="111">
        <v>0</v>
      </c>
      <c r="F98" s="111">
        <v>25000000</v>
      </c>
      <c r="G98" s="111">
        <f t="shared" si="43"/>
        <v>435690000</v>
      </c>
      <c r="H98" s="111">
        <v>10986500</v>
      </c>
      <c r="I98" s="111">
        <v>319945373</v>
      </c>
      <c r="J98" s="111">
        <f t="shared" si="37"/>
        <v>115744627</v>
      </c>
      <c r="K98" s="111">
        <v>155215746</v>
      </c>
      <c r="L98" s="111">
        <v>155215746</v>
      </c>
      <c r="M98" s="111">
        <f t="shared" si="38"/>
        <v>164729627</v>
      </c>
      <c r="N98" s="111">
        <v>425997200</v>
      </c>
      <c r="O98" s="111">
        <f t="shared" si="39"/>
        <v>106051827</v>
      </c>
      <c r="P98" s="111">
        <f t="shared" si="40"/>
        <v>9692800</v>
      </c>
      <c r="Q98" s="111">
        <f t="shared" si="41"/>
        <v>155215746</v>
      </c>
      <c r="S98" s="101">
        <v>212114231</v>
      </c>
      <c r="T98" s="116" t="s">
        <v>38</v>
      </c>
      <c r="U98" s="102">
        <v>0</v>
      </c>
      <c r="V98" s="102">
        <v>410690000</v>
      </c>
      <c r="W98" s="102">
        <v>0</v>
      </c>
      <c r="X98" s="102">
        <v>25000000</v>
      </c>
      <c r="Y98" s="102">
        <v>435690000</v>
      </c>
      <c r="Z98" s="102">
        <v>0</v>
      </c>
      <c r="AA98" s="102">
        <v>0</v>
      </c>
      <c r="AB98" s="119">
        <v>10986500</v>
      </c>
      <c r="AC98" s="102">
        <v>10986500</v>
      </c>
      <c r="AD98" s="102">
        <v>319945373</v>
      </c>
      <c r="AE98" s="119">
        <v>319945373</v>
      </c>
      <c r="AF98" s="102">
        <v>115744627</v>
      </c>
      <c r="AG98" s="102">
        <v>0</v>
      </c>
      <c r="AH98" s="119">
        <v>155215746</v>
      </c>
      <c r="AI98" s="119">
        <v>155215746</v>
      </c>
      <c r="AJ98" s="100">
        <v>164729627</v>
      </c>
      <c r="AK98" s="100">
        <v>0</v>
      </c>
      <c r="AL98" s="100">
        <v>11307200</v>
      </c>
      <c r="AM98" s="100">
        <v>425997200</v>
      </c>
      <c r="AN98" s="122">
        <v>425997200</v>
      </c>
      <c r="AO98" s="100">
        <v>106051827</v>
      </c>
      <c r="AP98" s="102">
        <v>9692800</v>
      </c>
      <c r="AQ98" s="100">
        <v>0</v>
      </c>
      <c r="AS98" s="118">
        <f t="shared" si="42"/>
        <v>0</v>
      </c>
    </row>
    <row r="99" spans="1:45" x14ac:dyDescent="0.25">
      <c r="A99" s="88">
        <v>2121142311</v>
      </c>
      <c r="B99" s="86" t="s">
        <v>549</v>
      </c>
      <c r="C99" s="91">
        <v>0</v>
      </c>
      <c r="D99" s="91">
        <v>410690000</v>
      </c>
      <c r="E99" s="91">
        <v>0</v>
      </c>
      <c r="F99" s="91">
        <v>25000000</v>
      </c>
      <c r="G99" s="91">
        <f t="shared" si="43"/>
        <v>435690000</v>
      </c>
      <c r="H99" s="91">
        <v>10986500</v>
      </c>
      <c r="I99" s="91">
        <v>319945373</v>
      </c>
      <c r="J99" s="91">
        <f t="shared" si="37"/>
        <v>115744627</v>
      </c>
      <c r="K99" s="91">
        <v>155215746</v>
      </c>
      <c r="L99" s="91">
        <v>155215746</v>
      </c>
      <c r="M99" s="91">
        <f t="shared" si="38"/>
        <v>164729627</v>
      </c>
      <c r="N99" s="91">
        <v>425997200</v>
      </c>
      <c r="O99" s="91">
        <f t="shared" si="39"/>
        <v>106051827</v>
      </c>
      <c r="P99" s="91">
        <f t="shared" si="40"/>
        <v>9692800</v>
      </c>
      <c r="Q99" s="91">
        <f t="shared" si="41"/>
        <v>155215746</v>
      </c>
      <c r="S99" s="96">
        <v>2121142311</v>
      </c>
      <c r="T99" s="117" t="s">
        <v>809</v>
      </c>
      <c r="U99" s="95">
        <v>0</v>
      </c>
      <c r="V99" s="95">
        <v>410690000</v>
      </c>
      <c r="W99" s="95">
        <v>0</v>
      </c>
      <c r="X99" s="95">
        <v>25000000</v>
      </c>
      <c r="Y99" s="95">
        <v>435690000</v>
      </c>
      <c r="Z99" s="95">
        <v>0</v>
      </c>
      <c r="AA99" s="95">
        <v>0</v>
      </c>
      <c r="AB99" s="120">
        <v>10986500</v>
      </c>
      <c r="AC99" s="95">
        <v>10986500</v>
      </c>
      <c r="AD99" s="95">
        <v>319945373</v>
      </c>
      <c r="AE99" s="120">
        <v>319945373</v>
      </c>
      <c r="AF99" s="95">
        <v>115744627</v>
      </c>
      <c r="AG99" s="95">
        <v>0</v>
      </c>
      <c r="AH99" s="120">
        <v>155215746</v>
      </c>
      <c r="AI99" s="120">
        <v>155215746</v>
      </c>
      <c r="AJ99" s="84">
        <v>164729627</v>
      </c>
      <c r="AK99" s="84">
        <v>0</v>
      </c>
      <c r="AL99" s="84">
        <v>11307200</v>
      </c>
      <c r="AM99" s="84">
        <v>425997200</v>
      </c>
      <c r="AN99" s="121">
        <v>425997200</v>
      </c>
      <c r="AO99" s="84">
        <v>106051827</v>
      </c>
      <c r="AP99" s="95">
        <v>9692800</v>
      </c>
      <c r="AQ99" s="84">
        <v>0</v>
      </c>
      <c r="AS99" s="118">
        <f t="shared" si="42"/>
        <v>0</v>
      </c>
    </row>
    <row r="100" spans="1:45" s="100" customFormat="1" x14ac:dyDescent="0.25">
      <c r="A100" s="106">
        <v>2121143</v>
      </c>
      <c r="B100" s="107" t="s">
        <v>39</v>
      </c>
      <c r="C100" s="108">
        <f>+C101</f>
        <v>78190348</v>
      </c>
      <c r="D100" s="108">
        <v>25000000</v>
      </c>
      <c r="E100" s="108">
        <v>0</v>
      </c>
      <c r="F100" s="108">
        <v>0</v>
      </c>
      <c r="G100" s="108">
        <f t="shared" si="43"/>
        <v>103190348</v>
      </c>
      <c r="H100" s="108">
        <v>0</v>
      </c>
      <c r="I100" s="108">
        <v>0</v>
      </c>
      <c r="J100" s="108">
        <f t="shared" si="37"/>
        <v>103190348</v>
      </c>
      <c r="K100" s="108">
        <v>0</v>
      </c>
      <c r="L100" s="108">
        <v>0</v>
      </c>
      <c r="M100" s="108">
        <f t="shared" si="38"/>
        <v>0</v>
      </c>
      <c r="N100" s="108">
        <v>0</v>
      </c>
      <c r="O100" s="108">
        <f t="shared" si="39"/>
        <v>0</v>
      </c>
      <c r="P100" s="108">
        <f t="shared" si="40"/>
        <v>103190348</v>
      </c>
      <c r="Q100" s="108">
        <f t="shared" si="41"/>
        <v>0</v>
      </c>
      <c r="S100" s="101">
        <v>2121143</v>
      </c>
      <c r="T100" s="116" t="s">
        <v>39</v>
      </c>
      <c r="U100" s="102">
        <v>78190348</v>
      </c>
      <c r="V100" s="102">
        <v>25000000</v>
      </c>
      <c r="W100" s="102">
        <v>0</v>
      </c>
      <c r="X100" s="102">
        <v>0</v>
      </c>
      <c r="Y100" s="102">
        <v>103190348</v>
      </c>
      <c r="Z100" s="102">
        <v>0</v>
      </c>
      <c r="AA100" s="102">
        <v>0</v>
      </c>
      <c r="AB100" s="119">
        <v>0</v>
      </c>
      <c r="AC100" s="102">
        <v>0</v>
      </c>
      <c r="AD100" s="102">
        <v>0</v>
      </c>
      <c r="AE100" s="119">
        <v>0</v>
      </c>
      <c r="AF100" s="102">
        <v>103190348</v>
      </c>
      <c r="AG100" s="102">
        <v>0</v>
      </c>
      <c r="AH100" s="119">
        <v>0</v>
      </c>
      <c r="AI100" s="119">
        <v>0</v>
      </c>
      <c r="AJ100" s="100">
        <v>0</v>
      </c>
      <c r="AK100" s="100">
        <v>0</v>
      </c>
      <c r="AL100" s="100">
        <v>0</v>
      </c>
      <c r="AM100" s="100">
        <v>0</v>
      </c>
      <c r="AN100" s="122">
        <v>0</v>
      </c>
      <c r="AO100" s="100">
        <v>0</v>
      </c>
      <c r="AP100" s="102">
        <v>103190348</v>
      </c>
      <c r="AQ100" s="100">
        <v>0</v>
      </c>
      <c r="AS100" s="118">
        <f t="shared" si="42"/>
        <v>0</v>
      </c>
    </row>
    <row r="101" spans="1:45" s="100" customFormat="1" ht="30" x14ac:dyDescent="0.25">
      <c r="A101" s="106">
        <v>21211436</v>
      </c>
      <c r="B101" s="107" t="s">
        <v>40</v>
      </c>
      <c r="C101" s="108">
        <f>+C102</f>
        <v>78190348</v>
      </c>
      <c r="D101" s="108">
        <v>25000000</v>
      </c>
      <c r="E101" s="108">
        <v>0</v>
      </c>
      <c r="F101" s="108">
        <v>0</v>
      </c>
      <c r="G101" s="108">
        <f t="shared" si="43"/>
        <v>103190348</v>
      </c>
      <c r="H101" s="108">
        <v>0</v>
      </c>
      <c r="I101" s="108">
        <v>0</v>
      </c>
      <c r="J101" s="108">
        <f t="shared" si="37"/>
        <v>103190348</v>
      </c>
      <c r="K101" s="108">
        <v>0</v>
      </c>
      <c r="L101" s="108">
        <v>0</v>
      </c>
      <c r="M101" s="108">
        <f t="shared" si="38"/>
        <v>0</v>
      </c>
      <c r="N101" s="108">
        <v>0</v>
      </c>
      <c r="O101" s="108">
        <f t="shared" si="39"/>
        <v>0</v>
      </c>
      <c r="P101" s="108">
        <f t="shared" si="40"/>
        <v>103190348</v>
      </c>
      <c r="Q101" s="108">
        <f t="shared" si="41"/>
        <v>0</v>
      </c>
      <c r="S101" s="101">
        <v>21211436</v>
      </c>
      <c r="T101" s="116" t="s">
        <v>40</v>
      </c>
      <c r="U101" s="102">
        <v>78190348</v>
      </c>
      <c r="V101" s="102">
        <v>25000000</v>
      </c>
      <c r="W101" s="102">
        <v>0</v>
      </c>
      <c r="X101" s="102">
        <v>0</v>
      </c>
      <c r="Y101" s="102">
        <v>103190348</v>
      </c>
      <c r="Z101" s="102">
        <v>0</v>
      </c>
      <c r="AA101" s="102">
        <v>0</v>
      </c>
      <c r="AB101" s="119">
        <v>0</v>
      </c>
      <c r="AC101" s="102">
        <v>0</v>
      </c>
      <c r="AD101" s="102">
        <v>0</v>
      </c>
      <c r="AE101" s="119">
        <v>0</v>
      </c>
      <c r="AF101" s="102">
        <v>103190348</v>
      </c>
      <c r="AG101" s="102">
        <v>0</v>
      </c>
      <c r="AH101" s="119">
        <v>0</v>
      </c>
      <c r="AI101" s="119">
        <v>0</v>
      </c>
      <c r="AJ101" s="100">
        <v>0</v>
      </c>
      <c r="AK101" s="100">
        <v>0</v>
      </c>
      <c r="AL101" s="100">
        <v>0</v>
      </c>
      <c r="AM101" s="100">
        <v>0</v>
      </c>
      <c r="AN101" s="122">
        <v>0</v>
      </c>
      <c r="AO101" s="100">
        <v>0</v>
      </c>
      <c r="AP101" s="102">
        <v>103190348</v>
      </c>
      <c r="AQ101" s="100">
        <v>0</v>
      </c>
      <c r="AS101" s="118">
        <f t="shared" si="42"/>
        <v>0</v>
      </c>
    </row>
    <row r="102" spans="1:45" s="100" customFormat="1" x14ac:dyDescent="0.25">
      <c r="A102" s="109">
        <v>212114361</v>
      </c>
      <c r="B102" s="110" t="s">
        <v>41</v>
      </c>
      <c r="C102" s="111">
        <f>+C103+C104+C105</f>
        <v>78190348</v>
      </c>
      <c r="D102" s="111">
        <v>25000000</v>
      </c>
      <c r="E102" s="111">
        <v>0</v>
      </c>
      <c r="F102" s="111">
        <v>0</v>
      </c>
      <c r="G102" s="111">
        <f t="shared" si="43"/>
        <v>103190348</v>
      </c>
      <c r="H102" s="111">
        <v>0</v>
      </c>
      <c r="I102" s="111">
        <v>0</v>
      </c>
      <c r="J102" s="111">
        <f t="shared" si="37"/>
        <v>103190348</v>
      </c>
      <c r="K102" s="111">
        <v>0</v>
      </c>
      <c r="L102" s="111">
        <v>0</v>
      </c>
      <c r="M102" s="111">
        <f t="shared" si="38"/>
        <v>0</v>
      </c>
      <c r="N102" s="111">
        <v>0</v>
      </c>
      <c r="O102" s="111">
        <f t="shared" si="39"/>
        <v>0</v>
      </c>
      <c r="P102" s="111">
        <f t="shared" si="40"/>
        <v>103190348</v>
      </c>
      <c r="Q102" s="111">
        <f t="shared" si="41"/>
        <v>0</v>
      </c>
      <c r="S102" s="101">
        <v>212114361</v>
      </c>
      <c r="T102" s="116" t="s">
        <v>41</v>
      </c>
      <c r="U102" s="102">
        <v>78190348</v>
      </c>
      <c r="V102" s="102">
        <v>25000000</v>
      </c>
      <c r="W102" s="102">
        <v>0</v>
      </c>
      <c r="X102" s="102">
        <v>0</v>
      </c>
      <c r="Y102" s="102">
        <v>103190348</v>
      </c>
      <c r="Z102" s="102">
        <v>0</v>
      </c>
      <c r="AA102" s="102">
        <v>0</v>
      </c>
      <c r="AB102" s="119">
        <v>0</v>
      </c>
      <c r="AC102" s="102">
        <v>0</v>
      </c>
      <c r="AD102" s="102">
        <v>0</v>
      </c>
      <c r="AE102" s="119">
        <v>0</v>
      </c>
      <c r="AF102" s="102">
        <v>103190348</v>
      </c>
      <c r="AG102" s="102">
        <v>0</v>
      </c>
      <c r="AH102" s="119">
        <v>0</v>
      </c>
      <c r="AI102" s="119">
        <v>0</v>
      </c>
      <c r="AJ102" s="100">
        <v>0</v>
      </c>
      <c r="AK102" s="100">
        <v>0</v>
      </c>
      <c r="AL102" s="100">
        <v>0</v>
      </c>
      <c r="AM102" s="100">
        <v>0</v>
      </c>
      <c r="AN102" s="122">
        <v>0</v>
      </c>
      <c r="AO102" s="100">
        <v>0</v>
      </c>
      <c r="AP102" s="102">
        <v>103190348</v>
      </c>
      <c r="AQ102" s="100">
        <v>0</v>
      </c>
      <c r="AS102" s="118">
        <f t="shared" si="42"/>
        <v>0</v>
      </c>
    </row>
    <row r="103" spans="1:45" x14ac:dyDescent="0.25">
      <c r="A103" s="88">
        <v>2121143611</v>
      </c>
      <c r="B103" s="86" t="s">
        <v>550</v>
      </c>
      <c r="C103" s="91">
        <v>15000000</v>
      </c>
      <c r="D103" s="91">
        <v>10000000</v>
      </c>
      <c r="E103" s="91">
        <v>0</v>
      </c>
      <c r="F103" s="91">
        <v>0</v>
      </c>
      <c r="G103" s="91">
        <f t="shared" si="43"/>
        <v>25000000</v>
      </c>
      <c r="H103" s="91">
        <v>0</v>
      </c>
      <c r="I103" s="91">
        <v>0</v>
      </c>
      <c r="J103" s="91">
        <f t="shared" si="37"/>
        <v>25000000</v>
      </c>
      <c r="K103" s="91">
        <v>0</v>
      </c>
      <c r="L103" s="91">
        <v>0</v>
      </c>
      <c r="M103" s="91">
        <f t="shared" si="38"/>
        <v>0</v>
      </c>
      <c r="N103" s="91">
        <v>0</v>
      </c>
      <c r="O103" s="91">
        <f t="shared" si="39"/>
        <v>0</v>
      </c>
      <c r="P103" s="91">
        <f t="shared" si="40"/>
        <v>25000000</v>
      </c>
      <c r="Q103" s="91">
        <f t="shared" si="41"/>
        <v>0</v>
      </c>
      <c r="S103" s="96">
        <v>2121143611</v>
      </c>
      <c r="T103" s="117" t="s">
        <v>710</v>
      </c>
      <c r="U103" s="95">
        <v>15000000</v>
      </c>
      <c r="V103" s="95">
        <v>10000000</v>
      </c>
      <c r="W103" s="95">
        <v>0</v>
      </c>
      <c r="X103" s="95">
        <v>0</v>
      </c>
      <c r="Y103" s="95">
        <v>25000000</v>
      </c>
      <c r="Z103" s="95">
        <v>0</v>
      </c>
      <c r="AA103" s="95">
        <v>0</v>
      </c>
      <c r="AB103" s="120">
        <v>0</v>
      </c>
      <c r="AC103" s="95">
        <v>0</v>
      </c>
      <c r="AD103" s="95">
        <v>0</v>
      </c>
      <c r="AE103" s="120">
        <v>0</v>
      </c>
      <c r="AF103" s="95">
        <v>25000000</v>
      </c>
      <c r="AG103" s="95">
        <v>0</v>
      </c>
      <c r="AH103" s="120">
        <v>0</v>
      </c>
      <c r="AI103" s="120">
        <v>0</v>
      </c>
      <c r="AJ103" s="84">
        <v>0</v>
      </c>
      <c r="AK103" s="84">
        <v>0</v>
      </c>
      <c r="AL103" s="84">
        <v>0</v>
      </c>
      <c r="AM103" s="84">
        <v>0</v>
      </c>
      <c r="AN103" s="121">
        <v>0</v>
      </c>
      <c r="AO103" s="84">
        <v>0</v>
      </c>
      <c r="AP103" s="95">
        <v>25000000</v>
      </c>
      <c r="AQ103" s="84">
        <v>0</v>
      </c>
      <c r="AS103" s="118">
        <f t="shared" si="42"/>
        <v>0</v>
      </c>
    </row>
    <row r="104" spans="1:45" x14ac:dyDescent="0.25">
      <c r="A104" s="88">
        <v>2121143612</v>
      </c>
      <c r="B104" s="86" t="s">
        <v>551</v>
      </c>
      <c r="C104" s="91">
        <v>43190348</v>
      </c>
      <c r="D104" s="91">
        <v>15000000</v>
      </c>
      <c r="E104" s="91">
        <v>0</v>
      </c>
      <c r="F104" s="91">
        <v>0</v>
      </c>
      <c r="G104" s="91">
        <f t="shared" si="43"/>
        <v>58190348</v>
      </c>
      <c r="H104" s="91">
        <v>0</v>
      </c>
      <c r="I104" s="91">
        <v>0</v>
      </c>
      <c r="J104" s="91">
        <f t="shared" si="37"/>
        <v>58190348</v>
      </c>
      <c r="K104" s="91">
        <v>0</v>
      </c>
      <c r="L104" s="91">
        <v>0</v>
      </c>
      <c r="M104" s="91">
        <f t="shared" si="38"/>
        <v>0</v>
      </c>
      <c r="N104" s="91">
        <v>0</v>
      </c>
      <c r="O104" s="91">
        <f t="shared" si="39"/>
        <v>0</v>
      </c>
      <c r="P104" s="91">
        <f t="shared" si="40"/>
        <v>58190348</v>
      </c>
      <c r="Q104" s="91">
        <f t="shared" si="41"/>
        <v>0</v>
      </c>
      <c r="S104" s="96">
        <v>2121143612</v>
      </c>
      <c r="T104" s="117" t="s">
        <v>711</v>
      </c>
      <c r="U104" s="95">
        <v>43190348</v>
      </c>
      <c r="V104" s="95">
        <v>15000000</v>
      </c>
      <c r="W104" s="95">
        <v>0</v>
      </c>
      <c r="X104" s="95">
        <v>0</v>
      </c>
      <c r="Y104" s="95">
        <v>58190348</v>
      </c>
      <c r="Z104" s="95">
        <v>0</v>
      </c>
      <c r="AA104" s="95">
        <v>0</v>
      </c>
      <c r="AB104" s="120">
        <v>0</v>
      </c>
      <c r="AC104" s="95">
        <v>0</v>
      </c>
      <c r="AD104" s="95">
        <v>0</v>
      </c>
      <c r="AE104" s="120">
        <v>0</v>
      </c>
      <c r="AF104" s="95">
        <v>58190348</v>
      </c>
      <c r="AG104" s="95">
        <v>0</v>
      </c>
      <c r="AH104" s="120">
        <v>0</v>
      </c>
      <c r="AI104" s="120">
        <v>0</v>
      </c>
      <c r="AJ104" s="84">
        <v>0</v>
      </c>
      <c r="AK104" s="84">
        <v>0</v>
      </c>
      <c r="AL104" s="84">
        <v>0</v>
      </c>
      <c r="AM104" s="84">
        <v>0</v>
      </c>
      <c r="AN104" s="121">
        <v>0</v>
      </c>
      <c r="AO104" s="84">
        <v>0</v>
      </c>
      <c r="AP104" s="95">
        <v>58190348</v>
      </c>
      <c r="AQ104" s="84">
        <v>0</v>
      </c>
      <c r="AS104" s="118">
        <f t="shared" si="42"/>
        <v>0</v>
      </c>
    </row>
    <row r="105" spans="1:45" x14ac:dyDescent="0.25">
      <c r="A105" s="88">
        <v>2121143614</v>
      </c>
      <c r="B105" s="86" t="s">
        <v>552</v>
      </c>
      <c r="C105" s="91">
        <v>20000000</v>
      </c>
      <c r="D105" s="91">
        <v>0</v>
      </c>
      <c r="E105" s="91">
        <v>0</v>
      </c>
      <c r="F105" s="91">
        <v>0</v>
      </c>
      <c r="G105" s="91">
        <f t="shared" si="43"/>
        <v>20000000</v>
      </c>
      <c r="H105" s="91">
        <v>0</v>
      </c>
      <c r="I105" s="91">
        <v>0</v>
      </c>
      <c r="J105" s="91">
        <f t="shared" si="37"/>
        <v>20000000</v>
      </c>
      <c r="K105" s="91">
        <v>0</v>
      </c>
      <c r="L105" s="91">
        <v>0</v>
      </c>
      <c r="M105" s="91">
        <f t="shared" si="38"/>
        <v>0</v>
      </c>
      <c r="N105" s="91">
        <v>0</v>
      </c>
      <c r="O105" s="91">
        <f t="shared" si="39"/>
        <v>0</v>
      </c>
      <c r="P105" s="91">
        <f t="shared" si="40"/>
        <v>20000000</v>
      </c>
      <c r="Q105" s="91">
        <f t="shared" si="41"/>
        <v>0</v>
      </c>
      <c r="S105" s="96">
        <v>2121143614</v>
      </c>
      <c r="T105" s="117" t="s">
        <v>712</v>
      </c>
      <c r="U105" s="95">
        <v>20000000</v>
      </c>
      <c r="V105" s="95">
        <v>0</v>
      </c>
      <c r="W105" s="95">
        <v>0</v>
      </c>
      <c r="X105" s="95">
        <v>0</v>
      </c>
      <c r="Y105" s="95">
        <v>20000000</v>
      </c>
      <c r="Z105" s="95">
        <v>0</v>
      </c>
      <c r="AA105" s="95">
        <v>0</v>
      </c>
      <c r="AB105" s="120">
        <v>0</v>
      </c>
      <c r="AC105" s="95">
        <v>0</v>
      </c>
      <c r="AD105" s="95">
        <v>0</v>
      </c>
      <c r="AE105" s="120">
        <v>0</v>
      </c>
      <c r="AF105" s="95">
        <v>20000000</v>
      </c>
      <c r="AG105" s="95">
        <v>0</v>
      </c>
      <c r="AH105" s="120">
        <v>0</v>
      </c>
      <c r="AI105" s="120">
        <v>0</v>
      </c>
      <c r="AJ105" s="84">
        <v>0</v>
      </c>
      <c r="AK105" s="84">
        <v>0</v>
      </c>
      <c r="AL105" s="84">
        <v>0</v>
      </c>
      <c r="AM105" s="84">
        <v>0</v>
      </c>
      <c r="AN105" s="121">
        <v>0</v>
      </c>
      <c r="AO105" s="84">
        <v>0</v>
      </c>
      <c r="AP105" s="95">
        <v>20000000</v>
      </c>
      <c r="AQ105" s="84">
        <v>0</v>
      </c>
      <c r="AS105" s="118">
        <f t="shared" si="42"/>
        <v>0</v>
      </c>
    </row>
    <row r="106" spans="1:45" s="100" customFormat="1" x14ac:dyDescent="0.25">
      <c r="A106" s="109">
        <v>21213</v>
      </c>
      <c r="B106" s="110" t="s">
        <v>42</v>
      </c>
      <c r="C106" s="111">
        <f>+C107</f>
        <v>20000000</v>
      </c>
      <c r="D106" s="111">
        <v>0</v>
      </c>
      <c r="E106" s="111">
        <v>20000000</v>
      </c>
      <c r="F106" s="111">
        <v>0</v>
      </c>
      <c r="G106" s="111">
        <f t="shared" si="43"/>
        <v>0</v>
      </c>
      <c r="H106" s="111">
        <v>0</v>
      </c>
      <c r="I106" s="111">
        <v>0</v>
      </c>
      <c r="J106" s="111">
        <f t="shared" si="37"/>
        <v>0</v>
      </c>
      <c r="K106" s="111">
        <v>0</v>
      </c>
      <c r="L106" s="111">
        <v>0</v>
      </c>
      <c r="M106" s="111">
        <f t="shared" si="38"/>
        <v>0</v>
      </c>
      <c r="N106" s="111">
        <v>0</v>
      </c>
      <c r="O106" s="111">
        <f t="shared" si="39"/>
        <v>0</v>
      </c>
      <c r="P106" s="111">
        <f t="shared" si="40"/>
        <v>0</v>
      </c>
      <c r="Q106" s="111">
        <f t="shared" si="41"/>
        <v>0</v>
      </c>
      <c r="S106" s="101">
        <v>21213</v>
      </c>
      <c r="T106" s="116" t="s">
        <v>42</v>
      </c>
      <c r="U106" s="102">
        <v>20000000</v>
      </c>
      <c r="V106" s="102">
        <v>0</v>
      </c>
      <c r="W106" s="102">
        <v>20000000</v>
      </c>
      <c r="X106" s="102">
        <v>0</v>
      </c>
      <c r="Y106" s="102">
        <v>0</v>
      </c>
      <c r="Z106" s="102">
        <v>0</v>
      </c>
      <c r="AA106" s="102">
        <v>0</v>
      </c>
      <c r="AB106" s="119">
        <v>0</v>
      </c>
      <c r="AC106" s="102">
        <v>0</v>
      </c>
      <c r="AD106" s="102">
        <v>0</v>
      </c>
      <c r="AE106" s="119">
        <v>0</v>
      </c>
      <c r="AF106" s="102">
        <v>0</v>
      </c>
      <c r="AG106" s="102">
        <v>0</v>
      </c>
      <c r="AH106" s="119">
        <v>0</v>
      </c>
      <c r="AI106" s="119">
        <v>0</v>
      </c>
      <c r="AJ106" s="100">
        <v>0</v>
      </c>
      <c r="AK106" s="100">
        <v>20000000</v>
      </c>
      <c r="AL106" s="100">
        <v>0</v>
      </c>
      <c r="AM106" s="100">
        <v>20000000</v>
      </c>
      <c r="AN106" s="122">
        <v>0</v>
      </c>
      <c r="AO106" s="100">
        <v>0</v>
      </c>
      <c r="AP106" s="102">
        <v>0</v>
      </c>
      <c r="AQ106" s="100">
        <v>0</v>
      </c>
      <c r="AS106" s="118">
        <f t="shared" si="42"/>
        <v>0</v>
      </c>
    </row>
    <row r="107" spans="1:45" x14ac:dyDescent="0.25">
      <c r="A107" s="88">
        <v>212131</v>
      </c>
      <c r="B107" s="86" t="s">
        <v>553</v>
      </c>
      <c r="C107" s="91">
        <v>20000000</v>
      </c>
      <c r="D107" s="91">
        <v>0</v>
      </c>
      <c r="E107" s="91">
        <v>20000000</v>
      </c>
      <c r="F107" s="91">
        <v>0</v>
      </c>
      <c r="G107" s="91">
        <f t="shared" si="43"/>
        <v>0</v>
      </c>
      <c r="H107" s="91">
        <v>0</v>
      </c>
      <c r="I107" s="91">
        <v>0</v>
      </c>
      <c r="J107" s="91">
        <f t="shared" si="37"/>
        <v>0</v>
      </c>
      <c r="K107" s="91">
        <v>0</v>
      </c>
      <c r="L107" s="91">
        <v>0</v>
      </c>
      <c r="M107" s="91">
        <f t="shared" si="38"/>
        <v>0</v>
      </c>
      <c r="N107" s="91">
        <v>0</v>
      </c>
      <c r="O107" s="91">
        <f t="shared" si="39"/>
        <v>0</v>
      </c>
      <c r="P107" s="91">
        <f t="shared" si="40"/>
        <v>0</v>
      </c>
      <c r="Q107" s="91">
        <f t="shared" si="41"/>
        <v>0</v>
      </c>
      <c r="S107" s="96">
        <v>212131</v>
      </c>
      <c r="T107" s="117" t="s">
        <v>713</v>
      </c>
      <c r="U107" s="95">
        <v>20000000</v>
      </c>
      <c r="V107" s="95">
        <v>0</v>
      </c>
      <c r="W107" s="95">
        <v>20000000</v>
      </c>
      <c r="X107" s="95">
        <v>0</v>
      </c>
      <c r="Y107" s="95">
        <v>0</v>
      </c>
      <c r="Z107" s="95">
        <v>0</v>
      </c>
      <c r="AA107" s="95">
        <v>0</v>
      </c>
      <c r="AB107" s="120">
        <v>0</v>
      </c>
      <c r="AC107" s="95">
        <v>0</v>
      </c>
      <c r="AD107" s="95">
        <v>0</v>
      </c>
      <c r="AE107" s="120">
        <v>0</v>
      </c>
      <c r="AF107" s="95">
        <v>0</v>
      </c>
      <c r="AG107" s="95">
        <v>0</v>
      </c>
      <c r="AH107" s="120">
        <v>0</v>
      </c>
      <c r="AI107" s="120">
        <v>0</v>
      </c>
      <c r="AJ107" s="84">
        <v>0</v>
      </c>
      <c r="AK107" s="84">
        <v>20000000</v>
      </c>
      <c r="AL107" s="84">
        <v>0</v>
      </c>
      <c r="AM107" s="84">
        <v>20000000</v>
      </c>
      <c r="AN107" s="121">
        <v>0</v>
      </c>
      <c r="AO107" s="84">
        <v>0</v>
      </c>
      <c r="AP107" s="95">
        <v>0</v>
      </c>
      <c r="AQ107" s="84">
        <v>0</v>
      </c>
      <c r="AS107" s="118">
        <f t="shared" si="42"/>
        <v>0</v>
      </c>
    </row>
    <row r="108" spans="1:45" s="100" customFormat="1" x14ac:dyDescent="0.25">
      <c r="A108" s="106">
        <v>2122</v>
      </c>
      <c r="B108" s="107" t="s">
        <v>43</v>
      </c>
      <c r="C108" s="108">
        <f>+C109+C162</f>
        <v>8203837425</v>
      </c>
      <c r="D108" s="108">
        <f t="shared" ref="D108:Q108" si="44">+D109+D162</f>
        <v>2127713991</v>
      </c>
      <c r="E108" s="108">
        <f t="shared" si="44"/>
        <v>569712351</v>
      </c>
      <c r="F108" s="108">
        <f t="shared" si="44"/>
        <v>1130467941</v>
      </c>
      <c r="G108" s="108">
        <f t="shared" si="44"/>
        <v>10892307006</v>
      </c>
      <c r="H108" s="108">
        <v>1135709841.5</v>
      </c>
      <c r="I108" s="108">
        <v>4665410577.8700008</v>
      </c>
      <c r="J108" s="108">
        <f t="shared" si="44"/>
        <v>5877928487.1300001</v>
      </c>
      <c r="K108" s="108">
        <v>691808301.35000002</v>
      </c>
      <c r="L108" s="108">
        <v>1495822038.3699999</v>
      </c>
      <c r="M108" s="108">
        <f t="shared" si="44"/>
        <v>3169588539.5</v>
      </c>
      <c r="N108" s="108">
        <v>7683601313.21</v>
      </c>
      <c r="O108" s="108">
        <f t="shared" si="44"/>
        <v>2824190735.3400002</v>
      </c>
      <c r="P108" s="108">
        <f t="shared" si="44"/>
        <v>3053737751.79</v>
      </c>
      <c r="Q108" s="108">
        <f t="shared" si="44"/>
        <v>1495822038.3699999</v>
      </c>
      <c r="S108" s="101">
        <v>2122</v>
      </c>
      <c r="T108" s="116" t="s">
        <v>43</v>
      </c>
      <c r="U108" s="102">
        <v>8203837425</v>
      </c>
      <c r="V108" s="102">
        <v>2127713991</v>
      </c>
      <c r="W108" s="102">
        <v>569712351</v>
      </c>
      <c r="X108" s="102">
        <v>1130467941</v>
      </c>
      <c r="Y108" s="102">
        <v>10892307006</v>
      </c>
      <c r="Z108" s="102">
        <v>671478846</v>
      </c>
      <c r="AA108" s="102">
        <v>5515951</v>
      </c>
      <c r="AB108" s="119">
        <v>1135709841.5</v>
      </c>
      <c r="AC108" s="102">
        <v>1130193890.5</v>
      </c>
      <c r="AD108" s="102">
        <v>5336889423.8700008</v>
      </c>
      <c r="AE108" s="119">
        <v>4665410577.8700008</v>
      </c>
      <c r="AF108" s="102">
        <v>6226896428.1299992</v>
      </c>
      <c r="AG108" s="102">
        <v>297553177</v>
      </c>
      <c r="AH108" s="119">
        <v>691808301.35000002</v>
      </c>
      <c r="AI108" s="119">
        <v>1495822038.3699999</v>
      </c>
      <c r="AJ108" s="100">
        <v>3467141716.500001</v>
      </c>
      <c r="AK108" s="100">
        <v>257761779</v>
      </c>
      <c r="AL108" s="100">
        <v>1649171716.3899999</v>
      </c>
      <c r="AM108" s="100">
        <v>7941363092.21</v>
      </c>
      <c r="AN108" s="122">
        <v>7683601313.21</v>
      </c>
      <c r="AO108" s="100">
        <v>3018190735.3399992</v>
      </c>
      <c r="AP108" s="102">
        <v>3208705692.79</v>
      </c>
      <c r="AQ108" s="100">
        <v>0</v>
      </c>
      <c r="AS108" s="118">
        <f t="shared" si="42"/>
        <v>0</v>
      </c>
    </row>
    <row r="109" spans="1:45" s="100" customFormat="1" x14ac:dyDescent="0.25">
      <c r="A109" s="106">
        <v>21221</v>
      </c>
      <c r="B109" s="107" t="s">
        <v>44</v>
      </c>
      <c r="C109" s="108">
        <f>+C110+C126+C130+C137</f>
        <v>2086537425</v>
      </c>
      <c r="D109" s="108">
        <f t="shared" ref="D109:Q109" si="45">+D110+D126+D130+D137</f>
        <v>146200000</v>
      </c>
      <c r="E109" s="108">
        <f t="shared" si="45"/>
        <v>200400000</v>
      </c>
      <c r="F109" s="108">
        <f t="shared" si="45"/>
        <v>150000000</v>
      </c>
      <c r="G109" s="108">
        <f t="shared" si="45"/>
        <v>2182337425</v>
      </c>
      <c r="H109" s="108">
        <v>161458645</v>
      </c>
      <c r="I109" s="108">
        <v>478731817</v>
      </c>
      <c r="J109" s="108">
        <f t="shared" si="45"/>
        <v>1703605608</v>
      </c>
      <c r="K109" s="108">
        <v>103839768</v>
      </c>
      <c r="L109" s="108">
        <v>412260174</v>
      </c>
      <c r="M109" s="108">
        <f t="shared" si="45"/>
        <v>66471643</v>
      </c>
      <c r="N109" s="108">
        <v>902259893</v>
      </c>
      <c r="O109" s="108">
        <f t="shared" si="45"/>
        <v>423528076</v>
      </c>
      <c r="P109" s="108">
        <f t="shared" si="45"/>
        <v>1280077532</v>
      </c>
      <c r="Q109" s="108">
        <f t="shared" si="45"/>
        <v>412260174</v>
      </c>
      <c r="S109" s="101">
        <v>21221</v>
      </c>
      <c r="T109" s="116" t="s">
        <v>44</v>
      </c>
      <c r="U109" s="102">
        <v>2086537425</v>
      </c>
      <c r="V109" s="102">
        <v>146200000</v>
      </c>
      <c r="W109" s="102">
        <v>200400000</v>
      </c>
      <c r="X109" s="102">
        <v>150000000</v>
      </c>
      <c r="Y109" s="102">
        <v>2182337425</v>
      </c>
      <c r="Z109" s="102">
        <v>37418017</v>
      </c>
      <c r="AA109" s="102">
        <v>0</v>
      </c>
      <c r="AB109" s="119">
        <v>161458645</v>
      </c>
      <c r="AC109" s="102">
        <v>161458645</v>
      </c>
      <c r="AD109" s="102">
        <v>516149834</v>
      </c>
      <c r="AE109" s="119">
        <v>478731817</v>
      </c>
      <c r="AF109" s="102">
        <v>1703605608</v>
      </c>
      <c r="AG109" s="102">
        <v>37418017</v>
      </c>
      <c r="AH109" s="119">
        <v>103839768</v>
      </c>
      <c r="AI109" s="119">
        <v>412260174</v>
      </c>
      <c r="AJ109" s="100">
        <v>103889660</v>
      </c>
      <c r="AK109" s="100">
        <v>200400000</v>
      </c>
      <c r="AL109" s="100">
        <v>210551513</v>
      </c>
      <c r="AM109" s="100">
        <v>1102659893</v>
      </c>
      <c r="AN109" s="122">
        <v>902259893</v>
      </c>
      <c r="AO109" s="100">
        <v>423528076</v>
      </c>
      <c r="AP109" s="102">
        <v>1280077532</v>
      </c>
      <c r="AQ109" s="100">
        <v>0</v>
      </c>
      <c r="AS109" s="118">
        <f t="shared" si="42"/>
        <v>0</v>
      </c>
    </row>
    <row r="110" spans="1:45" s="100" customFormat="1" x14ac:dyDescent="0.25">
      <c r="A110" s="106">
        <v>212210</v>
      </c>
      <c r="B110" s="107" t="s">
        <v>45</v>
      </c>
      <c r="C110" s="108">
        <f>+C111</f>
        <v>285400000</v>
      </c>
      <c r="D110" s="108">
        <f t="shared" ref="D110:Q110" si="46">+D111</f>
        <v>0</v>
      </c>
      <c r="E110" s="108">
        <f t="shared" si="46"/>
        <v>200400000</v>
      </c>
      <c r="F110" s="108">
        <f t="shared" si="46"/>
        <v>10000000</v>
      </c>
      <c r="G110" s="108">
        <f t="shared" si="46"/>
        <v>95000000</v>
      </c>
      <c r="H110" s="108">
        <v>0</v>
      </c>
      <c r="I110" s="108">
        <v>39997885</v>
      </c>
      <c r="J110" s="108">
        <f t="shared" si="46"/>
        <v>55002115</v>
      </c>
      <c r="K110" s="108">
        <v>7422299</v>
      </c>
      <c r="L110" s="108">
        <v>39997885</v>
      </c>
      <c r="M110" s="108">
        <f t="shared" si="46"/>
        <v>0</v>
      </c>
      <c r="N110" s="108">
        <v>95000000</v>
      </c>
      <c r="O110" s="108">
        <f t="shared" si="46"/>
        <v>55002115</v>
      </c>
      <c r="P110" s="108">
        <f t="shared" si="46"/>
        <v>0</v>
      </c>
      <c r="Q110" s="108">
        <f t="shared" si="46"/>
        <v>39997885</v>
      </c>
      <c r="S110" s="101">
        <v>212210</v>
      </c>
      <c r="T110" s="116" t="s">
        <v>45</v>
      </c>
      <c r="U110" s="102">
        <v>285400000</v>
      </c>
      <c r="V110" s="102">
        <v>0</v>
      </c>
      <c r="W110" s="102">
        <v>200400000</v>
      </c>
      <c r="X110" s="102">
        <v>10000000</v>
      </c>
      <c r="Y110" s="102">
        <v>95000000</v>
      </c>
      <c r="Z110" s="102">
        <v>0</v>
      </c>
      <c r="AA110" s="102">
        <v>0</v>
      </c>
      <c r="AB110" s="119">
        <v>0</v>
      </c>
      <c r="AC110" s="102">
        <v>0</v>
      </c>
      <c r="AD110" s="102">
        <v>39997885</v>
      </c>
      <c r="AE110" s="119">
        <v>39997885</v>
      </c>
      <c r="AF110" s="102">
        <v>55002115</v>
      </c>
      <c r="AG110" s="102">
        <v>0</v>
      </c>
      <c r="AH110" s="119">
        <v>7422299</v>
      </c>
      <c r="AI110" s="119">
        <v>39997885</v>
      </c>
      <c r="AJ110" s="100">
        <v>0</v>
      </c>
      <c r="AK110" s="100">
        <v>200400000</v>
      </c>
      <c r="AL110" s="100">
        <v>0</v>
      </c>
      <c r="AM110" s="100">
        <v>295400000</v>
      </c>
      <c r="AN110" s="122">
        <v>95000000</v>
      </c>
      <c r="AO110" s="100">
        <v>55002115</v>
      </c>
      <c r="AP110" s="102">
        <v>0</v>
      </c>
      <c r="AQ110" s="100">
        <v>0</v>
      </c>
      <c r="AS110" s="118">
        <f t="shared" si="42"/>
        <v>0</v>
      </c>
    </row>
    <row r="111" spans="1:45" s="100" customFormat="1" x14ac:dyDescent="0.25">
      <c r="A111" s="109">
        <v>2122101</v>
      </c>
      <c r="B111" s="110" t="s">
        <v>46</v>
      </c>
      <c r="C111" s="111">
        <f>SUM(C112:C117)</f>
        <v>285400000</v>
      </c>
      <c r="D111" s="111">
        <f t="shared" ref="D111:Q111" si="47">SUM(D112:D117)</f>
        <v>0</v>
      </c>
      <c r="E111" s="111">
        <f t="shared" si="47"/>
        <v>200400000</v>
      </c>
      <c r="F111" s="111">
        <f t="shared" si="47"/>
        <v>10000000</v>
      </c>
      <c r="G111" s="111">
        <f t="shared" si="47"/>
        <v>95000000</v>
      </c>
      <c r="H111" s="111">
        <v>0</v>
      </c>
      <c r="I111" s="111">
        <v>39997885</v>
      </c>
      <c r="J111" s="111">
        <f t="shared" si="47"/>
        <v>55002115</v>
      </c>
      <c r="K111" s="111">
        <v>7422299</v>
      </c>
      <c r="L111" s="111">
        <v>39997885</v>
      </c>
      <c r="M111" s="111">
        <f t="shared" si="47"/>
        <v>0</v>
      </c>
      <c r="N111" s="111">
        <v>95000000</v>
      </c>
      <c r="O111" s="111">
        <f t="shared" si="47"/>
        <v>55002115</v>
      </c>
      <c r="P111" s="111">
        <f t="shared" si="47"/>
        <v>0</v>
      </c>
      <c r="Q111" s="111">
        <f t="shared" si="47"/>
        <v>39997885</v>
      </c>
      <c r="S111" s="101">
        <v>2122101</v>
      </c>
      <c r="T111" s="116" t="s">
        <v>46</v>
      </c>
      <c r="U111" s="102">
        <v>285400000</v>
      </c>
      <c r="V111" s="102">
        <v>0</v>
      </c>
      <c r="W111" s="102">
        <v>200400000</v>
      </c>
      <c r="X111" s="102">
        <v>10000000</v>
      </c>
      <c r="Y111" s="102">
        <v>95000000</v>
      </c>
      <c r="Z111" s="102">
        <v>0</v>
      </c>
      <c r="AA111" s="102">
        <v>0</v>
      </c>
      <c r="AB111" s="119">
        <v>0</v>
      </c>
      <c r="AC111" s="102">
        <v>0</v>
      </c>
      <c r="AD111" s="102">
        <v>39997885</v>
      </c>
      <c r="AE111" s="119">
        <v>39997885</v>
      </c>
      <c r="AF111" s="102">
        <v>55002115</v>
      </c>
      <c r="AG111" s="102">
        <v>0</v>
      </c>
      <c r="AH111" s="119">
        <v>7422299</v>
      </c>
      <c r="AI111" s="119">
        <v>39997885</v>
      </c>
      <c r="AJ111" s="100">
        <v>0</v>
      </c>
      <c r="AK111" s="100">
        <v>200400000</v>
      </c>
      <c r="AL111" s="100">
        <v>0</v>
      </c>
      <c r="AM111" s="100">
        <v>295400000</v>
      </c>
      <c r="AN111" s="122">
        <v>95000000</v>
      </c>
      <c r="AO111" s="100">
        <v>55002115</v>
      </c>
      <c r="AP111" s="102">
        <v>0</v>
      </c>
      <c r="AQ111" s="100">
        <v>0</v>
      </c>
      <c r="AS111" s="118">
        <f t="shared" si="42"/>
        <v>0</v>
      </c>
    </row>
    <row r="112" spans="1:45" x14ac:dyDescent="0.25">
      <c r="A112" s="88">
        <v>21221011</v>
      </c>
      <c r="B112" s="86" t="s">
        <v>554</v>
      </c>
      <c r="C112" s="91">
        <v>130000000</v>
      </c>
      <c r="D112" s="91">
        <v>0</v>
      </c>
      <c r="E112" s="91">
        <v>60000000</v>
      </c>
      <c r="F112" s="91">
        <v>0</v>
      </c>
      <c r="G112" s="91">
        <f t="shared" si="43"/>
        <v>70000000</v>
      </c>
      <c r="H112" s="91">
        <v>0</v>
      </c>
      <c r="I112" s="91">
        <v>39997885</v>
      </c>
      <c r="J112" s="91">
        <f t="shared" si="37"/>
        <v>30002115</v>
      </c>
      <c r="K112" s="91">
        <v>7422299</v>
      </c>
      <c r="L112" s="91">
        <v>39997885</v>
      </c>
      <c r="M112" s="91">
        <f t="shared" si="38"/>
        <v>0</v>
      </c>
      <c r="N112" s="91">
        <v>70000000</v>
      </c>
      <c r="O112" s="91">
        <f t="shared" si="39"/>
        <v>30002115</v>
      </c>
      <c r="P112" s="91">
        <f t="shared" si="40"/>
        <v>0</v>
      </c>
      <c r="Q112" s="91">
        <f t="shared" si="41"/>
        <v>39997885</v>
      </c>
      <c r="S112" s="96">
        <v>21221011</v>
      </c>
      <c r="T112" s="117" t="s">
        <v>47</v>
      </c>
      <c r="U112" s="95">
        <v>130000000</v>
      </c>
      <c r="V112" s="95">
        <v>0</v>
      </c>
      <c r="W112" s="95">
        <v>60000000</v>
      </c>
      <c r="X112" s="95">
        <v>0</v>
      </c>
      <c r="Y112" s="95">
        <v>70000000</v>
      </c>
      <c r="Z112" s="95">
        <v>0</v>
      </c>
      <c r="AA112" s="95">
        <v>0</v>
      </c>
      <c r="AB112" s="120">
        <v>0</v>
      </c>
      <c r="AC112" s="95">
        <v>0</v>
      </c>
      <c r="AD112" s="95">
        <v>39997885</v>
      </c>
      <c r="AE112" s="120">
        <v>39997885</v>
      </c>
      <c r="AF112" s="95">
        <v>30002115</v>
      </c>
      <c r="AG112" s="95">
        <v>0</v>
      </c>
      <c r="AH112" s="120">
        <v>7422299</v>
      </c>
      <c r="AI112" s="120">
        <v>39997885</v>
      </c>
      <c r="AJ112" s="84">
        <v>0</v>
      </c>
      <c r="AK112" s="84">
        <v>60000000</v>
      </c>
      <c r="AL112" s="84">
        <v>0</v>
      </c>
      <c r="AM112" s="84">
        <v>130000000</v>
      </c>
      <c r="AN112" s="121">
        <v>70000000</v>
      </c>
      <c r="AO112" s="84">
        <v>30002115</v>
      </c>
      <c r="AP112" s="95">
        <v>0</v>
      </c>
      <c r="AQ112" s="84">
        <v>0</v>
      </c>
      <c r="AS112" s="118">
        <f t="shared" si="42"/>
        <v>0</v>
      </c>
    </row>
    <row r="113" spans="1:45" x14ac:dyDescent="0.25">
      <c r="A113" s="88">
        <v>21221012</v>
      </c>
      <c r="B113" s="86" t="s">
        <v>555</v>
      </c>
      <c r="C113" s="91">
        <v>200000</v>
      </c>
      <c r="D113" s="91">
        <v>0</v>
      </c>
      <c r="E113" s="91">
        <v>200000</v>
      </c>
      <c r="F113" s="91">
        <v>0</v>
      </c>
      <c r="G113" s="91">
        <f t="shared" si="43"/>
        <v>0</v>
      </c>
      <c r="H113" s="91">
        <v>0</v>
      </c>
      <c r="I113" s="91">
        <v>0</v>
      </c>
      <c r="J113" s="91">
        <f t="shared" si="37"/>
        <v>0</v>
      </c>
      <c r="K113" s="91">
        <v>0</v>
      </c>
      <c r="L113" s="91">
        <v>0</v>
      </c>
      <c r="M113" s="91">
        <f t="shared" si="38"/>
        <v>0</v>
      </c>
      <c r="N113" s="91">
        <v>0</v>
      </c>
      <c r="O113" s="91">
        <f t="shared" si="39"/>
        <v>0</v>
      </c>
      <c r="P113" s="91">
        <f t="shared" si="40"/>
        <v>0</v>
      </c>
      <c r="Q113" s="91">
        <f t="shared" si="41"/>
        <v>0</v>
      </c>
      <c r="S113" s="96">
        <v>21221012</v>
      </c>
      <c r="T113" s="117" t="s">
        <v>48</v>
      </c>
      <c r="U113" s="95">
        <v>200000</v>
      </c>
      <c r="V113" s="95">
        <v>0</v>
      </c>
      <c r="W113" s="95">
        <v>200000</v>
      </c>
      <c r="X113" s="95">
        <v>0</v>
      </c>
      <c r="Y113" s="95">
        <v>0</v>
      </c>
      <c r="Z113" s="95">
        <v>0</v>
      </c>
      <c r="AA113" s="95">
        <v>0</v>
      </c>
      <c r="AB113" s="120">
        <v>0</v>
      </c>
      <c r="AC113" s="95">
        <v>0</v>
      </c>
      <c r="AD113" s="95">
        <v>0</v>
      </c>
      <c r="AE113" s="120">
        <v>0</v>
      </c>
      <c r="AF113" s="95">
        <v>0</v>
      </c>
      <c r="AG113" s="95">
        <v>0</v>
      </c>
      <c r="AH113" s="120">
        <v>0</v>
      </c>
      <c r="AI113" s="120">
        <v>0</v>
      </c>
      <c r="AJ113" s="84">
        <v>0</v>
      </c>
      <c r="AK113" s="84">
        <v>200000</v>
      </c>
      <c r="AL113" s="84">
        <v>0</v>
      </c>
      <c r="AM113" s="84">
        <v>200000</v>
      </c>
      <c r="AN113" s="121">
        <v>0</v>
      </c>
      <c r="AO113" s="84">
        <v>0</v>
      </c>
      <c r="AP113" s="95">
        <v>0</v>
      </c>
      <c r="AQ113" s="84">
        <v>0</v>
      </c>
      <c r="AS113" s="118">
        <f t="shared" si="42"/>
        <v>0</v>
      </c>
    </row>
    <row r="114" spans="1:45" x14ac:dyDescent="0.25">
      <c r="A114" s="88">
        <v>21221013</v>
      </c>
      <c r="B114" s="86" t="s">
        <v>556</v>
      </c>
      <c r="C114" s="91">
        <v>200000</v>
      </c>
      <c r="D114" s="91">
        <v>0</v>
      </c>
      <c r="E114" s="91">
        <v>200000</v>
      </c>
      <c r="F114" s="91">
        <v>0</v>
      </c>
      <c r="G114" s="91">
        <f t="shared" si="43"/>
        <v>0</v>
      </c>
      <c r="H114" s="91">
        <v>0</v>
      </c>
      <c r="I114" s="91">
        <v>0</v>
      </c>
      <c r="J114" s="91">
        <f t="shared" si="37"/>
        <v>0</v>
      </c>
      <c r="K114" s="91">
        <v>0</v>
      </c>
      <c r="L114" s="91">
        <v>0</v>
      </c>
      <c r="M114" s="91">
        <f t="shared" si="38"/>
        <v>0</v>
      </c>
      <c r="N114" s="91">
        <v>0</v>
      </c>
      <c r="O114" s="91">
        <f t="shared" si="39"/>
        <v>0</v>
      </c>
      <c r="P114" s="91">
        <f t="shared" si="40"/>
        <v>0</v>
      </c>
      <c r="Q114" s="91">
        <f t="shared" si="41"/>
        <v>0</v>
      </c>
      <c r="S114" s="96">
        <v>21221013</v>
      </c>
      <c r="T114" s="117" t="s">
        <v>49</v>
      </c>
      <c r="U114" s="95">
        <v>200000</v>
      </c>
      <c r="V114" s="95">
        <v>0</v>
      </c>
      <c r="W114" s="95">
        <v>200000</v>
      </c>
      <c r="X114" s="95">
        <v>0</v>
      </c>
      <c r="Y114" s="95">
        <v>0</v>
      </c>
      <c r="Z114" s="95">
        <v>0</v>
      </c>
      <c r="AA114" s="95">
        <v>0</v>
      </c>
      <c r="AB114" s="120">
        <v>0</v>
      </c>
      <c r="AC114" s="95">
        <v>0</v>
      </c>
      <c r="AD114" s="95">
        <v>0</v>
      </c>
      <c r="AE114" s="120">
        <v>0</v>
      </c>
      <c r="AF114" s="95">
        <v>0</v>
      </c>
      <c r="AG114" s="95">
        <v>0</v>
      </c>
      <c r="AH114" s="120">
        <v>0</v>
      </c>
      <c r="AI114" s="120">
        <v>0</v>
      </c>
      <c r="AJ114" s="84">
        <v>0</v>
      </c>
      <c r="AK114" s="84">
        <v>200000</v>
      </c>
      <c r="AL114" s="84">
        <v>0</v>
      </c>
      <c r="AM114" s="84">
        <v>200000</v>
      </c>
      <c r="AN114" s="121">
        <v>0</v>
      </c>
      <c r="AO114" s="84">
        <v>0</v>
      </c>
      <c r="AP114" s="95">
        <v>0</v>
      </c>
      <c r="AQ114" s="84">
        <v>0</v>
      </c>
      <c r="AS114" s="118">
        <f t="shared" si="42"/>
        <v>0</v>
      </c>
    </row>
    <row r="115" spans="1:45" x14ac:dyDescent="0.25">
      <c r="A115" s="88">
        <v>21221014</v>
      </c>
      <c r="B115" s="86" t="s">
        <v>50</v>
      </c>
      <c r="C115" s="91">
        <v>7000000</v>
      </c>
      <c r="D115" s="91">
        <v>0</v>
      </c>
      <c r="E115" s="91">
        <v>0</v>
      </c>
      <c r="F115" s="91">
        <v>0</v>
      </c>
      <c r="G115" s="91">
        <f t="shared" si="43"/>
        <v>7000000</v>
      </c>
      <c r="H115" s="91">
        <v>0</v>
      </c>
      <c r="I115" s="91">
        <v>0</v>
      </c>
      <c r="J115" s="91">
        <f t="shared" si="37"/>
        <v>7000000</v>
      </c>
      <c r="K115" s="91">
        <v>0</v>
      </c>
      <c r="L115" s="91">
        <v>0</v>
      </c>
      <c r="M115" s="91">
        <f t="shared" si="38"/>
        <v>0</v>
      </c>
      <c r="N115" s="91">
        <v>7000000</v>
      </c>
      <c r="O115" s="91">
        <f t="shared" si="39"/>
        <v>7000000</v>
      </c>
      <c r="P115" s="91">
        <f t="shared" si="40"/>
        <v>0</v>
      </c>
      <c r="Q115" s="91">
        <f t="shared" si="41"/>
        <v>0</v>
      </c>
      <c r="S115" s="96">
        <v>21221014</v>
      </c>
      <c r="T115" s="117" t="s">
        <v>50</v>
      </c>
      <c r="U115" s="95">
        <v>7000000</v>
      </c>
      <c r="V115" s="95">
        <v>0</v>
      </c>
      <c r="W115" s="95">
        <v>0</v>
      </c>
      <c r="X115" s="95">
        <v>0</v>
      </c>
      <c r="Y115" s="95">
        <v>7000000</v>
      </c>
      <c r="Z115" s="95">
        <v>0</v>
      </c>
      <c r="AA115" s="95">
        <v>0</v>
      </c>
      <c r="AB115" s="120">
        <v>0</v>
      </c>
      <c r="AC115" s="95">
        <v>0</v>
      </c>
      <c r="AD115" s="95">
        <v>0</v>
      </c>
      <c r="AE115" s="120">
        <v>0</v>
      </c>
      <c r="AF115" s="95">
        <v>7000000</v>
      </c>
      <c r="AG115" s="95">
        <v>0</v>
      </c>
      <c r="AH115" s="120">
        <v>0</v>
      </c>
      <c r="AI115" s="120">
        <v>0</v>
      </c>
      <c r="AJ115" s="84">
        <v>0</v>
      </c>
      <c r="AK115" s="84">
        <v>0</v>
      </c>
      <c r="AL115" s="84">
        <v>0</v>
      </c>
      <c r="AM115" s="84">
        <v>7000000</v>
      </c>
      <c r="AN115" s="121">
        <v>7000000</v>
      </c>
      <c r="AO115" s="84">
        <v>7000000</v>
      </c>
      <c r="AP115" s="95">
        <v>0</v>
      </c>
      <c r="AQ115" s="84">
        <v>0</v>
      </c>
      <c r="AS115" s="118">
        <f t="shared" si="42"/>
        <v>0</v>
      </c>
    </row>
    <row r="116" spans="1:45" ht="30" x14ac:dyDescent="0.25">
      <c r="A116" s="88">
        <v>21221015</v>
      </c>
      <c r="B116" s="86" t="s">
        <v>637</v>
      </c>
      <c r="C116" s="91">
        <v>1200000</v>
      </c>
      <c r="D116" s="91">
        <v>0</v>
      </c>
      <c r="E116" s="91">
        <v>1200000</v>
      </c>
      <c r="F116" s="91">
        <v>10000000</v>
      </c>
      <c r="G116" s="91">
        <f t="shared" si="43"/>
        <v>10000000</v>
      </c>
      <c r="H116" s="91">
        <v>0</v>
      </c>
      <c r="I116" s="91">
        <v>0</v>
      </c>
      <c r="J116" s="91">
        <f t="shared" si="37"/>
        <v>10000000</v>
      </c>
      <c r="K116" s="91">
        <v>0</v>
      </c>
      <c r="L116" s="91">
        <v>0</v>
      </c>
      <c r="M116" s="91">
        <f t="shared" si="38"/>
        <v>0</v>
      </c>
      <c r="N116" s="91">
        <v>10000000</v>
      </c>
      <c r="O116" s="91">
        <f t="shared" si="39"/>
        <v>10000000</v>
      </c>
      <c r="P116" s="91">
        <f t="shared" si="40"/>
        <v>0</v>
      </c>
      <c r="Q116" s="91">
        <f t="shared" si="41"/>
        <v>0</v>
      </c>
      <c r="S116" s="96">
        <v>21221015</v>
      </c>
      <c r="T116" s="117" t="s">
        <v>51</v>
      </c>
      <c r="U116" s="95">
        <v>1200000</v>
      </c>
      <c r="V116" s="95">
        <v>0</v>
      </c>
      <c r="W116" s="95">
        <v>1200000</v>
      </c>
      <c r="X116" s="95">
        <v>10000000</v>
      </c>
      <c r="Y116" s="95">
        <v>10000000</v>
      </c>
      <c r="Z116" s="95">
        <v>0</v>
      </c>
      <c r="AA116" s="95">
        <v>0</v>
      </c>
      <c r="AB116" s="120">
        <v>0</v>
      </c>
      <c r="AC116" s="95">
        <v>0</v>
      </c>
      <c r="AD116" s="95">
        <v>0</v>
      </c>
      <c r="AE116" s="120">
        <v>0</v>
      </c>
      <c r="AF116" s="95">
        <v>10000000</v>
      </c>
      <c r="AG116" s="95">
        <v>0</v>
      </c>
      <c r="AH116" s="120">
        <v>0</v>
      </c>
      <c r="AI116" s="120">
        <v>0</v>
      </c>
      <c r="AJ116" s="84">
        <v>0</v>
      </c>
      <c r="AK116" s="84">
        <v>1200000</v>
      </c>
      <c r="AL116" s="84">
        <v>0</v>
      </c>
      <c r="AM116" s="84">
        <v>11200000</v>
      </c>
      <c r="AN116" s="121">
        <v>10000000</v>
      </c>
      <c r="AO116" s="84">
        <v>10000000</v>
      </c>
      <c r="AP116" s="95">
        <v>0</v>
      </c>
      <c r="AQ116" s="84">
        <v>0</v>
      </c>
      <c r="AS116" s="118">
        <f t="shared" si="42"/>
        <v>0</v>
      </c>
    </row>
    <row r="117" spans="1:45" s="100" customFormat="1" x14ac:dyDescent="0.25">
      <c r="A117" s="109">
        <v>21221016</v>
      </c>
      <c r="B117" s="110" t="s">
        <v>52</v>
      </c>
      <c r="C117" s="111">
        <f>SUM(C118:C125)</f>
        <v>146800000</v>
      </c>
      <c r="D117" s="111">
        <v>0</v>
      </c>
      <c r="E117" s="111">
        <v>138800000</v>
      </c>
      <c r="F117" s="111">
        <v>0</v>
      </c>
      <c r="G117" s="111">
        <f t="shared" si="43"/>
        <v>8000000</v>
      </c>
      <c r="H117" s="111">
        <v>0</v>
      </c>
      <c r="I117" s="111">
        <v>0</v>
      </c>
      <c r="J117" s="111">
        <f t="shared" si="37"/>
        <v>8000000</v>
      </c>
      <c r="K117" s="111">
        <v>0</v>
      </c>
      <c r="L117" s="111">
        <v>0</v>
      </c>
      <c r="M117" s="111">
        <f t="shared" si="38"/>
        <v>0</v>
      </c>
      <c r="N117" s="111">
        <v>8000000</v>
      </c>
      <c r="O117" s="111">
        <f t="shared" si="39"/>
        <v>8000000</v>
      </c>
      <c r="P117" s="111">
        <f t="shared" si="40"/>
        <v>0</v>
      </c>
      <c r="Q117" s="111">
        <f t="shared" si="41"/>
        <v>0</v>
      </c>
      <c r="S117" s="101">
        <v>21221016</v>
      </c>
      <c r="T117" s="116" t="s">
        <v>52</v>
      </c>
      <c r="U117" s="102">
        <v>146800000</v>
      </c>
      <c r="V117" s="102">
        <v>0</v>
      </c>
      <c r="W117" s="102">
        <v>138800000</v>
      </c>
      <c r="X117" s="102">
        <v>0</v>
      </c>
      <c r="Y117" s="102">
        <v>8000000</v>
      </c>
      <c r="Z117" s="102">
        <v>0</v>
      </c>
      <c r="AA117" s="102">
        <v>0</v>
      </c>
      <c r="AB117" s="119">
        <v>0</v>
      </c>
      <c r="AC117" s="102">
        <v>0</v>
      </c>
      <c r="AD117" s="102">
        <v>0</v>
      </c>
      <c r="AE117" s="119">
        <v>0</v>
      </c>
      <c r="AF117" s="102">
        <v>8000000</v>
      </c>
      <c r="AG117" s="102">
        <v>0</v>
      </c>
      <c r="AH117" s="119">
        <v>0</v>
      </c>
      <c r="AI117" s="119">
        <v>0</v>
      </c>
      <c r="AJ117" s="100">
        <v>0</v>
      </c>
      <c r="AK117" s="100">
        <v>138800000</v>
      </c>
      <c r="AL117" s="100">
        <v>0</v>
      </c>
      <c r="AM117" s="100">
        <v>146800000</v>
      </c>
      <c r="AN117" s="122">
        <v>8000000</v>
      </c>
      <c r="AO117" s="100">
        <v>8000000</v>
      </c>
      <c r="AP117" s="102">
        <v>0</v>
      </c>
      <c r="AQ117" s="100">
        <v>0</v>
      </c>
      <c r="AS117" s="118">
        <f t="shared" si="42"/>
        <v>0</v>
      </c>
    </row>
    <row r="118" spans="1:45" x14ac:dyDescent="0.25">
      <c r="A118" s="88">
        <v>212210161</v>
      </c>
      <c r="B118" s="86" t="s">
        <v>557</v>
      </c>
      <c r="C118" s="91">
        <v>50000000</v>
      </c>
      <c r="D118" s="91">
        <v>0</v>
      </c>
      <c r="E118" s="91">
        <v>42000000</v>
      </c>
      <c r="F118" s="91">
        <v>0</v>
      </c>
      <c r="G118" s="91">
        <f t="shared" si="43"/>
        <v>8000000</v>
      </c>
      <c r="H118" s="91">
        <v>0</v>
      </c>
      <c r="I118" s="91">
        <v>0</v>
      </c>
      <c r="J118" s="91">
        <f t="shared" si="37"/>
        <v>8000000</v>
      </c>
      <c r="K118" s="91">
        <v>0</v>
      </c>
      <c r="L118" s="91">
        <v>0</v>
      </c>
      <c r="M118" s="91">
        <f t="shared" si="38"/>
        <v>0</v>
      </c>
      <c r="N118" s="91">
        <v>8000000</v>
      </c>
      <c r="O118" s="91">
        <f t="shared" si="39"/>
        <v>8000000</v>
      </c>
      <c r="P118" s="91">
        <f t="shared" si="40"/>
        <v>0</v>
      </c>
      <c r="Q118" s="91">
        <f t="shared" si="41"/>
        <v>0</v>
      </c>
      <c r="S118" s="96">
        <v>212210161</v>
      </c>
      <c r="T118" s="117" t="s">
        <v>53</v>
      </c>
      <c r="U118" s="95">
        <v>50000000</v>
      </c>
      <c r="V118" s="95">
        <v>0</v>
      </c>
      <c r="W118" s="95">
        <v>42000000</v>
      </c>
      <c r="X118" s="95">
        <v>0</v>
      </c>
      <c r="Y118" s="95">
        <v>8000000</v>
      </c>
      <c r="Z118" s="95">
        <v>0</v>
      </c>
      <c r="AA118" s="95">
        <v>0</v>
      </c>
      <c r="AB118" s="120">
        <v>0</v>
      </c>
      <c r="AC118" s="95">
        <v>0</v>
      </c>
      <c r="AD118" s="95">
        <v>0</v>
      </c>
      <c r="AE118" s="120">
        <v>0</v>
      </c>
      <c r="AF118" s="95">
        <v>8000000</v>
      </c>
      <c r="AG118" s="95">
        <v>0</v>
      </c>
      <c r="AH118" s="120">
        <v>0</v>
      </c>
      <c r="AI118" s="120">
        <v>0</v>
      </c>
      <c r="AJ118" s="84">
        <v>0</v>
      </c>
      <c r="AK118" s="84">
        <v>42000000</v>
      </c>
      <c r="AL118" s="84">
        <v>0</v>
      </c>
      <c r="AM118" s="84">
        <v>50000000</v>
      </c>
      <c r="AN118" s="121">
        <v>8000000</v>
      </c>
      <c r="AO118" s="84">
        <v>8000000</v>
      </c>
      <c r="AP118" s="95">
        <v>0</v>
      </c>
      <c r="AQ118" s="84">
        <v>0</v>
      </c>
      <c r="AS118" s="118">
        <f t="shared" si="42"/>
        <v>0</v>
      </c>
    </row>
    <row r="119" spans="1:45" x14ac:dyDescent="0.25">
      <c r="A119" s="88">
        <v>212210162</v>
      </c>
      <c r="B119" s="86" t="s">
        <v>558</v>
      </c>
      <c r="C119" s="91">
        <v>17000000</v>
      </c>
      <c r="D119" s="91">
        <v>0</v>
      </c>
      <c r="E119" s="91">
        <v>17000000</v>
      </c>
      <c r="F119" s="91">
        <v>0</v>
      </c>
      <c r="G119" s="91">
        <f t="shared" si="43"/>
        <v>0</v>
      </c>
      <c r="H119" s="91">
        <v>0</v>
      </c>
      <c r="I119" s="91">
        <v>0</v>
      </c>
      <c r="J119" s="91">
        <f t="shared" si="37"/>
        <v>0</v>
      </c>
      <c r="K119" s="91">
        <v>0</v>
      </c>
      <c r="L119" s="91">
        <v>0</v>
      </c>
      <c r="M119" s="91">
        <f t="shared" si="38"/>
        <v>0</v>
      </c>
      <c r="N119" s="91">
        <v>0</v>
      </c>
      <c r="O119" s="91">
        <f t="shared" si="39"/>
        <v>0</v>
      </c>
      <c r="P119" s="91">
        <f t="shared" si="40"/>
        <v>0</v>
      </c>
      <c r="Q119" s="91">
        <f t="shared" si="41"/>
        <v>0</v>
      </c>
      <c r="S119" s="96">
        <v>212210162</v>
      </c>
      <c r="T119" s="117" t="s">
        <v>54</v>
      </c>
      <c r="U119" s="95">
        <v>17000000</v>
      </c>
      <c r="V119" s="95">
        <v>0</v>
      </c>
      <c r="W119" s="95">
        <v>17000000</v>
      </c>
      <c r="X119" s="95">
        <v>0</v>
      </c>
      <c r="Y119" s="95">
        <v>0</v>
      </c>
      <c r="Z119" s="95">
        <v>0</v>
      </c>
      <c r="AA119" s="95">
        <v>0</v>
      </c>
      <c r="AB119" s="120">
        <v>0</v>
      </c>
      <c r="AC119" s="95">
        <v>0</v>
      </c>
      <c r="AD119" s="95">
        <v>0</v>
      </c>
      <c r="AE119" s="120">
        <v>0</v>
      </c>
      <c r="AF119" s="95">
        <v>0</v>
      </c>
      <c r="AG119" s="95">
        <v>0</v>
      </c>
      <c r="AH119" s="120">
        <v>0</v>
      </c>
      <c r="AI119" s="120">
        <v>0</v>
      </c>
      <c r="AJ119" s="84">
        <v>0</v>
      </c>
      <c r="AK119" s="84">
        <v>17000000</v>
      </c>
      <c r="AL119" s="84">
        <v>0</v>
      </c>
      <c r="AM119" s="84">
        <v>17000000</v>
      </c>
      <c r="AN119" s="121">
        <v>0</v>
      </c>
      <c r="AO119" s="84">
        <v>0</v>
      </c>
      <c r="AP119" s="95">
        <v>0</v>
      </c>
      <c r="AQ119" s="84">
        <v>0</v>
      </c>
      <c r="AS119" s="118">
        <f t="shared" si="42"/>
        <v>0</v>
      </c>
    </row>
    <row r="120" spans="1:45" x14ac:dyDescent="0.25">
      <c r="A120" s="88">
        <v>212210163</v>
      </c>
      <c r="B120" s="86" t="s">
        <v>559</v>
      </c>
      <c r="C120" s="91">
        <v>1200000</v>
      </c>
      <c r="D120" s="91">
        <v>0</v>
      </c>
      <c r="E120" s="91">
        <v>1200000</v>
      </c>
      <c r="F120" s="91">
        <v>0</v>
      </c>
      <c r="G120" s="91">
        <f t="shared" si="43"/>
        <v>0</v>
      </c>
      <c r="H120" s="91">
        <v>0</v>
      </c>
      <c r="I120" s="91">
        <v>0</v>
      </c>
      <c r="J120" s="91">
        <f t="shared" si="37"/>
        <v>0</v>
      </c>
      <c r="K120" s="91">
        <v>0</v>
      </c>
      <c r="L120" s="91">
        <v>0</v>
      </c>
      <c r="M120" s="91">
        <f t="shared" si="38"/>
        <v>0</v>
      </c>
      <c r="N120" s="91">
        <v>0</v>
      </c>
      <c r="O120" s="91">
        <f t="shared" si="39"/>
        <v>0</v>
      </c>
      <c r="P120" s="91">
        <f t="shared" si="40"/>
        <v>0</v>
      </c>
      <c r="Q120" s="91">
        <f t="shared" si="41"/>
        <v>0</v>
      </c>
      <c r="S120" s="96">
        <v>212210163</v>
      </c>
      <c r="T120" s="117" t="s">
        <v>55</v>
      </c>
      <c r="U120" s="95">
        <v>1200000</v>
      </c>
      <c r="V120" s="95">
        <v>0</v>
      </c>
      <c r="W120" s="95">
        <v>1200000</v>
      </c>
      <c r="X120" s="95">
        <v>0</v>
      </c>
      <c r="Y120" s="95">
        <v>0</v>
      </c>
      <c r="Z120" s="95">
        <v>0</v>
      </c>
      <c r="AA120" s="95">
        <v>0</v>
      </c>
      <c r="AB120" s="120">
        <v>0</v>
      </c>
      <c r="AC120" s="95">
        <v>0</v>
      </c>
      <c r="AD120" s="95">
        <v>0</v>
      </c>
      <c r="AE120" s="120">
        <v>0</v>
      </c>
      <c r="AF120" s="95">
        <v>0</v>
      </c>
      <c r="AG120" s="95">
        <v>0</v>
      </c>
      <c r="AH120" s="120">
        <v>0</v>
      </c>
      <c r="AI120" s="120">
        <v>0</v>
      </c>
      <c r="AJ120" s="84">
        <v>0</v>
      </c>
      <c r="AK120" s="84">
        <v>1200000</v>
      </c>
      <c r="AL120" s="84">
        <v>0</v>
      </c>
      <c r="AM120" s="84">
        <v>1200000</v>
      </c>
      <c r="AN120" s="121">
        <v>0</v>
      </c>
      <c r="AO120" s="84">
        <v>0</v>
      </c>
      <c r="AP120" s="95">
        <v>0</v>
      </c>
      <c r="AQ120" s="84">
        <v>0</v>
      </c>
      <c r="AS120" s="118">
        <f t="shared" si="42"/>
        <v>0</v>
      </c>
    </row>
    <row r="121" spans="1:45" x14ac:dyDescent="0.25">
      <c r="A121" s="88">
        <v>212210164</v>
      </c>
      <c r="B121" s="86" t="s">
        <v>560</v>
      </c>
      <c r="C121" s="91">
        <v>600000</v>
      </c>
      <c r="D121" s="91">
        <v>0</v>
      </c>
      <c r="E121" s="91">
        <v>600000</v>
      </c>
      <c r="F121" s="91">
        <v>0</v>
      </c>
      <c r="G121" s="91">
        <f t="shared" si="43"/>
        <v>0</v>
      </c>
      <c r="H121" s="91">
        <v>0</v>
      </c>
      <c r="I121" s="91">
        <v>0</v>
      </c>
      <c r="J121" s="91">
        <f t="shared" si="37"/>
        <v>0</v>
      </c>
      <c r="K121" s="91">
        <v>0</v>
      </c>
      <c r="L121" s="91">
        <v>0</v>
      </c>
      <c r="M121" s="91">
        <f t="shared" si="38"/>
        <v>0</v>
      </c>
      <c r="N121" s="91">
        <v>0</v>
      </c>
      <c r="O121" s="91">
        <f t="shared" si="39"/>
        <v>0</v>
      </c>
      <c r="P121" s="91">
        <f t="shared" si="40"/>
        <v>0</v>
      </c>
      <c r="Q121" s="91">
        <f t="shared" si="41"/>
        <v>0</v>
      </c>
      <c r="S121" s="96">
        <v>212210164</v>
      </c>
      <c r="T121" s="117" t="s">
        <v>56</v>
      </c>
      <c r="U121" s="95">
        <v>600000</v>
      </c>
      <c r="V121" s="95">
        <v>0</v>
      </c>
      <c r="W121" s="95">
        <v>600000</v>
      </c>
      <c r="X121" s="95">
        <v>0</v>
      </c>
      <c r="Y121" s="95">
        <v>0</v>
      </c>
      <c r="Z121" s="95">
        <v>0</v>
      </c>
      <c r="AA121" s="95">
        <v>0</v>
      </c>
      <c r="AB121" s="120">
        <v>0</v>
      </c>
      <c r="AC121" s="95">
        <v>0</v>
      </c>
      <c r="AD121" s="95">
        <v>0</v>
      </c>
      <c r="AE121" s="120">
        <v>0</v>
      </c>
      <c r="AF121" s="95">
        <v>0</v>
      </c>
      <c r="AG121" s="95">
        <v>0</v>
      </c>
      <c r="AH121" s="120">
        <v>0</v>
      </c>
      <c r="AI121" s="120">
        <v>0</v>
      </c>
      <c r="AJ121" s="84">
        <v>0</v>
      </c>
      <c r="AK121" s="84">
        <v>600000</v>
      </c>
      <c r="AL121" s="84">
        <v>0</v>
      </c>
      <c r="AM121" s="84">
        <v>600000</v>
      </c>
      <c r="AN121" s="121">
        <v>0</v>
      </c>
      <c r="AO121" s="84">
        <v>0</v>
      </c>
      <c r="AP121" s="95">
        <v>0</v>
      </c>
      <c r="AQ121" s="84">
        <v>0</v>
      </c>
      <c r="AS121" s="118">
        <f t="shared" si="42"/>
        <v>0</v>
      </c>
    </row>
    <row r="122" spans="1:45" x14ac:dyDescent="0.25">
      <c r="A122" s="88">
        <v>212210165</v>
      </c>
      <c r="B122" s="86" t="s">
        <v>561</v>
      </c>
      <c r="C122" s="91">
        <v>12000000</v>
      </c>
      <c r="D122" s="91">
        <v>0</v>
      </c>
      <c r="E122" s="91">
        <v>12000000</v>
      </c>
      <c r="F122" s="91">
        <v>0</v>
      </c>
      <c r="G122" s="91">
        <f t="shared" si="43"/>
        <v>0</v>
      </c>
      <c r="H122" s="91">
        <v>0</v>
      </c>
      <c r="I122" s="91">
        <v>0</v>
      </c>
      <c r="J122" s="91">
        <f t="shared" si="37"/>
        <v>0</v>
      </c>
      <c r="K122" s="91">
        <v>0</v>
      </c>
      <c r="L122" s="91">
        <v>0</v>
      </c>
      <c r="M122" s="91">
        <f t="shared" si="38"/>
        <v>0</v>
      </c>
      <c r="N122" s="91">
        <v>0</v>
      </c>
      <c r="O122" s="91">
        <f t="shared" si="39"/>
        <v>0</v>
      </c>
      <c r="P122" s="91">
        <f t="shared" si="40"/>
        <v>0</v>
      </c>
      <c r="Q122" s="91">
        <f t="shared" si="41"/>
        <v>0</v>
      </c>
      <c r="S122" s="96">
        <v>212210165</v>
      </c>
      <c r="T122" s="117" t="s">
        <v>57</v>
      </c>
      <c r="U122" s="95">
        <v>12000000</v>
      </c>
      <c r="V122" s="95">
        <v>0</v>
      </c>
      <c r="W122" s="95">
        <v>12000000</v>
      </c>
      <c r="X122" s="95">
        <v>0</v>
      </c>
      <c r="Y122" s="95">
        <v>0</v>
      </c>
      <c r="Z122" s="95">
        <v>0</v>
      </c>
      <c r="AA122" s="95">
        <v>0</v>
      </c>
      <c r="AB122" s="120">
        <v>0</v>
      </c>
      <c r="AC122" s="95">
        <v>0</v>
      </c>
      <c r="AD122" s="95">
        <v>0</v>
      </c>
      <c r="AE122" s="120">
        <v>0</v>
      </c>
      <c r="AF122" s="95">
        <v>0</v>
      </c>
      <c r="AG122" s="95">
        <v>0</v>
      </c>
      <c r="AH122" s="120">
        <v>0</v>
      </c>
      <c r="AI122" s="120">
        <v>0</v>
      </c>
      <c r="AJ122" s="84">
        <v>0</v>
      </c>
      <c r="AK122" s="84">
        <v>12000000</v>
      </c>
      <c r="AL122" s="84">
        <v>0</v>
      </c>
      <c r="AM122" s="84">
        <v>12000000</v>
      </c>
      <c r="AN122" s="121">
        <v>0</v>
      </c>
      <c r="AO122" s="84">
        <v>0</v>
      </c>
      <c r="AP122" s="95">
        <v>0</v>
      </c>
      <c r="AQ122" s="84">
        <v>0</v>
      </c>
      <c r="AS122" s="118">
        <f t="shared" si="42"/>
        <v>0</v>
      </c>
    </row>
    <row r="123" spans="1:45" x14ac:dyDescent="0.25">
      <c r="A123" s="88">
        <v>212210166</v>
      </c>
      <c r="B123" s="86" t="s">
        <v>562</v>
      </c>
      <c r="C123" s="91">
        <v>30000000</v>
      </c>
      <c r="D123" s="91">
        <v>0</v>
      </c>
      <c r="E123" s="91">
        <v>30000000</v>
      </c>
      <c r="F123" s="91">
        <v>0</v>
      </c>
      <c r="G123" s="91">
        <f t="shared" si="43"/>
        <v>0</v>
      </c>
      <c r="H123" s="91">
        <v>0</v>
      </c>
      <c r="I123" s="91">
        <v>0</v>
      </c>
      <c r="J123" s="91">
        <f t="shared" si="37"/>
        <v>0</v>
      </c>
      <c r="K123" s="91">
        <v>0</v>
      </c>
      <c r="L123" s="91">
        <v>0</v>
      </c>
      <c r="M123" s="91">
        <f t="shared" si="38"/>
        <v>0</v>
      </c>
      <c r="N123" s="91">
        <v>0</v>
      </c>
      <c r="O123" s="91">
        <f t="shared" si="39"/>
        <v>0</v>
      </c>
      <c r="P123" s="91">
        <f t="shared" si="40"/>
        <v>0</v>
      </c>
      <c r="Q123" s="91">
        <f t="shared" si="41"/>
        <v>0</v>
      </c>
      <c r="S123" s="96">
        <v>212210166</v>
      </c>
      <c r="T123" s="117" t="s">
        <v>58</v>
      </c>
      <c r="U123" s="95">
        <v>30000000</v>
      </c>
      <c r="V123" s="95">
        <v>0</v>
      </c>
      <c r="W123" s="95">
        <v>30000000</v>
      </c>
      <c r="X123" s="95">
        <v>0</v>
      </c>
      <c r="Y123" s="95">
        <v>0</v>
      </c>
      <c r="Z123" s="95">
        <v>0</v>
      </c>
      <c r="AA123" s="95">
        <v>0</v>
      </c>
      <c r="AB123" s="120">
        <v>0</v>
      </c>
      <c r="AC123" s="95">
        <v>0</v>
      </c>
      <c r="AD123" s="95">
        <v>0</v>
      </c>
      <c r="AE123" s="120">
        <v>0</v>
      </c>
      <c r="AF123" s="95">
        <v>0</v>
      </c>
      <c r="AG123" s="95">
        <v>0</v>
      </c>
      <c r="AH123" s="120">
        <v>0</v>
      </c>
      <c r="AI123" s="120">
        <v>0</v>
      </c>
      <c r="AJ123" s="84">
        <v>0</v>
      </c>
      <c r="AK123" s="84">
        <v>30000000</v>
      </c>
      <c r="AL123" s="84">
        <v>0</v>
      </c>
      <c r="AM123" s="84">
        <v>30000000</v>
      </c>
      <c r="AN123" s="121">
        <v>0</v>
      </c>
      <c r="AO123" s="84">
        <v>0</v>
      </c>
      <c r="AP123" s="95">
        <v>0</v>
      </c>
      <c r="AQ123" s="84">
        <v>0</v>
      </c>
      <c r="AS123" s="118">
        <f t="shared" si="42"/>
        <v>0</v>
      </c>
    </row>
    <row r="124" spans="1:45" x14ac:dyDescent="0.25">
      <c r="A124" s="88">
        <v>212210168</v>
      </c>
      <c r="B124" s="86" t="s">
        <v>563</v>
      </c>
      <c r="C124" s="91">
        <v>8000000</v>
      </c>
      <c r="D124" s="91">
        <v>0</v>
      </c>
      <c r="E124" s="91">
        <v>8000000</v>
      </c>
      <c r="F124" s="91">
        <v>0</v>
      </c>
      <c r="G124" s="91">
        <f t="shared" si="43"/>
        <v>0</v>
      </c>
      <c r="H124" s="91">
        <v>0</v>
      </c>
      <c r="I124" s="91">
        <v>0</v>
      </c>
      <c r="J124" s="91">
        <f t="shared" si="37"/>
        <v>0</v>
      </c>
      <c r="K124" s="91">
        <v>0</v>
      </c>
      <c r="L124" s="91">
        <v>0</v>
      </c>
      <c r="M124" s="91">
        <f t="shared" si="38"/>
        <v>0</v>
      </c>
      <c r="N124" s="91">
        <v>0</v>
      </c>
      <c r="O124" s="91">
        <f t="shared" si="39"/>
        <v>0</v>
      </c>
      <c r="P124" s="91">
        <f t="shared" si="40"/>
        <v>0</v>
      </c>
      <c r="Q124" s="91">
        <f t="shared" si="41"/>
        <v>0</v>
      </c>
      <c r="S124" s="96">
        <v>212210168</v>
      </c>
      <c r="T124" s="117" t="s">
        <v>59</v>
      </c>
      <c r="U124" s="95">
        <v>8000000</v>
      </c>
      <c r="V124" s="95">
        <v>0</v>
      </c>
      <c r="W124" s="95">
        <v>8000000</v>
      </c>
      <c r="X124" s="95">
        <v>0</v>
      </c>
      <c r="Y124" s="95">
        <v>0</v>
      </c>
      <c r="Z124" s="95">
        <v>0</v>
      </c>
      <c r="AA124" s="95">
        <v>0</v>
      </c>
      <c r="AB124" s="120">
        <v>0</v>
      </c>
      <c r="AC124" s="95">
        <v>0</v>
      </c>
      <c r="AD124" s="95">
        <v>0</v>
      </c>
      <c r="AE124" s="120">
        <v>0</v>
      </c>
      <c r="AF124" s="95">
        <v>0</v>
      </c>
      <c r="AG124" s="95">
        <v>0</v>
      </c>
      <c r="AH124" s="120">
        <v>0</v>
      </c>
      <c r="AI124" s="120">
        <v>0</v>
      </c>
      <c r="AJ124" s="84">
        <v>0</v>
      </c>
      <c r="AK124" s="84">
        <v>8000000</v>
      </c>
      <c r="AL124" s="84">
        <v>0</v>
      </c>
      <c r="AM124" s="84">
        <v>8000000</v>
      </c>
      <c r="AN124" s="121">
        <v>0</v>
      </c>
      <c r="AO124" s="84">
        <v>0</v>
      </c>
      <c r="AP124" s="95">
        <v>0</v>
      </c>
      <c r="AQ124" s="84">
        <v>0</v>
      </c>
      <c r="AS124" s="118">
        <f t="shared" si="42"/>
        <v>0</v>
      </c>
    </row>
    <row r="125" spans="1:45" x14ac:dyDescent="0.25">
      <c r="A125" s="88">
        <v>212210169</v>
      </c>
      <c r="B125" s="86" t="s">
        <v>564</v>
      </c>
      <c r="C125" s="91">
        <v>28000000</v>
      </c>
      <c r="D125" s="91">
        <v>0</v>
      </c>
      <c r="E125" s="91">
        <v>28000000</v>
      </c>
      <c r="F125" s="91">
        <v>0</v>
      </c>
      <c r="G125" s="91">
        <f t="shared" si="43"/>
        <v>0</v>
      </c>
      <c r="H125" s="91">
        <v>0</v>
      </c>
      <c r="I125" s="91">
        <v>0</v>
      </c>
      <c r="J125" s="91">
        <f t="shared" si="37"/>
        <v>0</v>
      </c>
      <c r="K125" s="91">
        <v>0</v>
      </c>
      <c r="L125" s="91">
        <v>0</v>
      </c>
      <c r="M125" s="91">
        <f t="shared" si="38"/>
        <v>0</v>
      </c>
      <c r="N125" s="91">
        <v>0</v>
      </c>
      <c r="O125" s="91">
        <f t="shared" si="39"/>
        <v>0</v>
      </c>
      <c r="P125" s="91">
        <f t="shared" si="40"/>
        <v>0</v>
      </c>
      <c r="Q125" s="91">
        <f t="shared" si="41"/>
        <v>0</v>
      </c>
      <c r="S125" s="96">
        <v>212210169</v>
      </c>
      <c r="T125" s="117" t="s">
        <v>60</v>
      </c>
      <c r="U125" s="95">
        <v>28000000</v>
      </c>
      <c r="V125" s="95">
        <v>0</v>
      </c>
      <c r="W125" s="95">
        <v>28000000</v>
      </c>
      <c r="X125" s="95">
        <v>0</v>
      </c>
      <c r="Y125" s="95">
        <v>0</v>
      </c>
      <c r="Z125" s="95">
        <v>0</v>
      </c>
      <c r="AA125" s="95">
        <v>0</v>
      </c>
      <c r="AB125" s="120">
        <v>0</v>
      </c>
      <c r="AC125" s="95">
        <v>0</v>
      </c>
      <c r="AD125" s="95">
        <v>0</v>
      </c>
      <c r="AE125" s="120">
        <v>0</v>
      </c>
      <c r="AF125" s="95">
        <v>0</v>
      </c>
      <c r="AG125" s="95">
        <v>0</v>
      </c>
      <c r="AH125" s="120">
        <v>0</v>
      </c>
      <c r="AI125" s="120">
        <v>0</v>
      </c>
      <c r="AJ125" s="84">
        <v>0</v>
      </c>
      <c r="AK125" s="84">
        <v>28000000</v>
      </c>
      <c r="AL125" s="84">
        <v>0</v>
      </c>
      <c r="AM125" s="84">
        <v>28000000</v>
      </c>
      <c r="AN125" s="121">
        <v>0</v>
      </c>
      <c r="AO125" s="84">
        <v>0</v>
      </c>
      <c r="AP125" s="95">
        <v>0</v>
      </c>
      <c r="AQ125" s="84">
        <v>0</v>
      </c>
      <c r="AS125" s="118">
        <f t="shared" si="42"/>
        <v>0</v>
      </c>
    </row>
    <row r="126" spans="1:45" s="100" customFormat="1" x14ac:dyDescent="0.25">
      <c r="A126" s="106">
        <v>212211</v>
      </c>
      <c r="B126" s="107" t="s">
        <v>61</v>
      </c>
      <c r="C126" s="108">
        <f>+C127</f>
        <v>975426925</v>
      </c>
      <c r="D126" s="108">
        <v>0</v>
      </c>
      <c r="E126" s="108">
        <v>0</v>
      </c>
      <c r="F126" s="108">
        <v>0</v>
      </c>
      <c r="G126" s="108">
        <f t="shared" si="43"/>
        <v>975426925</v>
      </c>
      <c r="H126" s="108">
        <v>76754126</v>
      </c>
      <c r="I126" s="108">
        <v>301226528</v>
      </c>
      <c r="J126" s="108">
        <f t="shared" si="37"/>
        <v>674200397</v>
      </c>
      <c r="K126" s="108">
        <v>77846526</v>
      </c>
      <c r="L126" s="108">
        <v>337736945</v>
      </c>
      <c r="M126" s="108">
        <f t="shared" si="38"/>
        <v>-36510417</v>
      </c>
      <c r="N126" s="108">
        <v>332784035</v>
      </c>
      <c r="O126" s="108">
        <f t="shared" si="39"/>
        <v>31557507</v>
      </c>
      <c r="P126" s="108">
        <f t="shared" si="40"/>
        <v>642642890</v>
      </c>
      <c r="Q126" s="108">
        <f t="shared" si="41"/>
        <v>337736945</v>
      </c>
      <c r="S126" s="101">
        <v>212211</v>
      </c>
      <c r="T126" s="116" t="s">
        <v>61</v>
      </c>
      <c r="U126" s="102">
        <v>975426925</v>
      </c>
      <c r="V126" s="102">
        <v>0</v>
      </c>
      <c r="W126" s="102">
        <v>0</v>
      </c>
      <c r="X126" s="102">
        <v>0</v>
      </c>
      <c r="Y126" s="102">
        <v>975426925</v>
      </c>
      <c r="Z126" s="102">
        <v>37418017</v>
      </c>
      <c r="AA126" s="102">
        <v>0</v>
      </c>
      <c r="AB126" s="119">
        <v>76754126</v>
      </c>
      <c r="AC126" s="102">
        <v>76754126</v>
      </c>
      <c r="AD126" s="102">
        <v>338644545</v>
      </c>
      <c r="AE126" s="119">
        <v>301226528</v>
      </c>
      <c r="AF126" s="102">
        <v>674200397</v>
      </c>
      <c r="AG126" s="102">
        <v>37418017</v>
      </c>
      <c r="AH126" s="119">
        <v>77846526</v>
      </c>
      <c r="AI126" s="119">
        <v>337736945</v>
      </c>
      <c r="AJ126" s="100">
        <v>907600</v>
      </c>
      <c r="AK126" s="100">
        <v>0</v>
      </c>
      <c r="AL126" s="100">
        <v>76255174</v>
      </c>
      <c r="AM126" s="100">
        <v>332784035</v>
      </c>
      <c r="AN126" s="122">
        <v>332784035</v>
      </c>
      <c r="AO126" s="100">
        <v>31557507</v>
      </c>
      <c r="AP126" s="102">
        <v>642642890</v>
      </c>
      <c r="AQ126" s="100">
        <v>0</v>
      </c>
      <c r="AS126" s="118">
        <f t="shared" si="42"/>
        <v>0</v>
      </c>
    </row>
    <row r="127" spans="1:45" s="100" customFormat="1" x14ac:dyDescent="0.25">
      <c r="A127" s="109">
        <v>2122112</v>
      </c>
      <c r="B127" s="110" t="s">
        <v>62</v>
      </c>
      <c r="C127" s="111">
        <f>+C128+C129</f>
        <v>975426925</v>
      </c>
      <c r="D127" s="111">
        <v>0</v>
      </c>
      <c r="E127" s="111">
        <v>0</v>
      </c>
      <c r="F127" s="111">
        <v>0</v>
      </c>
      <c r="G127" s="111">
        <f t="shared" si="43"/>
        <v>975426925</v>
      </c>
      <c r="H127" s="111">
        <v>76754126</v>
      </c>
      <c r="I127" s="111">
        <v>301226528</v>
      </c>
      <c r="J127" s="111">
        <f t="shared" si="37"/>
        <v>674200397</v>
      </c>
      <c r="K127" s="111">
        <v>77846526</v>
      </c>
      <c r="L127" s="111">
        <v>337736945</v>
      </c>
      <c r="M127" s="111">
        <f t="shared" si="38"/>
        <v>-36510417</v>
      </c>
      <c r="N127" s="111">
        <v>332784035</v>
      </c>
      <c r="O127" s="111">
        <f t="shared" si="39"/>
        <v>31557507</v>
      </c>
      <c r="P127" s="111">
        <f t="shared" si="40"/>
        <v>642642890</v>
      </c>
      <c r="Q127" s="111">
        <f t="shared" si="41"/>
        <v>337736945</v>
      </c>
      <c r="S127" s="101">
        <v>2122112</v>
      </c>
      <c r="T127" s="116" t="s">
        <v>62</v>
      </c>
      <c r="U127" s="102">
        <v>975426925</v>
      </c>
      <c r="V127" s="102">
        <v>0</v>
      </c>
      <c r="W127" s="102">
        <v>0</v>
      </c>
      <c r="X127" s="102">
        <v>0</v>
      </c>
      <c r="Y127" s="102">
        <v>975426925</v>
      </c>
      <c r="Z127" s="102">
        <v>37418017</v>
      </c>
      <c r="AA127" s="102">
        <v>0</v>
      </c>
      <c r="AB127" s="119">
        <v>76754126</v>
      </c>
      <c r="AC127" s="102">
        <v>76754126</v>
      </c>
      <c r="AD127" s="102">
        <v>338644545</v>
      </c>
      <c r="AE127" s="119">
        <v>301226528</v>
      </c>
      <c r="AF127" s="102">
        <v>674200397</v>
      </c>
      <c r="AG127" s="102">
        <v>37418017</v>
      </c>
      <c r="AH127" s="119">
        <v>77846526</v>
      </c>
      <c r="AI127" s="119">
        <v>337736945</v>
      </c>
      <c r="AJ127" s="100">
        <v>907600</v>
      </c>
      <c r="AK127" s="100">
        <v>0</v>
      </c>
      <c r="AL127" s="100">
        <v>76255174</v>
      </c>
      <c r="AM127" s="100">
        <v>332784035</v>
      </c>
      <c r="AN127" s="122">
        <v>332784035</v>
      </c>
      <c r="AO127" s="100">
        <v>31557507</v>
      </c>
      <c r="AP127" s="102">
        <v>642642890</v>
      </c>
      <c r="AQ127" s="100">
        <v>0</v>
      </c>
      <c r="AS127" s="118">
        <f t="shared" si="42"/>
        <v>0</v>
      </c>
    </row>
    <row r="128" spans="1:45" x14ac:dyDescent="0.25">
      <c r="A128" s="88">
        <v>21221121</v>
      </c>
      <c r="B128" s="86" t="s">
        <v>565</v>
      </c>
      <c r="C128" s="91">
        <v>772497771</v>
      </c>
      <c r="D128" s="91">
        <v>0</v>
      </c>
      <c r="E128" s="91">
        <v>0</v>
      </c>
      <c r="F128" s="91">
        <v>0</v>
      </c>
      <c r="G128" s="91">
        <f t="shared" si="43"/>
        <v>772497771</v>
      </c>
      <c r="H128" s="91">
        <v>65558426</v>
      </c>
      <c r="I128" s="91">
        <v>268611528</v>
      </c>
      <c r="J128" s="91">
        <f t="shared" si="37"/>
        <v>503886243</v>
      </c>
      <c r="K128" s="91">
        <v>66758426</v>
      </c>
      <c r="L128" s="91">
        <v>306029545</v>
      </c>
      <c r="M128" s="91">
        <f t="shared" si="38"/>
        <v>-37418017</v>
      </c>
      <c r="N128" s="91">
        <v>300169035</v>
      </c>
      <c r="O128" s="91">
        <f t="shared" si="39"/>
        <v>31557507</v>
      </c>
      <c r="P128" s="91">
        <f t="shared" si="40"/>
        <v>472328736</v>
      </c>
      <c r="Q128" s="91">
        <f t="shared" si="41"/>
        <v>306029545</v>
      </c>
      <c r="S128" s="96">
        <v>21221121</v>
      </c>
      <c r="T128" s="117" t="s">
        <v>714</v>
      </c>
      <c r="U128" s="95">
        <v>772497771</v>
      </c>
      <c r="V128" s="95">
        <v>0</v>
      </c>
      <c r="W128" s="95">
        <v>0</v>
      </c>
      <c r="X128" s="95">
        <v>0</v>
      </c>
      <c r="Y128" s="95">
        <v>772497771</v>
      </c>
      <c r="Z128" s="95">
        <v>37418017</v>
      </c>
      <c r="AA128" s="95">
        <v>0</v>
      </c>
      <c r="AB128" s="120">
        <v>65558426</v>
      </c>
      <c r="AC128" s="95">
        <v>65558426</v>
      </c>
      <c r="AD128" s="95">
        <v>306029545</v>
      </c>
      <c r="AE128" s="120">
        <v>268611528</v>
      </c>
      <c r="AF128" s="95">
        <v>503886243</v>
      </c>
      <c r="AG128" s="95">
        <v>37418017</v>
      </c>
      <c r="AH128" s="120">
        <v>66758426</v>
      </c>
      <c r="AI128" s="120">
        <v>306029545</v>
      </c>
      <c r="AJ128" s="84">
        <v>0</v>
      </c>
      <c r="AK128" s="84">
        <v>0</v>
      </c>
      <c r="AL128" s="84">
        <v>65059474</v>
      </c>
      <c r="AM128" s="84">
        <v>300169035</v>
      </c>
      <c r="AN128" s="121">
        <v>300169035</v>
      </c>
      <c r="AO128" s="84">
        <v>31557507</v>
      </c>
      <c r="AP128" s="95">
        <v>472328736</v>
      </c>
      <c r="AQ128" s="84">
        <v>0</v>
      </c>
      <c r="AS128" s="118">
        <f t="shared" si="42"/>
        <v>0</v>
      </c>
    </row>
    <row r="129" spans="1:45" x14ac:dyDescent="0.25">
      <c r="A129" s="88">
        <v>21221122</v>
      </c>
      <c r="B129" s="86" t="s">
        <v>566</v>
      </c>
      <c r="C129" s="91">
        <v>202929154</v>
      </c>
      <c r="D129" s="91">
        <v>0</v>
      </c>
      <c r="E129" s="91">
        <v>0</v>
      </c>
      <c r="F129" s="91">
        <v>0</v>
      </c>
      <c r="G129" s="91">
        <f t="shared" si="43"/>
        <v>202929154</v>
      </c>
      <c r="H129" s="91">
        <v>11195700</v>
      </c>
      <c r="I129" s="91">
        <v>32615000</v>
      </c>
      <c r="J129" s="91">
        <f t="shared" si="37"/>
        <v>170314154</v>
      </c>
      <c r="K129" s="91">
        <v>11088100</v>
      </c>
      <c r="L129" s="91">
        <v>31707400</v>
      </c>
      <c r="M129" s="91">
        <f t="shared" si="38"/>
        <v>907600</v>
      </c>
      <c r="N129" s="91">
        <v>32615000</v>
      </c>
      <c r="O129" s="91">
        <f t="shared" si="39"/>
        <v>0</v>
      </c>
      <c r="P129" s="91">
        <f t="shared" si="40"/>
        <v>170314154</v>
      </c>
      <c r="Q129" s="91">
        <f t="shared" si="41"/>
        <v>31707400</v>
      </c>
      <c r="S129" s="96">
        <v>21221122</v>
      </c>
      <c r="T129" s="117" t="s">
        <v>715</v>
      </c>
      <c r="U129" s="95">
        <v>202929154</v>
      </c>
      <c r="V129" s="95">
        <v>0</v>
      </c>
      <c r="W129" s="95">
        <v>0</v>
      </c>
      <c r="X129" s="95">
        <v>0</v>
      </c>
      <c r="Y129" s="95">
        <v>202929154</v>
      </c>
      <c r="Z129" s="95">
        <v>0</v>
      </c>
      <c r="AA129" s="95">
        <v>0</v>
      </c>
      <c r="AB129" s="120">
        <v>11195700</v>
      </c>
      <c r="AC129" s="95">
        <v>11195700</v>
      </c>
      <c r="AD129" s="95">
        <v>32615000</v>
      </c>
      <c r="AE129" s="120">
        <v>32615000</v>
      </c>
      <c r="AF129" s="95">
        <v>170314154</v>
      </c>
      <c r="AG129" s="95">
        <v>0</v>
      </c>
      <c r="AH129" s="120">
        <v>11088100</v>
      </c>
      <c r="AI129" s="120">
        <v>31707400</v>
      </c>
      <c r="AJ129" s="84">
        <v>907600</v>
      </c>
      <c r="AK129" s="84">
        <v>0</v>
      </c>
      <c r="AL129" s="84">
        <v>11195700</v>
      </c>
      <c r="AM129" s="84">
        <v>32615000</v>
      </c>
      <c r="AN129" s="121">
        <v>32615000</v>
      </c>
      <c r="AO129" s="84">
        <v>0</v>
      </c>
      <c r="AP129" s="95">
        <v>170314154</v>
      </c>
      <c r="AQ129" s="84">
        <v>0</v>
      </c>
      <c r="AS129" s="118">
        <f t="shared" si="42"/>
        <v>0</v>
      </c>
    </row>
    <row r="130" spans="1:45" s="100" customFormat="1" ht="30" x14ac:dyDescent="0.25">
      <c r="A130" s="106">
        <v>212212</v>
      </c>
      <c r="B130" s="107" t="s">
        <v>63</v>
      </c>
      <c r="C130" s="108">
        <f>+C131+C135</f>
        <v>270310500</v>
      </c>
      <c r="D130" s="108">
        <v>3000000</v>
      </c>
      <c r="E130" s="108">
        <v>0</v>
      </c>
      <c r="F130" s="108">
        <v>0</v>
      </c>
      <c r="G130" s="108">
        <f t="shared" si="43"/>
        <v>273310500</v>
      </c>
      <c r="H130" s="108">
        <v>0</v>
      </c>
      <c r="I130" s="108">
        <v>2978100</v>
      </c>
      <c r="J130" s="108">
        <f t="shared" si="37"/>
        <v>270332400</v>
      </c>
      <c r="K130" s="108">
        <v>0</v>
      </c>
      <c r="L130" s="108">
        <v>2978100</v>
      </c>
      <c r="M130" s="108">
        <f t="shared" si="38"/>
        <v>0</v>
      </c>
      <c r="N130" s="108">
        <v>262388600</v>
      </c>
      <c r="O130" s="108">
        <f t="shared" si="39"/>
        <v>259410500</v>
      </c>
      <c r="P130" s="108">
        <f t="shared" si="40"/>
        <v>10921900</v>
      </c>
      <c r="Q130" s="108">
        <f t="shared" si="41"/>
        <v>2978100</v>
      </c>
      <c r="S130" s="101">
        <v>212212</v>
      </c>
      <c r="T130" s="116" t="s">
        <v>63</v>
      </c>
      <c r="U130" s="102">
        <v>270310500</v>
      </c>
      <c r="V130" s="102">
        <v>3000000</v>
      </c>
      <c r="W130" s="102">
        <v>0</v>
      </c>
      <c r="X130" s="102">
        <v>0</v>
      </c>
      <c r="Y130" s="102">
        <v>273310500</v>
      </c>
      <c r="Z130" s="102">
        <v>0</v>
      </c>
      <c r="AA130" s="102">
        <v>0</v>
      </c>
      <c r="AB130" s="119">
        <v>0</v>
      </c>
      <c r="AC130" s="102">
        <v>0</v>
      </c>
      <c r="AD130" s="102">
        <v>2978100</v>
      </c>
      <c r="AE130" s="119">
        <v>2978100</v>
      </c>
      <c r="AF130" s="102">
        <v>270332400</v>
      </c>
      <c r="AG130" s="102">
        <v>0</v>
      </c>
      <c r="AH130" s="119">
        <v>0</v>
      </c>
      <c r="AI130" s="119">
        <v>2978100</v>
      </c>
      <c r="AJ130" s="100">
        <v>0</v>
      </c>
      <c r="AK130" s="100">
        <v>0</v>
      </c>
      <c r="AL130" s="100">
        <v>0</v>
      </c>
      <c r="AM130" s="100">
        <v>262388600</v>
      </c>
      <c r="AN130" s="122">
        <v>262388600</v>
      </c>
      <c r="AO130" s="100">
        <v>259410500</v>
      </c>
      <c r="AP130" s="102">
        <v>10921900</v>
      </c>
      <c r="AQ130" s="100">
        <v>0</v>
      </c>
      <c r="AS130" s="118">
        <f t="shared" si="42"/>
        <v>0</v>
      </c>
    </row>
    <row r="131" spans="1:45" s="100" customFormat="1" ht="30" x14ac:dyDescent="0.25">
      <c r="A131" s="109">
        <v>2122122</v>
      </c>
      <c r="B131" s="110" t="s">
        <v>64</v>
      </c>
      <c r="C131" s="111">
        <f>+C132+C133+C134</f>
        <v>10900000</v>
      </c>
      <c r="D131" s="111">
        <v>3000000</v>
      </c>
      <c r="E131" s="111">
        <v>0</v>
      </c>
      <c r="F131" s="111">
        <v>0</v>
      </c>
      <c r="G131" s="111">
        <f t="shared" si="43"/>
        <v>13900000</v>
      </c>
      <c r="H131" s="111">
        <v>0</v>
      </c>
      <c r="I131" s="111">
        <v>2978100</v>
      </c>
      <c r="J131" s="111">
        <f t="shared" si="37"/>
        <v>10921900</v>
      </c>
      <c r="K131" s="111">
        <v>0</v>
      </c>
      <c r="L131" s="111">
        <v>2978100</v>
      </c>
      <c r="M131" s="111">
        <f t="shared" si="38"/>
        <v>0</v>
      </c>
      <c r="N131" s="111">
        <v>2978100</v>
      </c>
      <c r="O131" s="111">
        <f t="shared" si="39"/>
        <v>0</v>
      </c>
      <c r="P131" s="111">
        <f t="shared" si="40"/>
        <v>10921900</v>
      </c>
      <c r="Q131" s="111">
        <f t="shared" si="41"/>
        <v>2978100</v>
      </c>
      <c r="S131" s="101">
        <v>2122122</v>
      </c>
      <c r="T131" s="116" t="s">
        <v>64</v>
      </c>
      <c r="U131" s="102">
        <v>10900000</v>
      </c>
      <c r="V131" s="102">
        <v>3000000</v>
      </c>
      <c r="W131" s="102">
        <v>0</v>
      </c>
      <c r="X131" s="102">
        <v>0</v>
      </c>
      <c r="Y131" s="102">
        <v>13900000</v>
      </c>
      <c r="Z131" s="102">
        <v>0</v>
      </c>
      <c r="AA131" s="102">
        <v>0</v>
      </c>
      <c r="AB131" s="119">
        <v>0</v>
      </c>
      <c r="AC131" s="102">
        <v>0</v>
      </c>
      <c r="AD131" s="102">
        <v>2978100</v>
      </c>
      <c r="AE131" s="119">
        <v>2978100</v>
      </c>
      <c r="AF131" s="102">
        <v>10921900</v>
      </c>
      <c r="AG131" s="102">
        <v>0</v>
      </c>
      <c r="AH131" s="119">
        <v>0</v>
      </c>
      <c r="AI131" s="119">
        <v>2978100</v>
      </c>
      <c r="AJ131" s="100">
        <v>0</v>
      </c>
      <c r="AK131" s="100">
        <v>0</v>
      </c>
      <c r="AL131" s="100">
        <v>0</v>
      </c>
      <c r="AM131" s="100">
        <v>2978100</v>
      </c>
      <c r="AN131" s="122">
        <v>2978100</v>
      </c>
      <c r="AO131" s="100">
        <v>0</v>
      </c>
      <c r="AP131" s="102">
        <v>10921900</v>
      </c>
      <c r="AQ131" s="100">
        <v>0</v>
      </c>
      <c r="AS131" s="118">
        <f t="shared" si="42"/>
        <v>0</v>
      </c>
    </row>
    <row r="132" spans="1:45" x14ac:dyDescent="0.25">
      <c r="A132" s="88">
        <v>21221225</v>
      </c>
      <c r="B132" s="86" t="s">
        <v>567</v>
      </c>
      <c r="C132" s="91">
        <v>5000000</v>
      </c>
      <c r="D132" s="91">
        <v>3000000</v>
      </c>
      <c r="E132" s="91">
        <v>0</v>
      </c>
      <c r="F132" s="91">
        <v>0</v>
      </c>
      <c r="G132" s="91">
        <f t="shared" si="43"/>
        <v>8000000</v>
      </c>
      <c r="H132" s="91">
        <v>0</v>
      </c>
      <c r="I132" s="91">
        <v>592250</v>
      </c>
      <c r="J132" s="91">
        <f t="shared" si="37"/>
        <v>7407750</v>
      </c>
      <c r="K132" s="91">
        <v>0</v>
      </c>
      <c r="L132" s="91">
        <v>592250</v>
      </c>
      <c r="M132" s="91">
        <f t="shared" si="38"/>
        <v>0</v>
      </c>
      <c r="N132" s="91">
        <v>592250</v>
      </c>
      <c r="O132" s="91">
        <f t="shared" si="39"/>
        <v>0</v>
      </c>
      <c r="P132" s="91">
        <f t="shared" si="40"/>
        <v>7407750</v>
      </c>
      <c r="Q132" s="91">
        <f t="shared" si="41"/>
        <v>592250</v>
      </c>
      <c r="S132" s="96">
        <v>21221225</v>
      </c>
      <c r="T132" s="117" t="s">
        <v>716</v>
      </c>
      <c r="U132" s="95">
        <v>5000000</v>
      </c>
      <c r="V132" s="95">
        <v>3000000</v>
      </c>
      <c r="W132" s="95">
        <v>0</v>
      </c>
      <c r="X132" s="95">
        <v>0</v>
      </c>
      <c r="Y132" s="95">
        <v>8000000</v>
      </c>
      <c r="Z132" s="95">
        <v>0</v>
      </c>
      <c r="AA132" s="95">
        <v>0</v>
      </c>
      <c r="AB132" s="120">
        <v>0</v>
      </c>
      <c r="AC132" s="95">
        <v>0</v>
      </c>
      <c r="AD132" s="95">
        <v>592250</v>
      </c>
      <c r="AE132" s="120">
        <v>592250</v>
      </c>
      <c r="AF132" s="95">
        <v>7407750</v>
      </c>
      <c r="AG132" s="95">
        <v>0</v>
      </c>
      <c r="AH132" s="120">
        <v>0</v>
      </c>
      <c r="AI132" s="120">
        <v>592250</v>
      </c>
      <c r="AJ132" s="84">
        <v>0</v>
      </c>
      <c r="AK132" s="84">
        <v>0</v>
      </c>
      <c r="AL132" s="84">
        <v>0</v>
      </c>
      <c r="AM132" s="84">
        <v>592250</v>
      </c>
      <c r="AN132" s="121">
        <v>592250</v>
      </c>
      <c r="AO132" s="84">
        <v>0</v>
      </c>
      <c r="AP132" s="95">
        <v>7407750</v>
      </c>
      <c r="AQ132" s="84">
        <v>0</v>
      </c>
      <c r="AS132" s="118">
        <f t="shared" si="42"/>
        <v>0</v>
      </c>
    </row>
    <row r="133" spans="1:45" x14ac:dyDescent="0.25">
      <c r="A133" s="88">
        <v>21221228</v>
      </c>
      <c r="B133" s="86" t="s">
        <v>568</v>
      </c>
      <c r="C133" s="91">
        <v>5000000</v>
      </c>
      <c r="D133" s="91">
        <v>0</v>
      </c>
      <c r="E133" s="91">
        <v>0</v>
      </c>
      <c r="F133" s="91">
        <v>0</v>
      </c>
      <c r="G133" s="91">
        <f t="shared" si="43"/>
        <v>5000000</v>
      </c>
      <c r="H133" s="91">
        <v>0</v>
      </c>
      <c r="I133" s="91">
        <v>1520700</v>
      </c>
      <c r="J133" s="91">
        <f t="shared" si="37"/>
        <v>3479300</v>
      </c>
      <c r="K133" s="91">
        <v>0</v>
      </c>
      <c r="L133" s="91">
        <v>1520700</v>
      </c>
      <c r="M133" s="91">
        <f t="shared" si="38"/>
        <v>0</v>
      </c>
      <c r="N133" s="91">
        <v>1520700</v>
      </c>
      <c r="O133" s="91">
        <f t="shared" si="39"/>
        <v>0</v>
      </c>
      <c r="P133" s="91">
        <f t="shared" si="40"/>
        <v>3479300</v>
      </c>
      <c r="Q133" s="91">
        <f t="shared" si="41"/>
        <v>1520700</v>
      </c>
      <c r="S133" s="96">
        <v>21221228</v>
      </c>
      <c r="T133" s="117" t="s">
        <v>717</v>
      </c>
      <c r="U133" s="95">
        <v>5000000</v>
      </c>
      <c r="V133" s="95">
        <v>0</v>
      </c>
      <c r="W133" s="95">
        <v>0</v>
      </c>
      <c r="X133" s="95">
        <v>0</v>
      </c>
      <c r="Y133" s="95">
        <v>5000000</v>
      </c>
      <c r="Z133" s="95">
        <v>0</v>
      </c>
      <c r="AA133" s="95">
        <v>0</v>
      </c>
      <c r="AB133" s="120">
        <v>0</v>
      </c>
      <c r="AC133" s="95">
        <v>0</v>
      </c>
      <c r="AD133" s="95">
        <v>1520700</v>
      </c>
      <c r="AE133" s="120">
        <v>1520700</v>
      </c>
      <c r="AF133" s="95">
        <v>3479300</v>
      </c>
      <c r="AG133" s="95">
        <v>0</v>
      </c>
      <c r="AH133" s="120">
        <v>0</v>
      </c>
      <c r="AI133" s="120">
        <v>1520700</v>
      </c>
      <c r="AJ133" s="84">
        <v>0</v>
      </c>
      <c r="AK133" s="84">
        <v>0</v>
      </c>
      <c r="AL133" s="84">
        <v>0</v>
      </c>
      <c r="AM133" s="84">
        <v>1520700</v>
      </c>
      <c r="AN133" s="121">
        <v>1520700</v>
      </c>
      <c r="AO133" s="84">
        <v>0</v>
      </c>
      <c r="AP133" s="95">
        <v>3479300</v>
      </c>
      <c r="AQ133" s="84">
        <v>0</v>
      </c>
      <c r="AS133" s="118">
        <f t="shared" si="42"/>
        <v>0</v>
      </c>
    </row>
    <row r="134" spans="1:45" x14ac:dyDescent="0.25">
      <c r="A134" s="88">
        <v>21221229</v>
      </c>
      <c r="B134" s="86" t="s">
        <v>569</v>
      </c>
      <c r="C134" s="91">
        <v>900000</v>
      </c>
      <c r="D134" s="91">
        <v>0</v>
      </c>
      <c r="E134" s="91">
        <v>0</v>
      </c>
      <c r="F134" s="91">
        <v>0</v>
      </c>
      <c r="G134" s="91">
        <f t="shared" si="43"/>
        <v>900000</v>
      </c>
      <c r="H134" s="91">
        <v>0</v>
      </c>
      <c r="I134" s="91">
        <v>865150</v>
      </c>
      <c r="J134" s="91">
        <f t="shared" si="37"/>
        <v>34850</v>
      </c>
      <c r="K134" s="91">
        <v>0</v>
      </c>
      <c r="L134" s="91">
        <v>865150</v>
      </c>
      <c r="M134" s="91">
        <f t="shared" si="38"/>
        <v>0</v>
      </c>
      <c r="N134" s="91">
        <v>865150</v>
      </c>
      <c r="O134" s="91">
        <f t="shared" si="39"/>
        <v>0</v>
      </c>
      <c r="P134" s="91">
        <f t="shared" si="40"/>
        <v>34850</v>
      </c>
      <c r="Q134" s="91">
        <f t="shared" si="41"/>
        <v>865150</v>
      </c>
      <c r="S134" s="96">
        <v>21221229</v>
      </c>
      <c r="T134" s="117" t="s">
        <v>718</v>
      </c>
      <c r="U134" s="95">
        <v>900000</v>
      </c>
      <c r="V134" s="95">
        <v>0</v>
      </c>
      <c r="W134" s="95">
        <v>0</v>
      </c>
      <c r="X134" s="95">
        <v>0</v>
      </c>
      <c r="Y134" s="95">
        <v>900000</v>
      </c>
      <c r="Z134" s="95">
        <v>0</v>
      </c>
      <c r="AA134" s="95">
        <v>0</v>
      </c>
      <c r="AB134" s="120">
        <v>0</v>
      </c>
      <c r="AC134" s="95">
        <v>0</v>
      </c>
      <c r="AD134" s="95">
        <v>865150</v>
      </c>
      <c r="AE134" s="120">
        <v>865150</v>
      </c>
      <c r="AF134" s="95">
        <v>34850</v>
      </c>
      <c r="AG134" s="95">
        <v>0</v>
      </c>
      <c r="AH134" s="120">
        <v>0</v>
      </c>
      <c r="AI134" s="120">
        <v>865150</v>
      </c>
      <c r="AJ134" s="84">
        <v>0</v>
      </c>
      <c r="AK134" s="84">
        <v>0</v>
      </c>
      <c r="AL134" s="84">
        <v>0</v>
      </c>
      <c r="AM134" s="84">
        <v>865150</v>
      </c>
      <c r="AN134" s="121">
        <v>865150</v>
      </c>
      <c r="AO134" s="84">
        <v>0</v>
      </c>
      <c r="AP134" s="95">
        <v>34850</v>
      </c>
      <c r="AQ134" s="84">
        <v>0</v>
      </c>
      <c r="AS134" s="118">
        <f t="shared" si="42"/>
        <v>0</v>
      </c>
    </row>
    <row r="135" spans="1:45" s="100" customFormat="1" x14ac:dyDescent="0.25">
      <c r="A135" s="109">
        <v>2122123</v>
      </c>
      <c r="B135" s="110" t="s">
        <v>65</v>
      </c>
      <c r="C135" s="111">
        <f>+C136</f>
        <v>259410500</v>
      </c>
      <c r="D135" s="111">
        <v>0</v>
      </c>
      <c r="E135" s="111">
        <v>0</v>
      </c>
      <c r="F135" s="111">
        <v>0</v>
      </c>
      <c r="G135" s="111">
        <f t="shared" si="43"/>
        <v>259410500</v>
      </c>
      <c r="H135" s="111">
        <v>0</v>
      </c>
      <c r="I135" s="111">
        <v>0</v>
      </c>
      <c r="J135" s="111">
        <f t="shared" si="37"/>
        <v>259410500</v>
      </c>
      <c r="K135" s="111">
        <v>0</v>
      </c>
      <c r="L135" s="111">
        <v>0</v>
      </c>
      <c r="M135" s="111">
        <f t="shared" si="38"/>
        <v>0</v>
      </c>
      <c r="N135" s="111">
        <v>259410500</v>
      </c>
      <c r="O135" s="111">
        <f t="shared" si="39"/>
        <v>259410500</v>
      </c>
      <c r="P135" s="111">
        <f t="shared" si="40"/>
        <v>0</v>
      </c>
      <c r="Q135" s="111">
        <f t="shared" si="41"/>
        <v>0</v>
      </c>
      <c r="S135" s="101">
        <v>2122123</v>
      </c>
      <c r="T135" s="116" t="s">
        <v>65</v>
      </c>
      <c r="U135" s="102">
        <v>259410500</v>
      </c>
      <c r="V135" s="102">
        <v>0</v>
      </c>
      <c r="W135" s="102">
        <v>0</v>
      </c>
      <c r="X135" s="102">
        <v>0</v>
      </c>
      <c r="Y135" s="102">
        <v>259410500</v>
      </c>
      <c r="Z135" s="102">
        <v>0</v>
      </c>
      <c r="AA135" s="102">
        <v>0</v>
      </c>
      <c r="AB135" s="119">
        <v>0</v>
      </c>
      <c r="AC135" s="102">
        <v>0</v>
      </c>
      <c r="AD135" s="102">
        <v>0</v>
      </c>
      <c r="AE135" s="119">
        <v>0</v>
      </c>
      <c r="AF135" s="102">
        <v>259410500</v>
      </c>
      <c r="AG135" s="102">
        <v>0</v>
      </c>
      <c r="AH135" s="119">
        <v>0</v>
      </c>
      <c r="AI135" s="119">
        <v>0</v>
      </c>
      <c r="AJ135" s="100">
        <v>0</v>
      </c>
      <c r="AK135" s="100">
        <v>0</v>
      </c>
      <c r="AL135" s="100">
        <v>0</v>
      </c>
      <c r="AM135" s="100">
        <v>259410500</v>
      </c>
      <c r="AN135" s="122">
        <v>259410500</v>
      </c>
      <c r="AO135" s="100">
        <v>259410500</v>
      </c>
      <c r="AP135" s="102">
        <v>0</v>
      </c>
      <c r="AQ135" s="100">
        <v>0</v>
      </c>
      <c r="AS135" s="118">
        <f t="shared" ref="AS135:AS198" si="48">+E135-W135</f>
        <v>0</v>
      </c>
    </row>
    <row r="136" spans="1:45" x14ac:dyDescent="0.25">
      <c r="A136" s="88">
        <v>21221238</v>
      </c>
      <c r="B136" s="86" t="s">
        <v>570</v>
      </c>
      <c r="C136" s="91">
        <v>259410500</v>
      </c>
      <c r="D136" s="91">
        <v>0</v>
      </c>
      <c r="E136" s="91">
        <v>0</v>
      </c>
      <c r="F136" s="91">
        <v>0</v>
      </c>
      <c r="G136" s="91">
        <f t="shared" si="43"/>
        <v>259410500</v>
      </c>
      <c r="H136" s="91">
        <v>0</v>
      </c>
      <c r="I136" s="91">
        <v>0</v>
      </c>
      <c r="J136" s="91">
        <f t="shared" ref="J136:J212" si="49">+G136-I136</f>
        <v>259410500</v>
      </c>
      <c r="K136" s="91">
        <v>0</v>
      </c>
      <c r="L136" s="91">
        <v>0</v>
      </c>
      <c r="M136" s="91">
        <f t="shared" ref="M136:M212" si="50">+I136-L136</f>
        <v>0</v>
      </c>
      <c r="N136" s="91">
        <v>259410500</v>
      </c>
      <c r="O136" s="91">
        <f t="shared" ref="O136:O212" si="51">+N136-I136</f>
        <v>259410500</v>
      </c>
      <c r="P136" s="91">
        <f t="shared" ref="P136:P212" si="52">+G136-N136</f>
        <v>0</v>
      </c>
      <c r="Q136" s="91">
        <f t="shared" ref="Q136:Q212" si="53">+L136</f>
        <v>0</v>
      </c>
      <c r="S136" s="96">
        <v>21221238</v>
      </c>
      <c r="T136" s="117" t="s">
        <v>65</v>
      </c>
      <c r="U136" s="95">
        <v>259410500</v>
      </c>
      <c r="V136" s="95">
        <v>0</v>
      </c>
      <c r="W136" s="95">
        <v>0</v>
      </c>
      <c r="X136" s="95">
        <v>0</v>
      </c>
      <c r="Y136" s="95">
        <v>259410500</v>
      </c>
      <c r="Z136" s="95">
        <v>0</v>
      </c>
      <c r="AA136" s="95">
        <v>0</v>
      </c>
      <c r="AB136" s="120">
        <v>0</v>
      </c>
      <c r="AC136" s="95">
        <v>0</v>
      </c>
      <c r="AD136" s="95">
        <v>0</v>
      </c>
      <c r="AE136" s="120">
        <v>0</v>
      </c>
      <c r="AF136" s="95">
        <v>259410500</v>
      </c>
      <c r="AG136" s="95">
        <v>0</v>
      </c>
      <c r="AH136" s="120">
        <v>0</v>
      </c>
      <c r="AI136" s="120">
        <v>0</v>
      </c>
      <c r="AJ136" s="84">
        <v>0</v>
      </c>
      <c r="AK136" s="84">
        <v>0</v>
      </c>
      <c r="AL136" s="84">
        <v>0</v>
      </c>
      <c r="AM136" s="84">
        <v>259410500</v>
      </c>
      <c r="AN136" s="121">
        <v>259410500</v>
      </c>
      <c r="AO136" s="84">
        <v>259410500</v>
      </c>
      <c r="AP136" s="95">
        <v>0</v>
      </c>
      <c r="AQ136" s="84">
        <v>0</v>
      </c>
      <c r="AS136" s="118">
        <f t="shared" si="48"/>
        <v>0</v>
      </c>
    </row>
    <row r="137" spans="1:45" s="100" customFormat="1" ht="30" x14ac:dyDescent="0.25">
      <c r="A137" s="106">
        <v>212213</v>
      </c>
      <c r="B137" s="107" t="s">
        <v>66</v>
      </c>
      <c r="C137" s="108">
        <f>+C138+C146+C148</f>
        <v>555400000</v>
      </c>
      <c r="D137" s="108">
        <v>143200000</v>
      </c>
      <c r="E137" s="108">
        <v>0</v>
      </c>
      <c r="F137" s="108">
        <v>140000000</v>
      </c>
      <c r="G137" s="108">
        <f t="shared" si="43"/>
        <v>838600000</v>
      </c>
      <c r="H137" s="108">
        <v>84704519</v>
      </c>
      <c r="I137" s="108">
        <v>134529304</v>
      </c>
      <c r="J137" s="108">
        <f t="shared" si="49"/>
        <v>704070696</v>
      </c>
      <c r="K137" s="108">
        <v>18570943</v>
      </c>
      <c r="L137" s="108">
        <v>31547244</v>
      </c>
      <c r="M137" s="108">
        <f t="shared" si="50"/>
        <v>102982060</v>
      </c>
      <c r="N137" s="108">
        <v>212087258</v>
      </c>
      <c r="O137" s="108">
        <f t="shared" si="51"/>
        <v>77557954</v>
      </c>
      <c r="P137" s="108">
        <f t="shared" si="52"/>
        <v>626512742</v>
      </c>
      <c r="Q137" s="108">
        <f t="shared" si="53"/>
        <v>31547244</v>
      </c>
      <c r="S137" s="101">
        <v>212213</v>
      </c>
      <c r="T137" s="116" t="s">
        <v>66</v>
      </c>
      <c r="U137" s="102">
        <v>555400000</v>
      </c>
      <c r="V137" s="102">
        <v>143200000</v>
      </c>
      <c r="W137" s="102">
        <v>0</v>
      </c>
      <c r="X137" s="102">
        <v>140000000</v>
      </c>
      <c r="Y137" s="102">
        <v>838600000</v>
      </c>
      <c r="Z137" s="102">
        <v>0</v>
      </c>
      <c r="AA137" s="102">
        <v>0</v>
      </c>
      <c r="AB137" s="119">
        <v>84704519</v>
      </c>
      <c r="AC137" s="102">
        <v>84704519</v>
      </c>
      <c r="AD137" s="102">
        <v>134529304</v>
      </c>
      <c r="AE137" s="119">
        <v>134529304</v>
      </c>
      <c r="AF137" s="102">
        <v>704070696</v>
      </c>
      <c r="AG137" s="102">
        <v>0</v>
      </c>
      <c r="AH137" s="119">
        <v>18570943</v>
      </c>
      <c r="AI137" s="119">
        <v>31547244</v>
      </c>
      <c r="AJ137" s="100">
        <v>102982060</v>
      </c>
      <c r="AK137" s="100">
        <v>0</v>
      </c>
      <c r="AL137" s="100">
        <v>134296339</v>
      </c>
      <c r="AM137" s="100">
        <v>212087258</v>
      </c>
      <c r="AN137" s="122">
        <v>212087258</v>
      </c>
      <c r="AO137" s="100">
        <v>77557954</v>
      </c>
      <c r="AP137" s="102">
        <v>626512742</v>
      </c>
      <c r="AQ137" s="100">
        <v>0</v>
      </c>
      <c r="AS137" s="118">
        <f t="shared" si="48"/>
        <v>0</v>
      </c>
    </row>
    <row r="138" spans="1:45" s="100" customFormat="1" ht="30" x14ac:dyDescent="0.25">
      <c r="A138" s="109">
        <v>2122132</v>
      </c>
      <c r="B138" s="110" t="s">
        <v>67</v>
      </c>
      <c r="C138" s="111">
        <f>SUM(C139:C145)</f>
        <v>172500000</v>
      </c>
      <c r="D138" s="111">
        <v>0</v>
      </c>
      <c r="E138" s="111">
        <v>0</v>
      </c>
      <c r="F138" s="111">
        <v>0</v>
      </c>
      <c r="G138" s="111">
        <f t="shared" si="43"/>
        <v>172500000</v>
      </c>
      <c r="H138" s="111">
        <v>4419980</v>
      </c>
      <c r="I138" s="111">
        <v>43227531</v>
      </c>
      <c r="J138" s="111">
        <f t="shared" si="49"/>
        <v>129272469</v>
      </c>
      <c r="K138" s="111">
        <v>9690780</v>
      </c>
      <c r="L138" s="111">
        <v>13629731</v>
      </c>
      <c r="M138" s="111">
        <f t="shared" si="50"/>
        <v>29597800</v>
      </c>
      <c r="N138" s="111">
        <v>53241631</v>
      </c>
      <c r="O138" s="111">
        <f t="shared" si="51"/>
        <v>10014100</v>
      </c>
      <c r="P138" s="111">
        <f t="shared" si="52"/>
        <v>119258369</v>
      </c>
      <c r="Q138" s="111">
        <f t="shared" si="53"/>
        <v>13629731</v>
      </c>
      <c r="S138" s="101">
        <v>2122132</v>
      </c>
      <c r="T138" s="116" t="s">
        <v>67</v>
      </c>
      <c r="U138" s="102">
        <v>172500000</v>
      </c>
      <c r="V138" s="102">
        <v>0</v>
      </c>
      <c r="W138" s="102">
        <v>0</v>
      </c>
      <c r="X138" s="102">
        <v>0</v>
      </c>
      <c r="Y138" s="102">
        <v>172500000</v>
      </c>
      <c r="Z138" s="102">
        <v>0</v>
      </c>
      <c r="AA138" s="102">
        <v>0</v>
      </c>
      <c r="AB138" s="119">
        <v>4419980</v>
      </c>
      <c r="AC138" s="102">
        <v>4419980</v>
      </c>
      <c r="AD138" s="102">
        <v>43227531</v>
      </c>
      <c r="AE138" s="119">
        <v>43227531</v>
      </c>
      <c r="AF138" s="102">
        <v>129272469</v>
      </c>
      <c r="AG138" s="102">
        <v>0</v>
      </c>
      <c r="AH138" s="119">
        <v>9690780</v>
      </c>
      <c r="AI138" s="119">
        <v>13629731</v>
      </c>
      <c r="AJ138" s="100">
        <v>29597800</v>
      </c>
      <c r="AK138" s="100">
        <v>0</v>
      </c>
      <c r="AL138" s="100">
        <v>4419980</v>
      </c>
      <c r="AM138" s="100">
        <v>53241631</v>
      </c>
      <c r="AN138" s="122">
        <v>53241631</v>
      </c>
      <c r="AO138" s="100">
        <v>10014100</v>
      </c>
      <c r="AP138" s="102">
        <v>119258369</v>
      </c>
      <c r="AQ138" s="100">
        <v>0</v>
      </c>
      <c r="AS138" s="118">
        <f t="shared" si="48"/>
        <v>0</v>
      </c>
    </row>
    <row r="139" spans="1:45" x14ac:dyDescent="0.25">
      <c r="A139" s="88">
        <v>21221321</v>
      </c>
      <c r="B139" s="86" t="s">
        <v>571</v>
      </c>
      <c r="C139" s="91">
        <v>80000000</v>
      </c>
      <c r="D139" s="91">
        <v>0</v>
      </c>
      <c r="E139" s="91">
        <v>0</v>
      </c>
      <c r="F139" s="91">
        <v>0</v>
      </c>
      <c r="G139" s="91">
        <f t="shared" si="43"/>
        <v>80000000</v>
      </c>
      <c r="H139" s="91">
        <v>4047570</v>
      </c>
      <c r="I139" s="91">
        <v>36728030</v>
      </c>
      <c r="J139" s="91">
        <f t="shared" si="49"/>
        <v>43271970</v>
      </c>
      <c r="K139" s="91">
        <v>6618370</v>
      </c>
      <c r="L139" s="91">
        <v>7330230</v>
      </c>
      <c r="M139" s="91">
        <f t="shared" si="50"/>
        <v>29397800</v>
      </c>
      <c r="N139" s="91">
        <v>46742130</v>
      </c>
      <c r="O139" s="91">
        <f t="shared" si="51"/>
        <v>10014100</v>
      </c>
      <c r="P139" s="91">
        <f t="shared" si="52"/>
        <v>33257870</v>
      </c>
      <c r="Q139" s="91">
        <f t="shared" si="53"/>
        <v>7330230</v>
      </c>
      <c r="S139" s="96">
        <v>21221321</v>
      </c>
      <c r="T139" s="117" t="s">
        <v>719</v>
      </c>
      <c r="U139" s="95">
        <v>80000000</v>
      </c>
      <c r="V139" s="95">
        <v>0</v>
      </c>
      <c r="W139" s="95">
        <v>0</v>
      </c>
      <c r="X139" s="95">
        <v>0</v>
      </c>
      <c r="Y139" s="95">
        <v>80000000</v>
      </c>
      <c r="Z139" s="95">
        <v>0</v>
      </c>
      <c r="AA139" s="95">
        <v>0</v>
      </c>
      <c r="AB139" s="120">
        <v>4047570</v>
      </c>
      <c r="AC139" s="95">
        <v>4047570</v>
      </c>
      <c r="AD139" s="95">
        <v>36728030</v>
      </c>
      <c r="AE139" s="120">
        <v>36728030</v>
      </c>
      <c r="AF139" s="95">
        <v>43271970</v>
      </c>
      <c r="AG139" s="95">
        <v>0</v>
      </c>
      <c r="AH139" s="120">
        <v>6618370</v>
      </c>
      <c r="AI139" s="120">
        <v>7330230</v>
      </c>
      <c r="AJ139" s="84">
        <v>29397800</v>
      </c>
      <c r="AK139" s="84">
        <v>0</v>
      </c>
      <c r="AL139" s="84">
        <v>4047570</v>
      </c>
      <c r="AM139" s="84">
        <v>46742130</v>
      </c>
      <c r="AN139" s="121">
        <v>46742130</v>
      </c>
      <c r="AO139" s="84">
        <v>10014100</v>
      </c>
      <c r="AP139" s="95">
        <v>33257870</v>
      </c>
      <c r="AQ139" s="84">
        <v>0</v>
      </c>
      <c r="AS139" s="118">
        <f t="shared" si="48"/>
        <v>0</v>
      </c>
    </row>
    <row r="140" spans="1:45" x14ac:dyDescent="0.25">
      <c r="A140" s="88">
        <v>21221322</v>
      </c>
      <c r="B140" s="86" t="s">
        <v>572</v>
      </c>
      <c r="C140" s="91">
        <v>25000000</v>
      </c>
      <c r="D140" s="91">
        <v>0</v>
      </c>
      <c r="E140" s="91">
        <v>0</v>
      </c>
      <c r="F140" s="91">
        <v>0</v>
      </c>
      <c r="G140" s="91">
        <f t="shared" si="43"/>
        <v>25000000</v>
      </c>
      <c r="H140" s="91">
        <v>0</v>
      </c>
      <c r="I140" s="91">
        <v>0</v>
      </c>
      <c r="J140" s="91">
        <f t="shared" si="49"/>
        <v>25000000</v>
      </c>
      <c r="K140" s="91">
        <v>0</v>
      </c>
      <c r="L140" s="91">
        <v>0</v>
      </c>
      <c r="M140" s="91">
        <f t="shared" si="50"/>
        <v>0</v>
      </c>
      <c r="N140" s="91">
        <v>0</v>
      </c>
      <c r="O140" s="91">
        <f t="shared" si="51"/>
        <v>0</v>
      </c>
      <c r="P140" s="91">
        <f t="shared" si="52"/>
        <v>25000000</v>
      </c>
      <c r="Q140" s="91">
        <f t="shared" si="53"/>
        <v>0</v>
      </c>
      <c r="S140" s="96">
        <v>21221322</v>
      </c>
      <c r="T140" s="117" t="s">
        <v>720</v>
      </c>
      <c r="U140" s="95">
        <v>25000000</v>
      </c>
      <c r="V140" s="95">
        <v>0</v>
      </c>
      <c r="W140" s="95">
        <v>0</v>
      </c>
      <c r="X140" s="95">
        <v>0</v>
      </c>
      <c r="Y140" s="95">
        <v>25000000</v>
      </c>
      <c r="Z140" s="95">
        <v>0</v>
      </c>
      <c r="AA140" s="95">
        <v>0</v>
      </c>
      <c r="AB140" s="120">
        <v>0</v>
      </c>
      <c r="AC140" s="95">
        <v>0</v>
      </c>
      <c r="AD140" s="95">
        <v>0</v>
      </c>
      <c r="AE140" s="120">
        <v>0</v>
      </c>
      <c r="AF140" s="95">
        <v>25000000</v>
      </c>
      <c r="AG140" s="95">
        <v>0</v>
      </c>
      <c r="AH140" s="120">
        <v>0</v>
      </c>
      <c r="AI140" s="120">
        <v>0</v>
      </c>
      <c r="AJ140" s="84">
        <v>0</v>
      </c>
      <c r="AK140" s="84">
        <v>0</v>
      </c>
      <c r="AL140" s="84">
        <v>0</v>
      </c>
      <c r="AM140" s="84">
        <v>0</v>
      </c>
      <c r="AN140" s="121">
        <v>0</v>
      </c>
      <c r="AO140" s="84">
        <v>0</v>
      </c>
      <c r="AP140" s="95">
        <v>25000000</v>
      </c>
      <c r="AQ140" s="84">
        <v>0</v>
      </c>
      <c r="AS140" s="118">
        <f t="shared" si="48"/>
        <v>0</v>
      </c>
    </row>
    <row r="141" spans="1:45" ht="30" x14ac:dyDescent="0.25">
      <c r="A141" s="88">
        <v>21221323</v>
      </c>
      <c r="B141" s="86" t="s">
        <v>573</v>
      </c>
      <c r="C141" s="91">
        <v>8000000</v>
      </c>
      <c r="D141" s="91">
        <v>0</v>
      </c>
      <c r="E141" s="91">
        <v>0</v>
      </c>
      <c r="F141" s="91">
        <v>0</v>
      </c>
      <c r="G141" s="91">
        <f t="shared" si="43"/>
        <v>8000000</v>
      </c>
      <c r="H141" s="91">
        <v>0</v>
      </c>
      <c r="I141" s="91">
        <v>0</v>
      </c>
      <c r="J141" s="91">
        <f t="shared" si="49"/>
        <v>8000000</v>
      </c>
      <c r="K141" s="91">
        <v>0</v>
      </c>
      <c r="L141" s="91">
        <v>0</v>
      </c>
      <c r="M141" s="91">
        <f t="shared" si="50"/>
        <v>0</v>
      </c>
      <c r="N141" s="91">
        <v>0</v>
      </c>
      <c r="O141" s="91">
        <f t="shared" si="51"/>
        <v>0</v>
      </c>
      <c r="P141" s="91">
        <f t="shared" si="52"/>
        <v>8000000</v>
      </c>
      <c r="Q141" s="91">
        <f t="shared" si="53"/>
        <v>0</v>
      </c>
      <c r="S141" s="96">
        <v>21221323</v>
      </c>
      <c r="T141" s="117" t="s">
        <v>721</v>
      </c>
      <c r="U141" s="95">
        <v>8000000</v>
      </c>
      <c r="V141" s="95">
        <v>0</v>
      </c>
      <c r="W141" s="95">
        <v>0</v>
      </c>
      <c r="X141" s="95">
        <v>0</v>
      </c>
      <c r="Y141" s="95">
        <v>8000000</v>
      </c>
      <c r="Z141" s="95">
        <v>0</v>
      </c>
      <c r="AA141" s="95">
        <v>0</v>
      </c>
      <c r="AB141" s="120">
        <v>0</v>
      </c>
      <c r="AC141" s="95">
        <v>0</v>
      </c>
      <c r="AD141" s="95">
        <v>0</v>
      </c>
      <c r="AE141" s="120">
        <v>0</v>
      </c>
      <c r="AF141" s="95">
        <v>8000000</v>
      </c>
      <c r="AG141" s="95">
        <v>0</v>
      </c>
      <c r="AH141" s="120">
        <v>0</v>
      </c>
      <c r="AI141" s="120">
        <v>0</v>
      </c>
      <c r="AJ141" s="84">
        <v>0</v>
      </c>
      <c r="AK141" s="84">
        <v>0</v>
      </c>
      <c r="AL141" s="84">
        <v>0</v>
      </c>
      <c r="AM141" s="84">
        <v>0</v>
      </c>
      <c r="AN141" s="121">
        <v>0</v>
      </c>
      <c r="AO141" s="84">
        <v>0</v>
      </c>
      <c r="AP141" s="95">
        <v>8000000</v>
      </c>
      <c r="AQ141" s="84">
        <v>0</v>
      </c>
      <c r="AS141" s="118">
        <f t="shared" si="48"/>
        <v>0</v>
      </c>
    </row>
    <row r="142" spans="1:45" ht="30" x14ac:dyDescent="0.25">
      <c r="A142" s="88">
        <v>21221324</v>
      </c>
      <c r="B142" s="86" t="s">
        <v>574</v>
      </c>
      <c r="C142" s="91">
        <v>15000000</v>
      </c>
      <c r="D142" s="91">
        <v>0</v>
      </c>
      <c r="E142" s="91">
        <v>0</v>
      </c>
      <c r="F142" s="91">
        <v>0</v>
      </c>
      <c r="G142" s="91">
        <f t="shared" si="43"/>
        <v>15000000</v>
      </c>
      <c r="H142" s="91">
        <v>0</v>
      </c>
      <c r="I142" s="91">
        <v>500000</v>
      </c>
      <c r="J142" s="91">
        <f t="shared" si="49"/>
        <v>14500000</v>
      </c>
      <c r="K142" s="91">
        <v>0</v>
      </c>
      <c r="L142" s="91">
        <v>500000</v>
      </c>
      <c r="M142" s="91">
        <f t="shared" si="50"/>
        <v>0</v>
      </c>
      <c r="N142" s="91">
        <v>500000</v>
      </c>
      <c r="O142" s="91">
        <f t="shared" si="51"/>
        <v>0</v>
      </c>
      <c r="P142" s="91">
        <f t="shared" si="52"/>
        <v>14500000</v>
      </c>
      <c r="Q142" s="91">
        <f t="shared" si="53"/>
        <v>500000</v>
      </c>
      <c r="S142" s="96">
        <v>21221324</v>
      </c>
      <c r="T142" s="117" t="s">
        <v>722</v>
      </c>
      <c r="U142" s="95">
        <v>15000000</v>
      </c>
      <c r="V142" s="95">
        <v>0</v>
      </c>
      <c r="W142" s="95">
        <v>0</v>
      </c>
      <c r="X142" s="95">
        <v>0</v>
      </c>
      <c r="Y142" s="95">
        <v>15000000</v>
      </c>
      <c r="Z142" s="95">
        <v>0</v>
      </c>
      <c r="AA142" s="95">
        <v>0</v>
      </c>
      <c r="AB142" s="120">
        <v>0</v>
      </c>
      <c r="AC142" s="95">
        <v>0</v>
      </c>
      <c r="AD142" s="95">
        <v>500000</v>
      </c>
      <c r="AE142" s="120">
        <v>500000</v>
      </c>
      <c r="AF142" s="95">
        <v>14500000</v>
      </c>
      <c r="AG142" s="95">
        <v>0</v>
      </c>
      <c r="AH142" s="120">
        <v>0</v>
      </c>
      <c r="AI142" s="120">
        <v>500000</v>
      </c>
      <c r="AJ142" s="84">
        <v>0</v>
      </c>
      <c r="AK142" s="84">
        <v>0</v>
      </c>
      <c r="AL142" s="84">
        <v>0</v>
      </c>
      <c r="AM142" s="84">
        <v>500000</v>
      </c>
      <c r="AN142" s="121">
        <v>500000</v>
      </c>
      <c r="AO142" s="84">
        <v>0</v>
      </c>
      <c r="AP142" s="95">
        <v>14500000</v>
      </c>
      <c r="AQ142" s="84">
        <v>0</v>
      </c>
      <c r="AS142" s="118">
        <f t="shared" si="48"/>
        <v>0</v>
      </c>
    </row>
    <row r="143" spans="1:45" ht="30" x14ac:dyDescent="0.25">
      <c r="A143" s="88">
        <v>21221326</v>
      </c>
      <c r="B143" s="86" t="s">
        <v>575</v>
      </c>
      <c r="C143" s="91">
        <v>40000000</v>
      </c>
      <c r="D143" s="91">
        <v>0</v>
      </c>
      <c r="E143" s="91">
        <v>0</v>
      </c>
      <c r="F143" s="91">
        <v>0</v>
      </c>
      <c r="G143" s="91">
        <f t="shared" si="43"/>
        <v>40000000</v>
      </c>
      <c r="H143" s="91">
        <v>268000</v>
      </c>
      <c r="I143" s="91">
        <v>3908000</v>
      </c>
      <c r="J143" s="91">
        <f t="shared" si="49"/>
        <v>36092000</v>
      </c>
      <c r="K143" s="91">
        <v>2768000</v>
      </c>
      <c r="L143" s="91">
        <v>3808000</v>
      </c>
      <c r="M143" s="91">
        <f t="shared" si="50"/>
        <v>100000</v>
      </c>
      <c r="N143" s="91">
        <v>3908000</v>
      </c>
      <c r="O143" s="91">
        <f t="shared" si="51"/>
        <v>0</v>
      </c>
      <c r="P143" s="91">
        <f t="shared" si="52"/>
        <v>36092000</v>
      </c>
      <c r="Q143" s="91">
        <f t="shared" si="53"/>
        <v>3808000</v>
      </c>
      <c r="S143" s="96">
        <v>21221326</v>
      </c>
      <c r="T143" s="117" t="s">
        <v>723</v>
      </c>
      <c r="U143" s="95">
        <v>40000000</v>
      </c>
      <c r="V143" s="95">
        <v>0</v>
      </c>
      <c r="W143" s="95">
        <v>0</v>
      </c>
      <c r="X143" s="95">
        <v>0</v>
      </c>
      <c r="Y143" s="95">
        <v>40000000</v>
      </c>
      <c r="Z143" s="95">
        <v>0</v>
      </c>
      <c r="AA143" s="95">
        <v>0</v>
      </c>
      <c r="AB143" s="120">
        <v>268000</v>
      </c>
      <c r="AC143" s="95">
        <v>268000</v>
      </c>
      <c r="AD143" s="95">
        <v>3908000</v>
      </c>
      <c r="AE143" s="120">
        <v>3908000</v>
      </c>
      <c r="AF143" s="95">
        <v>36092000</v>
      </c>
      <c r="AG143" s="95">
        <v>0</v>
      </c>
      <c r="AH143" s="120">
        <v>2768000</v>
      </c>
      <c r="AI143" s="120">
        <v>3808000</v>
      </c>
      <c r="AJ143" s="84">
        <v>100000</v>
      </c>
      <c r="AK143" s="84">
        <v>0</v>
      </c>
      <c r="AL143" s="84">
        <v>268000</v>
      </c>
      <c r="AM143" s="84">
        <v>3908000</v>
      </c>
      <c r="AN143" s="121">
        <v>3908000</v>
      </c>
      <c r="AO143" s="84">
        <v>0</v>
      </c>
      <c r="AP143" s="95">
        <v>36092000</v>
      </c>
      <c r="AQ143" s="84">
        <v>0</v>
      </c>
      <c r="AS143" s="118">
        <f t="shared" si="48"/>
        <v>0</v>
      </c>
    </row>
    <row r="144" spans="1:45" ht="30" x14ac:dyDescent="0.25">
      <c r="A144" s="88">
        <v>21221327</v>
      </c>
      <c r="B144" s="86" t="s">
        <v>638</v>
      </c>
      <c r="C144" s="91">
        <v>3000000</v>
      </c>
      <c r="D144" s="91">
        <v>0</v>
      </c>
      <c r="E144" s="91">
        <v>0</v>
      </c>
      <c r="F144" s="91">
        <v>0</v>
      </c>
      <c r="G144" s="91">
        <f t="shared" ref="G144:G208" si="54">+C144+D144-E144+F144</f>
        <v>3000000</v>
      </c>
      <c r="H144" s="91">
        <v>104410</v>
      </c>
      <c r="I144" s="91">
        <v>1691501</v>
      </c>
      <c r="J144" s="91">
        <f t="shared" si="49"/>
        <v>1308499</v>
      </c>
      <c r="K144" s="91">
        <v>304410</v>
      </c>
      <c r="L144" s="91">
        <v>1591501</v>
      </c>
      <c r="M144" s="91">
        <f t="shared" si="50"/>
        <v>100000</v>
      </c>
      <c r="N144" s="91">
        <v>1691501</v>
      </c>
      <c r="O144" s="91">
        <f t="shared" si="51"/>
        <v>0</v>
      </c>
      <c r="P144" s="91">
        <f t="shared" si="52"/>
        <v>1308499</v>
      </c>
      <c r="Q144" s="91">
        <f t="shared" si="53"/>
        <v>1591501</v>
      </c>
      <c r="S144" s="96">
        <v>21221327</v>
      </c>
      <c r="T144" s="117" t="s">
        <v>724</v>
      </c>
      <c r="U144" s="95">
        <v>3000000</v>
      </c>
      <c r="V144" s="95">
        <v>0</v>
      </c>
      <c r="W144" s="95">
        <v>0</v>
      </c>
      <c r="X144" s="95">
        <v>0</v>
      </c>
      <c r="Y144" s="95">
        <v>3000000</v>
      </c>
      <c r="Z144" s="95">
        <v>0</v>
      </c>
      <c r="AA144" s="95">
        <v>0</v>
      </c>
      <c r="AB144" s="120">
        <v>104410</v>
      </c>
      <c r="AC144" s="95">
        <v>104410</v>
      </c>
      <c r="AD144" s="95">
        <v>1691501</v>
      </c>
      <c r="AE144" s="120">
        <v>1691501</v>
      </c>
      <c r="AF144" s="95">
        <v>1308499</v>
      </c>
      <c r="AG144" s="95">
        <v>0</v>
      </c>
      <c r="AH144" s="120">
        <v>304410</v>
      </c>
      <c r="AI144" s="120">
        <v>1591501</v>
      </c>
      <c r="AJ144" s="84">
        <v>100000</v>
      </c>
      <c r="AK144" s="84">
        <v>0</v>
      </c>
      <c r="AL144" s="84">
        <v>104410</v>
      </c>
      <c r="AM144" s="84">
        <v>1691501</v>
      </c>
      <c r="AN144" s="121">
        <v>1691501</v>
      </c>
      <c r="AO144" s="84">
        <v>0</v>
      </c>
      <c r="AP144" s="95">
        <v>1308499</v>
      </c>
      <c r="AQ144" s="84">
        <v>0</v>
      </c>
      <c r="AS144" s="118">
        <f t="shared" si="48"/>
        <v>0</v>
      </c>
    </row>
    <row r="145" spans="1:45" ht="30" x14ac:dyDescent="0.25">
      <c r="A145" s="88">
        <v>21221328</v>
      </c>
      <c r="B145" s="86" t="s">
        <v>639</v>
      </c>
      <c r="C145" s="91">
        <v>1500000</v>
      </c>
      <c r="D145" s="91">
        <v>0</v>
      </c>
      <c r="E145" s="91">
        <v>0</v>
      </c>
      <c r="F145" s="91">
        <v>0</v>
      </c>
      <c r="G145" s="91">
        <f t="shared" si="54"/>
        <v>1500000</v>
      </c>
      <c r="H145" s="91">
        <v>0</v>
      </c>
      <c r="I145" s="91">
        <v>400000</v>
      </c>
      <c r="J145" s="91">
        <f t="shared" si="49"/>
        <v>1100000</v>
      </c>
      <c r="K145" s="91">
        <v>0</v>
      </c>
      <c r="L145" s="91">
        <v>400000</v>
      </c>
      <c r="M145" s="91">
        <f t="shared" si="50"/>
        <v>0</v>
      </c>
      <c r="N145" s="91">
        <v>400000</v>
      </c>
      <c r="O145" s="91">
        <f t="shared" si="51"/>
        <v>0</v>
      </c>
      <c r="P145" s="91">
        <f t="shared" si="52"/>
        <v>1100000</v>
      </c>
      <c r="Q145" s="91">
        <f t="shared" si="53"/>
        <v>400000</v>
      </c>
      <c r="S145" s="96">
        <v>21221328</v>
      </c>
      <c r="T145" s="117" t="s">
        <v>725</v>
      </c>
      <c r="U145" s="95">
        <v>1500000</v>
      </c>
      <c r="V145" s="95">
        <v>0</v>
      </c>
      <c r="W145" s="95">
        <v>0</v>
      </c>
      <c r="X145" s="95">
        <v>0</v>
      </c>
      <c r="Y145" s="95">
        <v>1500000</v>
      </c>
      <c r="Z145" s="95">
        <v>0</v>
      </c>
      <c r="AA145" s="95">
        <v>0</v>
      </c>
      <c r="AB145" s="120">
        <v>0</v>
      </c>
      <c r="AC145" s="95">
        <v>0</v>
      </c>
      <c r="AD145" s="95">
        <v>400000</v>
      </c>
      <c r="AE145" s="120">
        <v>400000</v>
      </c>
      <c r="AF145" s="95">
        <v>1100000</v>
      </c>
      <c r="AG145" s="95">
        <v>0</v>
      </c>
      <c r="AH145" s="120">
        <v>0</v>
      </c>
      <c r="AI145" s="120">
        <v>400000</v>
      </c>
      <c r="AJ145" s="84">
        <v>0</v>
      </c>
      <c r="AK145" s="84">
        <v>0</v>
      </c>
      <c r="AL145" s="84">
        <v>0</v>
      </c>
      <c r="AM145" s="84">
        <v>400000</v>
      </c>
      <c r="AN145" s="121">
        <v>400000</v>
      </c>
      <c r="AO145" s="84">
        <v>0</v>
      </c>
      <c r="AP145" s="95">
        <v>1100000</v>
      </c>
      <c r="AQ145" s="84">
        <v>0</v>
      </c>
      <c r="AS145" s="118">
        <f t="shared" si="48"/>
        <v>0</v>
      </c>
    </row>
    <row r="146" spans="1:45" s="100" customFormat="1" ht="30" x14ac:dyDescent="0.25">
      <c r="A146" s="109">
        <v>2122133</v>
      </c>
      <c r="B146" s="110" t="s">
        <v>68</v>
      </c>
      <c r="C146" s="111">
        <f>+C147</f>
        <v>16000000</v>
      </c>
      <c r="D146" s="111">
        <v>10000000</v>
      </c>
      <c r="E146" s="111">
        <v>0</v>
      </c>
      <c r="F146" s="111">
        <v>0</v>
      </c>
      <c r="G146" s="111">
        <f t="shared" si="54"/>
        <v>26000000</v>
      </c>
      <c r="H146" s="111">
        <v>13000000</v>
      </c>
      <c r="I146" s="111">
        <v>13000000</v>
      </c>
      <c r="J146" s="111">
        <f t="shared" si="49"/>
        <v>13000000</v>
      </c>
      <c r="K146" s="111">
        <v>0</v>
      </c>
      <c r="L146" s="111">
        <v>0</v>
      </c>
      <c r="M146" s="111">
        <f t="shared" si="50"/>
        <v>13000000</v>
      </c>
      <c r="N146" s="111">
        <v>23000000</v>
      </c>
      <c r="O146" s="111">
        <f t="shared" si="51"/>
        <v>10000000</v>
      </c>
      <c r="P146" s="111">
        <f t="shared" si="52"/>
        <v>3000000</v>
      </c>
      <c r="Q146" s="111">
        <f t="shared" si="53"/>
        <v>0</v>
      </c>
      <c r="S146" s="101">
        <v>2122133</v>
      </c>
      <c r="T146" s="116" t="s">
        <v>68</v>
      </c>
      <c r="U146" s="102">
        <v>16000000</v>
      </c>
      <c r="V146" s="102">
        <v>10000000</v>
      </c>
      <c r="W146" s="102">
        <v>0</v>
      </c>
      <c r="X146" s="102">
        <v>0</v>
      </c>
      <c r="Y146" s="102">
        <v>26000000</v>
      </c>
      <c r="Z146" s="102">
        <v>0</v>
      </c>
      <c r="AA146" s="102">
        <v>0</v>
      </c>
      <c r="AB146" s="119">
        <v>13000000</v>
      </c>
      <c r="AC146" s="102">
        <v>13000000</v>
      </c>
      <c r="AD146" s="102">
        <v>13000000</v>
      </c>
      <c r="AE146" s="119">
        <v>13000000</v>
      </c>
      <c r="AF146" s="102">
        <v>13000000</v>
      </c>
      <c r="AG146" s="102">
        <v>0</v>
      </c>
      <c r="AH146" s="119">
        <v>0</v>
      </c>
      <c r="AI146" s="119">
        <v>0</v>
      </c>
      <c r="AJ146" s="100">
        <v>13000000</v>
      </c>
      <c r="AK146" s="100">
        <v>0</v>
      </c>
      <c r="AL146" s="100">
        <v>10000000</v>
      </c>
      <c r="AM146" s="100">
        <v>23000000</v>
      </c>
      <c r="AN146" s="122">
        <v>23000000</v>
      </c>
      <c r="AO146" s="100">
        <v>10000000</v>
      </c>
      <c r="AP146" s="102">
        <v>3000000</v>
      </c>
      <c r="AQ146" s="100">
        <v>0</v>
      </c>
      <c r="AS146" s="118">
        <f t="shared" si="48"/>
        <v>0</v>
      </c>
    </row>
    <row r="147" spans="1:45" ht="30" x14ac:dyDescent="0.25">
      <c r="A147" s="88">
        <v>21221334</v>
      </c>
      <c r="B147" s="86" t="s">
        <v>576</v>
      </c>
      <c r="C147" s="91">
        <v>16000000</v>
      </c>
      <c r="D147" s="91">
        <v>10000000</v>
      </c>
      <c r="E147" s="91">
        <v>0</v>
      </c>
      <c r="F147" s="91">
        <v>0</v>
      </c>
      <c r="G147" s="91">
        <f t="shared" si="54"/>
        <v>26000000</v>
      </c>
      <c r="H147" s="91">
        <v>13000000</v>
      </c>
      <c r="I147" s="91">
        <v>13000000</v>
      </c>
      <c r="J147" s="91">
        <f t="shared" si="49"/>
        <v>13000000</v>
      </c>
      <c r="K147" s="91">
        <v>0</v>
      </c>
      <c r="L147" s="91">
        <v>0</v>
      </c>
      <c r="M147" s="91">
        <f t="shared" si="50"/>
        <v>13000000</v>
      </c>
      <c r="N147" s="91">
        <v>23000000</v>
      </c>
      <c r="O147" s="91">
        <f t="shared" si="51"/>
        <v>10000000</v>
      </c>
      <c r="P147" s="91">
        <f t="shared" si="52"/>
        <v>3000000</v>
      </c>
      <c r="Q147" s="91">
        <f t="shared" si="53"/>
        <v>0</v>
      </c>
      <c r="S147" s="96">
        <v>21221334</v>
      </c>
      <c r="T147" s="117" t="s">
        <v>726</v>
      </c>
      <c r="U147" s="95">
        <v>16000000</v>
      </c>
      <c r="V147" s="95">
        <v>10000000</v>
      </c>
      <c r="W147" s="95">
        <v>0</v>
      </c>
      <c r="X147" s="95">
        <v>0</v>
      </c>
      <c r="Y147" s="95">
        <v>26000000</v>
      </c>
      <c r="Z147" s="95">
        <v>0</v>
      </c>
      <c r="AA147" s="95">
        <v>0</v>
      </c>
      <c r="AB147" s="120">
        <v>13000000</v>
      </c>
      <c r="AC147" s="95">
        <v>13000000</v>
      </c>
      <c r="AD147" s="95">
        <v>13000000</v>
      </c>
      <c r="AE147" s="120">
        <v>13000000</v>
      </c>
      <c r="AF147" s="95">
        <v>13000000</v>
      </c>
      <c r="AG147" s="95">
        <v>0</v>
      </c>
      <c r="AH147" s="120">
        <v>0</v>
      </c>
      <c r="AI147" s="120">
        <v>0</v>
      </c>
      <c r="AJ147" s="84">
        <v>13000000</v>
      </c>
      <c r="AK147" s="84">
        <v>0</v>
      </c>
      <c r="AL147" s="84">
        <v>10000000</v>
      </c>
      <c r="AM147" s="84">
        <v>23000000</v>
      </c>
      <c r="AN147" s="121">
        <v>23000000</v>
      </c>
      <c r="AO147" s="84">
        <v>10000000</v>
      </c>
      <c r="AP147" s="95">
        <v>3000000</v>
      </c>
      <c r="AQ147" s="84">
        <v>0</v>
      </c>
      <c r="AS147" s="118">
        <f t="shared" si="48"/>
        <v>0</v>
      </c>
    </row>
    <row r="148" spans="1:45" s="100" customFormat="1" x14ac:dyDescent="0.25">
      <c r="A148" s="109">
        <v>2122134</v>
      </c>
      <c r="B148" s="110" t="s">
        <v>69</v>
      </c>
      <c r="C148" s="111">
        <f>SUM(C149:C153)</f>
        <v>366900000</v>
      </c>
      <c r="D148" s="111">
        <v>133200000</v>
      </c>
      <c r="E148" s="111">
        <v>0</v>
      </c>
      <c r="F148" s="111">
        <v>140000000</v>
      </c>
      <c r="G148" s="111">
        <f t="shared" si="54"/>
        <v>640100000</v>
      </c>
      <c r="H148" s="111">
        <v>67284539</v>
      </c>
      <c r="I148" s="111">
        <v>78301773</v>
      </c>
      <c r="J148" s="111">
        <f t="shared" si="49"/>
        <v>561798227</v>
      </c>
      <c r="K148" s="111">
        <v>8880163</v>
      </c>
      <c r="L148" s="111">
        <v>17917513</v>
      </c>
      <c r="M148" s="111">
        <f t="shared" si="50"/>
        <v>60384260</v>
      </c>
      <c r="N148" s="111">
        <v>135845627</v>
      </c>
      <c r="O148" s="111">
        <f t="shared" si="51"/>
        <v>57543854</v>
      </c>
      <c r="P148" s="111">
        <f t="shared" si="52"/>
        <v>504254373</v>
      </c>
      <c r="Q148" s="111">
        <f t="shared" si="53"/>
        <v>17917513</v>
      </c>
      <c r="S148" s="101">
        <v>2122134</v>
      </c>
      <c r="T148" s="116" t="s">
        <v>69</v>
      </c>
      <c r="U148" s="102">
        <v>366900000</v>
      </c>
      <c r="V148" s="102">
        <v>133200000</v>
      </c>
      <c r="W148" s="102">
        <v>0</v>
      </c>
      <c r="X148" s="102">
        <v>140000000</v>
      </c>
      <c r="Y148" s="102">
        <v>640100000</v>
      </c>
      <c r="Z148" s="102">
        <v>0</v>
      </c>
      <c r="AA148" s="102">
        <v>0</v>
      </c>
      <c r="AB148" s="119">
        <v>67284539</v>
      </c>
      <c r="AC148" s="102">
        <v>67284539</v>
      </c>
      <c r="AD148" s="102">
        <v>78301773</v>
      </c>
      <c r="AE148" s="119">
        <v>78301773</v>
      </c>
      <c r="AF148" s="102">
        <v>561798227</v>
      </c>
      <c r="AG148" s="102">
        <v>0</v>
      </c>
      <c r="AH148" s="119">
        <v>8880163</v>
      </c>
      <c r="AI148" s="119">
        <v>17917513</v>
      </c>
      <c r="AJ148" s="100">
        <v>60384260</v>
      </c>
      <c r="AK148" s="100">
        <v>0</v>
      </c>
      <c r="AL148" s="100">
        <v>119876359</v>
      </c>
      <c r="AM148" s="100">
        <v>135845627</v>
      </c>
      <c r="AN148" s="122">
        <v>135845627</v>
      </c>
      <c r="AO148" s="100">
        <v>57543854</v>
      </c>
      <c r="AP148" s="102">
        <v>504254373</v>
      </c>
      <c r="AQ148" s="100">
        <v>0</v>
      </c>
      <c r="AS148" s="118">
        <f t="shared" si="48"/>
        <v>0</v>
      </c>
    </row>
    <row r="149" spans="1:45" x14ac:dyDescent="0.25">
      <c r="A149" s="88">
        <v>21221341</v>
      </c>
      <c r="B149" s="86" t="s">
        <v>577</v>
      </c>
      <c r="C149" s="91">
        <v>85000000</v>
      </c>
      <c r="D149" s="91">
        <v>0</v>
      </c>
      <c r="E149" s="91">
        <v>0</v>
      </c>
      <c r="F149" s="91">
        <v>70000000</v>
      </c>
      <c r="G149" s="91">
        <f t="shared" si="54"/>
        <v>155000000</v>
      </c>
      <c r="H149" s="91">
        <v>190196</v>
      </c>
      <c r="I149" s="91">
        <v>1830796</v>
      </c>
      <c r="J149" s="91">
        <f t="shared" si="49"/>
        <v>153169204</v>
      </c>
      <c r="K149" s="91">
        <v>405936</v>
      </c>
      <c r="L149" s="91">
        <v>1446536</v>
      </c>
      <c r="M149" s="91">
        <f t="shared" si="50"/>
        <v>384260</v>
      </c>
      <c r="N149" s="91">
        <v>1830796</v>
      </c>
      <c r="O149" s="91">
        <f t="shared" si="51"/>
        <v>0</v>
      </c>
      <c r="P149" s="91">
        <f t="shared" si="52"/>
        <v>153169204</v>
      </c>
      <c r="Q149" s="91">
        <f t="shared" si="53"/>
        <v>1446536</v>
      </c>
      <c r="S149" s="96">
        <v>21221341</v>
      </c>
      <c r="T149" s="117" t="s">
        <v>727</v>
      </c>
      <c r="U149" s="95">
        <v>85000000</v>
      </c>
      <c r="V149" s="95">
        <v>0</v>
      </c>
      <c r="W149" s="95">
        <v>0</v>
      </c>
      <c r="X149" s="95">
        <v>70000000</v>
      </c>
      <c r="Y149" s="95">
        <v>155000000</v>
      </c>
      <c r="Z149" s="95">
        <v>0</v>
      </c>
      <c r="AA149" s="95">
        <v>0</v>
      </c>
      <c r="AB149" s="120">
        <v>190196</v>
      </c>
      <c r="AC149" s="95">
        <v>190196</v>
      </c>
      <c r="AD149" s="95">
        <v>1830796</v>
      </c>
      <c r="AE149" s="120">
        <v>1830796</v>
      </c>
      <c r="AF149" s="95">
        <v>153169204</v>
      </c>
      <c r="AG149" s="95">
        <v>0</v>
      </c>
      <c r="AH149" s="120">
        <v>405936</v>
      </c>
      <c r="AI149" s="120">
        <v>1446536</v>
      </c>
      <c r="AJ149" s="84">
        <v>384260</v>
      </c>
      <c r="AK149" s="84">
        <v>0</v>
      </c>
      <c r="AL149" s="84">
        <v>190196</v>
      </c>
      <c r="AM149" s="84">
        <v>1830796</v>
      </c>
      <c r="AN149" s="121">
        <v>1830796</v>
      </c>
      <c r="AO149" s="84">
        <v>0</v>
      </c>
      <c r="AP149" s="95">
        <v>153169204</v>
      </c>
      <c r="AQ149" s="84">
        <v>0</v>
      </c>
      <c r="AS149" s="118">
        <f t="shared" si="48"/>
        <v>0</v>
      </c>
    </row>
    <row r="150" spans="1:45" x14ac:dyDescent="0.25">
      <c r="A150" s="88">
        <v>21221342</v>
      </c>
      <c r="B150" s="86" t="s">
        <v>578</v>
      </c>
      <c r="C150" s="91">
        <v>18000000</v>
      </c>
      <c r="D150" s="91">
        <v>4000000</v>
      </c>
      <c r="E150" s="91">
        <v>0</v>
      </c>
      <c r="F150" s="91">
        <v>0</v>
      </c>
      <c r="G150" s="91">
        <f t="shared" si="54"/>
        <v>22000000</v>
      </c>
      <c r="H150" s="91">
        <v>0</v>
      </c>
      <c r="I150" s="91">
        <v>779884</v>
      </c>
      <c r="J150" s="91">
        <f t="shared" si="49"/>
        <v>21220116</v>
      </c>
      <c r="K150" s="91">
        <v>779884</v>
      </c>
      <c r="L150" s="91">
        <v>779884</v>
      </c>
      <c r="M150" s="91">
        <f t="shared" si="50"/>
        <v>0</v>
      </c>
      <c r="N150" s="91">
        <v>4865100</v>
      </c>
      <c r="O150" s="91">
        <f t="shared" si="51"/>
        <v>4085216</v>
      </c>
      <c r="P150" s="91">
        <f t="shared" si="52"/>
        <v>17134900</v>
      </c>
      <c r="Q150" s="91">
        <f t="shared" si="53"/>
        <v>779884</v>
      </c>
      <c r="S150" s="96">
        <v>21221342</v>
      </c>
      <c r="T150" s="117" t="s">
        <v>728</v>
      </c>
      <c r="U150" s="95">
        <v>18000000</v>
      </c>
      <c r="V150" s="95">
        <v>4000000</v>
      </c>
      <c r="W150" s="95">
        <v>0</v>
      </c>
      <c r="X150" s="95">
        <v>0</v>
      </c>
      <c r="Y150" s="95">
        <v>22000000</v>
      </c>
      <c r="Z150" s="95">
        <v>0</v>
      </c>
      <c r="AA150" s="95">
        <v>0</v>
      </c>
      <c r="AB150" s="120">
        <v>0</v>
      </c>
      <c r="AC150" s="95">
        <v>0</v>
      </c>
      <c r="AD150" s="95">
        <v>779884</v>
      </c>
      <c r="AE150" s="120">
        <v>779884</v>
      </c>
      <c r="AF150" s="95">
        <v>21220116</v>
      </c>
      <c r="AG150" s="95">
        <v>0</v>
      </c>
      <c r="AH150" s="120">
        <v>779884</v>
      </c>
      <c r="AI150" s="120">
        <v>779884</v>
      </c>
      <c r="AJ150" s="84">
        <v>0</v>
      </c>
      <c r="AK150" s="84">
        <v>0</v>
      </c>
      <c r="AL150" s="84">
        <v>4000000</v>
      </c>
      <c r="AM150" s="84">
        <v>4865100</v>
      </c>
      <c r="AN150" s="121">
        <v>4865100</v>
      </c>
      <c r="AO150" s="84">
        <v>4085216</v>
      </c>
      <c r="AP150" s="95">
        <v>17134900</v>
      </c>
      <c r="AQ150" s="84">
        <v>0</v>
      </c>
      <c r="AS150" s="118">
        <f t="shared" si="48"/>
        <v>0</v>
      </c>
    </row>
    <row r="151" spans="1:45" x14ac:dyDescent="0.25">
      <c r="A151" s="88">
        <v>21221345</v>
      </c>
      <c r="B151" s="86" t="s">
        <v>579</v>
      </c>
      <c r="C151" s="91">
        <v>7000000</v>
      </c>
      <c r="D151" s="91">
        <v>0</v>
      </c>
      <c r="E151" s="91">
        <v>0</v>
      </c>
      <c r="F151" s="91">
        <v>70000000</v>
      </c>
      <c r="G151" s="91">
        <f t="shared" si="54"/>
        <v>77000000</v>
      </c>
      <c r="H151" s="91">
        <v>0</v>
      </c>
      <c r="I151" s="91">
        <v>200000</v>
      </c>
      <c r="J151" s="91">
        <f t="shared" si="49"/>
        <v>76800000</v>
      </c>
      <c r="K151" s="91">
        <v>200000</v>
      </c>
      <c r="L151" s="91">
        <v>200000</v>
      </c>
      <c r="M151" s="91">
        <f t="shared" si="50"/>
        <v>0</v>
      </c>
      <c r="N151" s="91">
        <v>200000</v>
      </c>
      <c r="O151" s="91">
        <f t="shared" si="51"/>
        <v>0</v>
      </c>
      <c r="P151" s="91">
        <f t="shared" si="52"/>
        <v>76800000</v>
      </c>
      <c r="Q151" s="91">
        <f t="shared" si="53"/>
        <v>200000</v>
      </c>
      <c r="S151" s="96">
        <v>21221345</v>
      </c>
      <c r="T151" s="117" t="s">
        <v>729</v>
      </c>
      <c r="U151" s="95">
        <v>7000000</v>
      </c>
      <c r="V151" s="95">
        <v>0</v>
      </c>
      <c r="W151" s="95">
        <v>0</v>
      </c>
      <c r="X151" s="95">
        <v>70000000</v>
      </c>
      <c r="Y151" s="95">
        <v>77000000</v>
      </c>
      <c r="Z151" s="95">
        <v>0</v>
      </c>
      <c r="AA151" s="95">
        <v>0</v>
      </c>
      <c r="AB151" s="120">
        <v>0</v>
      </c>
      <c r="AC151" s="95">
        <v>0</v>
      </c>
      <c r="AD151" s="95">
        <v>200000</v>
      </c>
      <c r="AE151" s="120">
        <v>200000</v>
      </c>
      <c r="AF151" s="95">
        <v>76800000</v>
      </c>
      <c r="AG151" s="95">
        <v>0</v>
      </c>
      <c r="AH151" s="120">
        <v>200000</v>
      </c>
      <c r="AI151" s="120">
        <v>200000</v>
      </c>
      <c r="AJ151" s="84">
        <v>0</v>
      </c>
      <c r="AK151" s="84">
        <v>0</v>
      </c>
      <c r="AL151" s="84">
        <v>0</v>
      </c>
      <c r="AM151" s="84">
        <v>200000</v>
      </c>
      <c r="AN151" s="121">
        <v>200000</v>
      </c>
      <c r="AO151" s="84">
        <v>0</v>
      </c>
      <c r="AP151" s="95">
        <v>76800000</v>
      </c>
      <c r="AQ151" s="84">
        <v>0</v>
      </c>
      <c r="AS151" s="118">
        <f t="shared" si="48"/>
        <v>0</v>
      </c>
    </row>
    <row r="152" spans="1:45" x14ac:dyDescent="0.25">
      <c r="A152" s="88">
        <v>21221346</v>
      </c>
      <c r="B152" s="86" t="s">
        <v>810</v>
      </c>
      <c r="C152" s="91"/>
      <c r="D152" s="91">
        <v>61600000</v>
      </c>
      <c r="E152" s="91">
        <v>0</v>
      </c>
      <c r="F152" s="91">
        <v>0</v>
      </c>
      <c r="G152" s="91">
        <f t="shared" si="54"/>
        <v>61600000</v>
      </c>
      <c r="H152" s="91">
        <v>60000000</v>
      </c>
      <c r="I152" s="91">
        <v>60000000</v>
      </c>
      <c r="J152" s="91"/>
      <c r="K152" s="91">
        <v>0</v>
      </c>
      <c r="L152" s="91">
        <v>0</v>
      </c>
      <c r="M152" s="91"/>
      <c r="N152" s="91">
        <v>61600000</v>
      </c>
      <c r="O152" s="91"/>
      <c r="P152" s="91"/>
      <c r="Q152" s="91"/>
      <c r="S152" s="96">
        <v>21221346</v>
      </c>
      <c r="T152" s="117" t="s">
        <v>810</v>
      </c>
      <c r="U152" s="95">
        <v>0</v>
      </c>
      <c r="V152" s="95">
        <v>61600000</v>
      </c>
      <c r="W152" s="95">
        <v>0</v>
      </c>
      <c r="X152" s="95">
        <v>0</v>
      </c>
      <c r="Y152" s="95">
        <v>61600000</v>
      </c>
      <c r="Z152" s="95">
        <v>0</v>
      </c>
      <c r="AA152" s="95">
        <v>0</v>
      </c>
      <c r="AB152" s="120">
        <v>60000000</v>
      </c>
      <c r="AC152" s="95">
        <v>60000000</v>
      </c>
      <c r="AD152" s="95">
        <v>60000000</v>
      </c>
      <c r="AE152" s="120">
        <v>60000000</v>
      </c>
      <c r="AF152" s="95">
        <v>1600000</v>
      </c>
      <c r="AG152" s="95">
        <v>0</v>
      </c>
      <c r="AH152" s="120">
        <v>0</v>
      </c>
      <c r="AI152" s="120">
        <v>0</v>
      </c>
      <c r="AJ152" s="84">
        <v>60000000</v>
      </c>
      <c r="AK152" s="84">
        <v>0</v>
      </c>
      <c r="AL152" s="84">
        <v>61600000</v>
      </c>
      <c r="AM152" s="84">
        <v>61600000</v>
      </c>
      <c r="AN152" s="121">
        <v>61600000</v>
      </c>
      <c r="AO152" s="84">
        <v>1600000</v>
      </c>
      <c r="AP152" s="95">
        <v>0</v>
      </c>
      <c r="AQ152" s="84">
        <v>0</v>
      </c>
      <c r="AS152" s="118">
        <f t="shared" si="48"/>
        <v>0</v>
      </c>
    </row>
    <row r="153" spans="1:45" s="100" customFormat="1" ht="30" x14ac:dyDescent="0.25">
      <c r="A153" s="109">
        <v>21221349</v>
      </c>
      <c r="B153" s="110" t="s">
        <v>70</v>
      </c>
      <c r="C153" s="111">
        <f>+C154+C155</f>
        <v>256900000</v>
      </c>
      <c r="D153" s="111">
        <v>67600000</v>
      </c>
      <c r="E153" s="111">
        <v>0</v>
      </c>
      <c r="F153" s="111">
        <v>0</v>
      </c>
      <c r="G153" s="111">
        <f t="shared" si="54"/>
        <v>324500000</v>
      </c>
      <c r="H153" s="111">
        <v>7094343</v>
      </c>
      <c r="I153" s="111">
        <v>15491093</v>
      </c>
      <c r="J153" s="111">
        <f t="shared" si="49"/>
        <v>309008907</v>
      </c>
      <c r="K153" s="111">
        <v>7494343</v>
      </c>
      <c r="L153" s="111">
        <v>15491093</v>
      </c>
      <c r="M153" s="111">
        <f t="shared" si="50"/>
        <v>0</v>
      </c>
      <c r="N153" s="111">
        <v>67349731</v>
      </c>
      <c r="O153" s="111">
        <f t="shared" si="51"/>
        <v>51858638</v>
      </c>
      <c r="P153" s="111">
        <f t="shared" si="52"/>
        <v>257150269</v>
      </c>
      <c r="Q153" s="111">
        <f t="shared" si="53"/>
        <v>15491093</v>
      </c>
      <c r="S153" s="101">
        <v>21221349</v>
      </c>
      <c r="T153" s="116" t="s">
        <v>70</v>
      </c>
      <c r="U153" s="102">
        <v>256900000</v>
      </c>
      <c r="V153" s="102">
        <v>67600000</v>
      </c>
      <c r="W153" s="102">
        <v>0</v>
      </c>
      <c r="X153" s="102">
        <v>0</v>
      </c>
      <c r="Y153" s="102">
        <v>324500000</v>
      </c>
      <c r="Z153" s="102">
        <v>0</v>
      </c>
      <c r="AA153" s="102">
        <v>0</v>
      </c>
      <c r="AB153" s="119">
        <v>7094343</v>
      </c>
      <c r="AC153" s="102">
        <v>7094343</v>
      </c>
      <c r="AD153" s="102">
        <v>15491093</v>
      </c>
      <c r="AE153" s="119">
        <v>15491093</v>
      </c>
      <c r="AF153" s="102">
        <v>309008907</v>
      </c>
      <c r="AG153" s="102">
        <v>0</v>
      </c>
      <c r="AH153" s="119">
        <v>7494343</v>
      </c>
      <c r="AI153" s="119">
        <v>15491093</v>
      </c>
      <c r="AJ153" s="100">
        <v>0</v>
      </c>
      <c r="AK153" s="100">
        <v>0</v>
      </c>
      <c r="AL153" s="100">
        <v>54086163</v>
      </c>
      <c r="AM153" s="100">
        <v>67349731</v>
      </c>
      <c r="AN153" s="122">
        <v>67349731</v>
      </c>
      <c r="AO153" s="100">
        <v>51858638</v>
      </c>
      <c r="AP153" s="102">
        <v>257150269</v>
      </c>
      <c r="AQ153" s="100">
        <v>0</v>
      </c>
      <c r="AS153" s="118">
        <f t="shared" si="48"/>
        <v>0</v>
      </c>
    </row>
    <row r="154" spans="1:45" ht="30" x14ac:dyDescent="0.25">
      <c r="A154" s="88">
        <v>212213491</v>
      </c>
      <c r="B154" s="86" t="s">
        <v>580</v>
      </c>
      <c r="C154" s="91">
        <v>6900000</v>
      </c>
      <c r="D154" s="91">
        <v>0</v>
      </c>
      <c r="E154" s="91">
        <v>0</v>
      </c>
      <c r="F154" s="91">
        <v>0</v>
      </c>
      <c r="G154" s="91">
        <f t="shared" si="54"/>
        <v>6900000</v>
      </c>
      <c r="H154" s="91">
        <v>0</v>
      </c>
      <c r="I154" s="91">
        <v>0</v>
      </c>
      <c r="J154" s="91">
        <f t="shared" si="49"/>
        <v>6900000</v>
      </c>
      <c r="K154" s="91">
        <v>0</v>
      </c>
      <c r="L154" s="91">
        <v>0</v>
      </c>
      <c r="M154" s="91">
        <f t="shared" si="50"/>
        <v>0</v>
      </c>
      <c r="N154" s="91">
        <v>0</v>
      </c>
      <c r="O154" s="91">
        <f t="shared" si="51"/>
        <v>0</v>
      </c>
      <c r="P154" s="91">
        <f t="shared" si="52"/>
        <v>6900000</v>
      </c>
      <c r="Q154" s="91">
        <f t="shared" si="53"/>
        <v>0</v>
      </c>
      <c r="S154" s="96">
        <v>212213491</v>
      </c>
      <c r="T154" s="117" t="s">
        <v>730</v>
      </c>
      <c r="U154" s="95">
        <v>6900000</v>
      </c>
      <c r="V154" s="95">
        <v>0</v>
      </c>
      <c r="W154" s="95">
        <v>0</v>
      </c>
      <c r="X154" s="95">
        <v>0</v>
      </c>
      <c r="Y154" s="95">
        <v>6900000</v>
      </c>
      <c r="Z154" s="95">
        <v>0</v>
      </c>
      <c r="AA154" s="95">
        <v>0</v>
      </c>
      <c r="AB154" s="120">
        <v>0</v>
      </c>
      <c r="AC154" s="95">
        <v>0</v>
      </c>
      <c r="AD154" s="95">
        <v>0</v>
      </c>
      <c r="AE154" s="120">
        <v>0</v>
      </c>
      <c r="AF154" s="95">
        <v>6900000</v>
      </c>
      <c r="AG154" s="95">
        <v>0</v>
      </c>
      <c r="AH154" s="120">
        <v>0</v>
      </c>
      <c r="AI154" s="120">
        <v>0</v>
      </c>
      <c r="AJ154" s="84">
        <v>0</v>
      </c>
      <c r="AK154" s="84">
        <v>0</v>
      </c>
      <c r="AL154" s="84">
        <v>0</v>
      </c>
      <c r="AM154" s="84">
        <v>0</v>
      </c>
      <c r="AN154" s="121">
        <v>0</v>
      </c>
      <c r="AO154" s="84">
        <v>0</v>
      </c>
      <c r="AP154" s="95">
        <v>6900000</v>
      </c>
      <c r="AQ154" s="84">
        <v>0</v>
      </c>
      <c r="AS154" s="118">
        <f t="shared" si="48"/>
        <v>0</v>
      </c>
    </row>
    <row r="155" spans="1:45" x14ac:dyDescent="0.25">
      <c r="A155" s="88">
        <v>212213492</v>
      </c>
      <c r="B155" s="86" t="s">
        <v>581</v>
      </c>
      <c r="C155" s="91">
        <v>250000000</v>
      </c>
      <c r="D155" s="91">
        <v>2600000</v>
      </c>
      <c r="E155" s="91">
        <v>0</v>
      </c>
      <c r="F155" s="91">
        <v>0</v>
      </c>
      <c r="G155" s="91">
        <f t="shared" si="54"/>
        <v>252600000</v>
      </c>
      <c r="H155" s="91">
        <v>1045525</v>
      </c>
      <c r="I155" s="91">
        <v>6985525</v>
      </c>
      <c r="J155" s="91">
        <f t="shared" si="49"/>
        <v>245614475</v>
      </c>
      <c r="K155" s="91">
        <v>1045525</v>
      </c>
      <c r="L155" s="91">
        <v>6985525</v>
      </c>
      <c r="M155" s="91">
        <f t="shared" si="50"/>
        <v>0</v>
      </c>
      <c r="N155" s="91">
        <v>27858025</v>
      </c>
      <c r="O155" s="91">
        <f t="shared" si="51"/>
        <v>20872500</v>
      </c>
      <c r="P155" s="91">
        <f t="shared" si="52"/>
        <v>224741975</v>
      </c>
      <c r="Q155" s="91">
        <f t="shared" si="53"/>
        <v>6985525</v>
      </c>
      <c r="S155" s="96">
        <v>212213492</v>
      </c>
      <c r="T155" s="117" t="s">
        <v>731</v>
      </c>
      <c r="U155" s="95">
        <v>250000000</v>
      </c>
      <c r="V155" s="95">
        <v>2600000</v>
      </c>
      <c r="W155" s="95">
        <v>0</v>
      </c>
      <c r="X155" s="95">
        <v>0</v>
      </c>
      <c r="Y155" s="95">
        <v>252600000</v>
      </c>
      <c r="Z155" s="95">
        <v>0</v>
      </c>
      <c r="AA155" s="95">
        <v>0</v>
      </c>
      <c r="AB155" s="120">
        <v>1045525</v>
      </c>
      <c r="AC155" s="95">
        <v>1045525</v>
      </c>
      <c r="AD155" s="95">
        <v>6985525</v>
      </c>
      <c r="AE155" s="120">
        <v>6985525</v>
      </c>
      <c r="AF155" s="95">
        <v>245614475</v>
      </c>
      <c r="AG155" s="95">
        <v>0</v>
      </c>
      <c r="AH155" s="120">
        <v>1045525</v>
      </c>
      <c r="AI155" s="120">
        <v>6985525</v>
      </c>
      <c r="AJ155" s="84">
        <v>0</v>
      </c>
      <c r="AK155" s="84">
        <v>0</v>
      </c>
      <c r="AL155" s="84">
        <v>21918025</v>
      </c>
      <c r="AM155" s="84">
        <v>27858025</v>
      </c>
      <c r="AN155" s="121">
        <v>27858025</v>
      </c>
      <c r="AO155" s="84">
        <v>20872500</v>
      </c>
      <c r="AP155" s="95">
        <v>224741975</v>
      </c>
      <c r="AQ155" s="84">
        <v>0</v>
      </c>
      <c r="AS155" s="118">
        <f t="shared" si="48"/>
        <v>0</v>
      </c>
    </row>
    <row r="156" spans="1:45" s="100" customFormat="1" x14ac:dyDescent="0.25">
      <c r="A156" s="109">
        <v>212213496</v>
      </c>
      <c r="B156" s="110" t="s">
        <v>71</v>
      </c>
      <c r="C156" s="111">
        <f>+C157+C158</f>
        <v>0</v>
      </c>
      <c r="D156" s="111">
        <v>25000000</v>
      </c>
      <c r="E156" s="111">
        <v>0</v>
      </c>
      <c r="F156" s="111">
        <v>0</v>
      </c>
      <c r="G156" s="111">
        <f t="shared" si="54"/>
        <v>25000000</v>
      </c>
      <c r="H156" s="111">
        <v>1182000</v>
      </c>
      <c r="I156" s="111">
        <v>3638750</v>
      </c>
      <c r="J156" s="111">
        <f t="shared" si="49"/>
        <v>21361250</v>
      </c>
      <c r="K156" s="111">
        <v>1582000</v>
      </c>
      <c r="L156" s="111">
        <v>3638750</v>
      </c>
      <c r="M156" s="111">
        <f t="shared" si="50"/>
        <v>0</v>
      </c>
      <c r="N156" s="111">
        <v>20224888</v>
      </c>
      <c r="O156" s="111">
        <f t="shared" si="51"/>
        <v>16586138</v>
      </c>
      <c r="P156" s="111">
        <f t="shared" si="52"/>
        <v>4775112</v>
      </c>
      <c r="Q156" s="111">
        <f t="shared" si="53"/>
        <v>3638750</v>
      </c>
      <c r="S156" s="101">
        <v>212213496</v>
      </c>
      <c r="T156" s="116" t="s">
        <v>71</v>
      </c>
      <c r="U156" s="102">
        <v>0</v>
      </c>
      <c r="V156" s="102">
        <v>25000000</v>
      </c>
      <c r="W156" s="102">
        <v>0</v>
      </c>
      <c r="X156" s="102">
        <v>0</v>
      </c>
      <c r="Y156" s="102">
        <v>25000000</v>
      </c>
      <c r="Z156" s="102">
        <v>0</v>
      </c>
      <c r="AA156" s="102">
        <v>0</v>
      </c>
      <c r="AB156" s="119">
        <v>1182000</v>
      </c>
      <c r="AC156" s="102">
        <v>1182000</v>
      </c>
      <c r="AD156" s="102">
        <v>3638750</v>
      </c>
      <c r="AE156" s="119">
        <v>3638750</v>
      </c>
      <c r="AF156" s="102">
        <v>21361250</v>
      </c>
      <c r="AG156" s="102">
        <v>0</v>
      </c>
      <c r="AH156" s="119">
        <v>1582000</v>
      </c>
      <c r="AI156" s="119">
        <v>3638750</v>
      </c>
      <c r="AJ156" s="100">
        <v>0</v>
      </c>
      <c r="AK156" s="100">
        <v>0</v>
      </c>
      <c r="AL156" s="100">
        <v>17768138</v>
      </c>
      <c r="AM156" s="100">
        <v>20224888</v>
      </c>
      <c r="AN156" s="122">
        <v>20224888</v>
      </c>
      <c r="AO156" s="100">
        <v>16586138</v>
      </c>
      <c r="AP156" s="102">
        <v>4775112</v>
      </c>
      <c r="AQ156" s="100">
        <v>0</v>
      </c>
      <c r="AS156" s="118">
        <f t="shared" si="48"/>
        <v>0</v>
      </c>
    </row>
    <row r="157" spans="1:45" x14ac:dyDescent="0.25">
      <c r="A157" s="88">
        <v>2122134962</v>
      </c>
      <c r="B157" s="86" t="s">
        <v>582</v>
      </c>
      <c r="C157" s="91">
        <v>0</v>
      </c>
      <c r="D157" s="91">
        <v>10000000</v>
      </c>
      <c r="E157" s="91">
        <v>0</v>
      </c>
      <c r="F157" s="91">
        <v>0</v>
      </c>
      <c r="G157" s="91">
        <f t="shared" si="54"/>
        <v>10000000</v>
      </c>
      <c r="H157" s="91">
        <v>500000</v>
      </c>
      <c r="I157" s="91">
        <v>1750150</v>
      </c>
      <c r="J157" s="91">
        <f t="shared" si="49"/>
        <v>8249850</v>
      </c>
      <c r="K157" s="91">
        <v>700000</v>
      </c>
      <c r="L157" s="91">
        <v>1750150</v>
      </c>
      <c r="M157" s="91">
        <f t="shared" si="50"/>
        <v>0</v>
      </c>
      <c r="N157" s="91">
        <v>7417050</v>
      </c>
      <c r="O157" s="91">
        <f t="shared" si="51"/>
        <v>5666900</v>
      </c>
      <c r="P157" s="91">
        <f t="shared" si="52"/>
        <v>2582950</v>
      </c>
      <c r="Q157" s="91">
        <f t="shared" si="53"/>
        <v>1750150</v>
      </c>
      <c r="S157" s="96">
        <v>2122134962</v>
      </c>
      <c r="T157" s="117" t="s">
        <v>811</v>
      </c>
      <c r="U157" s="95">
        <v>0</v>
      </c>
      <c r="V157" s="95">
        <v>10000000</v>
      </c>
      <c r="W157" s="95">
        <v>0</v>
      </c>
      <c r="X157" s="95">
        <v>0</v>
      </c>
      <c r="Y157" s="95">
        <v>10000000</v>
      </c>
      <c r="Z157" s="95">
        <v>0</v>
      </c>
      <c r="AA157" s="95">
        <v>0</v>
      </c>
      <c r="AB157" s="120">
        <v>500000</v>
      </c>
      <c r="AC157" s="95">
        <v>500000</v>
      </c>
      <c r="AD157" s="95">
        <v>1750150</v>
      </c>
      <c r="AE157" s="120">
        <v>1750150</v>
      </c>
      <c r="AF157" s="95">
        <v>8249850</v>
      </c>
      <c r="AG157" s="95">
        <v>0</v>
      </c>
      <c r="AH157" s="120">
        <v>700000</v>
      </c>
      <c r="AI157" s="120">
        <v>1750150</v>
      </c>
      <c r="AJ157" s="84">
        <v>0</v>
      </c>
      <c r="AK157" s="84">
        <v>0</v>
      </c>
      <c r="AL157" s="84">
        <v>6166900</v>
      </c>
      <c r="AM157" s="84">
        <v>7417050</v>
      </c>
      <c r="AN157" s="121">
        <v>7417050</v>
      </c>
      <c r="AO157" s="84">
        <v>5666900</v>
      </c>
      <c r="AP157" s="95">
        <v>2582950</v>
      </c>
      <c r="AQ157" s="84">
        <v>0</v>
      </c>
      <c r="AS157" s="118">
        <f t="shared" si="48"/>
        <v>0</v>
      </c>
    </row>
    <row r="158" spans="1:45" x14ac:dyDescent="0.25">
      <c r="A158" s="88">
        <v>2122134963</v>
      </c>
      <c r="B158" s="86" t="s">
        <v>583</v>
      </c>
      <c r="C158" s="91">
        <v>0</v>
      </c>
      <c r="D158" s="91">
        <v>15000000</v>
      </c>
      <c r="E158" s="91">
        <v>0</v>
      </c>
      <c r="F158" s="91">
        <v>0</v>
      </c>
      <c r="G158" s="91">
        <f t="shared" si="54"/>
        <v>15000000</v>
      </c>
      <c r="H158" s="91">
        <v>682000</v>
      </c>
      <c r="I158" s="91">
        <v>1888600</v>
      </c>
      <c r="J158" s="91">
        <f t="shared" si="49"/>
        <v>13111400</v>
      </c>
      <c r="K158" s="91">
        <v>882000</v>
      </c>
      <c r="L158" s="91">
        <v>1888600</v>
      </c>
      <c r="M158" s="91">
        <f t="shared" si="50"/>
        <v>0</v>
      </c>
      <c r="N158" s="91">
        <v>12807838</v>
      </c>
      <c r="O158" s="91">
        <f t="shared" si="51"/>
        <v>10919238</v>
      </c>
      <c r="P158" s="91">
        <f t="shared" si="52"/>
        <v>2192162</v>
      </c>
      <c r="Q158" s="91">
        <f t="shared" si="53"/>
        <v>1888600</v>
      </c>
      <c r="S158" s="96">
        <v>2122134963</v>
      </c>
      <c r="T158" s="117" t="s">
        <v>812</v>
      </c>
      <c r="U158" s="95">
        <v>0</v>
      </c>
      <c r="V158" s="95">
        <v>15000000</v>
      </c>
      <c r="W158" s="95">
        <v>0</v>
      </c>
      <c r="X158" s="95">
        <v>0</v>
      </c>
      <c r="Y158" s="95">
        <v>15000000</v>
      </c>
      <c r="Z158" s="95">
        <v>0</v>
      </c>
      <c r="AA158" s="95">
        <v>0</v>
      </c>
      <c r="AB158" s="120">
        <v>682000</v>
      </c>
      <c r="AC158" s="95">
        <v>682000</v>
      </c>
      <c r="AD158" s="95">
        <v>1888600</v>
      </c>
      <c r="AE158" s="120">
        <v>1888600</v>
      </c>
      <c r="AF158" s="95">
        <v>13111400</v>
      </c>
      <c r="AG158" s="95">
        <v>0</v>
      </c>
      <c r="AH158" s="120">
        <v>882000</v>
      </c>
      <c r="AI158" s="120">
        <v>1888600</v>
      </c>
      <c r="AJ158" s="84">
        <v>0</v>
      </c>
      <c r="AK158" s="84">
        <v>0</v>
      </c>
      <c r="AL158" s="84">
        <v>11601238</v>
      </c>
      <c r="AM158" s="84">
        <v>12807838</v>
      </c>
      <c r="AN158" s="121">
        <v>12807838</v>
      </c>
      <c r="AO158" s="84">
        <v>10919238</v>
      </c>
      <c r="AP158" s="95">
        <v>2192162</v>
      </c>
      <c r="AQ158" s="84">
        <v>0</v>
      </c>
      <c r="AS158" s="118">
        <f t="shared" si="48"/>
        <v>0</v>
      </c>
    </row>
    <row r="159" spans="1:45" s="100" customFormat="1" x14ac:dyDescent="0.25">
      <c r="A159" s="109">
        <v>212213497</v>
      </c>
      <c r="B159" s="110" t="s">
        <v>813</v>
      </c>
      <c r="C159" s="111">
        <f>+C160+C161</f>
        <v>0</v>
      </c>
      <c r="D159" s="111">
        <v>40000000</v>
      </c>
      <c r="E159" s="111">
        <v>0</v>
      </c>
      <c r="F159" s="111">
        <v>0</v>
      </c>
      <c r="G159" s="111">
        <f t="shared" si="54"/>
        <v>40000000</v>
      </c>
      <c r="H159" s="111">
        <v>4866818</v>
      </c>
      <c r="I159" s="111">
        <v>4866818</v>
      </c>
      <c r="J159" s="111"/>
      <c r="K159" s="111">
        <v>4866818</v>
      </c>
      <c r="L159" s="111">
        <v>4866818</v>
      </c>
      <c r="M159" s="111"/>
      <c r="N159" s="111">
        <v>19266818</v>
      </c>
      <c r="O159" s="111"/>
      <c r="P159" s="111"/>
      <c r="Q159" s="111"/>
      <c r="S159" s="101">
        <v>212213497</v>
      </c>
      <c r="T159" s="116" t="s">
        <v>813</v>
      </c>
      <c r="U159" s="102">
        <v>0</v>
      </c>
      <c r="V159" s="102">
        <v>40000000</v>
      </c>
      <c r="W159" s="102">
        <v>0</v>
      </c>
      <c r="X159" s="102">
        <v>0</v>
      </c>
      <c r="Y159" s="102">
        <v>40000000</v>
      </c>
      <c r="Z159" s="102">
        <v>0</v>
      </c>
      <c r="AA159" s="102">
        <v>0</v>
      </c>
      <c r="AB159" s="119">
        <v>4866818</v>
      </c>
      <c r="AC159" s="102">
        <v>4866818</v>
      </c>
      <c r="AD159" s="102">
        <v>4866818</v>
      </c>
      <c r="AE159" s="119">
        <v>4866818</v>
      </c>
      <c r="AF159" s="102">
        <v>35133182</v>
      </c>
      <c r="AG159" s="102">
        <v>0</v>
      </c>
      <c r="AH159" s="119">
        <v>4866818</v>
      </c>
      <c r="AI159" s="119">
        <v>4866818</v>
      </c>
      <c r="AJ159" s="100">
        <v>0</v>
      </c>
      <c r="AK159" s="100">
        <v>0</v>
      </c>
      <c r="AL159" s="100">
        <v>14400000</v>
      </c>
      <c r="AM159" s="100">
        <v>19266818</v>
      </c>
      <c r="AN159" s="122">
        <v>19266818</v>
      </c>
      <c r="AO159" s="100">
        <v>14400000</v>
      </c>
      <c r="AP159" s="102">
        <v>20733182</v>
      </c>
      <c r="AQ159" s="100">
        <v>0</v>
      </c>
      <c r="AS159" s="118">
        <f t="shared" si="48"/>
        <v>0</v>
      </c>
    </row>
    <row r="160" spans="1:45" x14ac:dyDescent="0.25">
      <c r="A160" s="88">
        <v>2122134971</v>
      </c>
      <c r="B160" s="86" t="s">
        <v>814</v>
      </c>
      <c r="C160" s="91"/>
      <c r="D160" s="91">
        <v>15000000</v>
      </c>
      <c r="E160" s="91">
        <v>0</v>
      </c>
      <c r="F160" s="91">
        <v>0</v>
      </c>
      <c r="G160" s="91">
        <f t="shared" si="54"/>
        <v>15000000</v>
      </c>
      <c r="H160" s="91">
        <v>600000</v>
      </c>
      <c r="I160" s="91">
        <v>600000</v>
      </c>
      <c r="J160" s="91"/>
      <c r="K160" s="91">
        <v>600000</v>
      </c>
      <c r="L160" s="91">
        <v>600000</v>
      </c>
      <c r="M160" s="91"/>
      <c r="N160" s="91">
        <v>15000000</v>
      </c>
      <c r="O160" s="91"/>
      <c r="P160" s="91"/>
      <c r="Q160" s="91"/>
      <c r="S160" s="96">
        <v>2122134971</v>
      </c>
      <c r="T160" s="117" t="s">
        <v>814</v>
      </c>
      <c r="U160" s="95">
        <v>0</v>
      </c>
      <c r="V160" s="95">
        <v>15000000</v>
      </c>
      <c r="W160" s="95">
        <v>0</v>
      </c>
      <c r="X160" s="95">
        <v>0</v>
      </c>
      <c r="Y160" s="95">
        <v>15000000</v>
      </c>
      <c r="Z160" s="95">
        <v>0</v>
      </c>
      <c r="AA160" s="95">
        <v>0</v>
      </c>
      <c r="AB160" s="120">
        <v>600000</v>
      </c>
      <c r="AC160" s="95">
        <v>600000</v>
      </c>
      <c r="AD160" s="95">
        <v>600000</v>
      </c>
      <c r="AE160" s="120">
        <v>600000</v>
      </c>
      <c r="AF160" s="95">
        <v>14400000</v>
      </c>
      <c r="AG160" s="95">
        <v>0</v>
      </c>
      <c r="AH160" s="120">
        <v>600000</v>
      </c>
      <c r="AI160" s="120">
        <v>600000</v>
      </c>
      <c r="AJ160" s="84">
        <v>0</v>
      </c>
      <c r="AK160" s="84">
        <v>0</v>
      </c>
      <c r="AL160" s="84">
        <v>14400000</v>
      </c>
      <c r="AM160" s="84">
        <v>15000000</v>
      </c>
      <c r="AN160" s="121">
        <v>15000000</v>
      </c>
      <c r="AO160" s="84">
        <v>14400000</v>
      </c>
      <c r="AP160" s="95">
        <v>0</v>
      </c>
      <c r="AQ160" s="84">
        <v>0</v>
      </c>
      <c r="AS160" s="118">
        <f t="shared" si="48"/>
        <v>0</v>
      </c>
    </row>
    <row r="161" spans="1:45" x14ac:dyDescent="0.25">
      <c r="A161" s="88">
        <v>2122134974</v>
      </c>
      <c r="B161" s="86" t="s">
        <v>815</v>
      </c>
      <c r="C161" s="91"/>
      <c r="D161" s="91">
        <v>25000000</v>
      </c>
      <c r="E161" s="91">
        <v>0</v>
      </c>
      <c r="F161" s="91">
        <v>0</v>
      </c>
      <c r="G161" s="91">
        <f t="shared" si="54"/>
        <v>25000000</v>
      </c>
      <c r="H161" s="91">
        <v>4266818</v>
      </c>
      <c r="I161" s="91">
        <v>4266818</v>
      </c>
      <c r="J161" s="91"/>
      <c r="K161" s="91">
        <v>4266818</v>
      </c>
      <c r="L161" s="91">
        <v>4266818</v>
      </c>
      <c r="M161" s="91"/>
      <c r="N161" s="91">
        <v>4266818</v>
      </c>
      <c r="O161" s="91"/>
      <c r="P161" s="91"/>
      <c r="Q161" s="91"/>
      <c r="S161" s="96">
        <v>2122134974</v>
      </c>
      <c r="T161" s="117" t="s">
        <v>815</v>
      </c>
      <c r="U161" s="95">
        <v>0</v>
      </c>
      <c r="V161" s="95">
        <v>25000000</v>
      </c>
      <c r="W161" s="95">
        <v>0</v>
      </c>
      <c r="X161" s="95">
        <v>0</v>
      </c>
      <c r="Y161" s="95">
        <v>25000000</v>
      </c>
      <c r="Z161" s="95">
        <v>0</v>
      </c>
      <c r="AA161" s="95">
        <v>0</v>
      </c>
      <c r="AB161" s="120">
        <v>4266818</v>
      </c>
      <c r="AC161" s="95">
        <v>4266818</v>
      </c>
      <c r="AD161" s="95">
        <v>4266818</v>
      </c>
      <c r="AE161" s="120">
        <v>4266818</v>
      </c>
      <c r="AF161" s="95">
        <v>20733182</v>
      </c>
      <c r="AG161" s="95">
        <v>0</v>
      </c>
      <c r="AH161" s="120">
        <v>4266818</v>
      </c>
      <c r="AI161" s="120">
        <v>4266818</v>
      </c>
      <c r="AJ161" s="84">
        <v>0</v>
      </c>
      <c r="AK161" s="84">
        <v>0</v>
      </c>
      <c r="AL161" s="84">
        <v>0</v>
      </c>
      <c r="AM161" s="84">
        <v>4266818</v>
      </c>
      <c r="AN161" s="121">
        <v>4266818</v>
      </c>
      <c r="AO161" s="84">
        <v>0</v>
      </c>
      <c r="AP161" s="95">
        <v>20733182</v>
      </c>
      <c r="AQ161" s="84">
        <v>0</v>
      </c>
      <c r="AS161" s="118">
        <f t="shared" si="48"/>
        <v>0</v>
      </c>
    </row>
    <row r="162" spans="1:45" s="100" customFormat="1" x14ac:dyDescent="0.25">
      <c r="A162" s="106">
        <v>21222</v>
      </c>
      <c r="B162" s="107" t="s">
        <v>72</v>
      </c>
      <c r="C162" s="108">
        <f>+C163+C165+C168+C175+C191+C220</f>
        <v>6117300000</v>
      </c>
      <c r="D162" s="108">
        <f t="shared" ref="D162:Q162" si="55">+D163+D165+D168+D175+D191+D220</f>
        <v>1981513991</v>
      </c>
      <c r="E162" s="108">
        <f t="shared" si="55"/>
        <v>369312351</v>
      </c>
      <c r="F162" s="108">
        <f t="shared" si="55"/>
        <v>980467941</v>
      </c>
      <c r="G162" s="108">
        <f t="shared" si="55"/>
        <v>8709969581</v>
      </c>
      <c r="H162" s="108">
        <v>950753458.5</v>
      </c>
      <c r="I162" s="108">
        <v>4083172077.8699999</v>
      </c>
      <c r="J162" s="108">
        <f t="shared" si="55"/>
        <v>4174322879.1300001</v>
      </c>
      <c r="K162" s="108">
        <v>574516534.35000002</v>
      </c>
      <c r="L162" s="108">
        <v>980812197.37</v>
      </c>
      <c r="M162" s="108">
        <f t="shared" si="55"/>
        <v>3103116896.5</v>
      </c>
      <c r="N162" s="108">
        <v>6609473603.21</v>
      </c>
      <c r="O162" s="108">
        <f t="shared" si="55"/>
        <v>2400662659.3400002</v>
      </c>
      <c r="P162" s="108">
        <f t="shared" si="55"/>
        <v>1773660219.79</v>
      </c>
      <c r="Q162" s="108">
        <f t="shared" si="55"/>
        <v>1083561864.3699999</v>
      </c>
      <c r="S162" s="101">
        <v>21222</v>
      </c>
      <c r="T162" s="116" t="s">
        <v>72</v>
      </c>
      <c r="U162" s="102">
        <v>5767300000</v>
      </c>
      <c r="V162" s="102">
        <v>1981513991</v>
      </c>
      <c r="W162" s="102">
        <v>369312351</v>
      </c>
      <c r="X162" s="102">
        <v>980467941</v>
      </c>
      <c r="Y162" s="102">
        <v>8359969581</v>
      </c>
      <c r="Z162" s="102">
        <v>625324136</v>
      </c>
      <c r="AA162" s="102">
        <v>0</v>
      </c>
      <c r="AB162" s="119">
        <v>950753458.5</v>
      </c>
      <c r="AC162" s="102">
        <v>950753458.5</v>
      </c>
      <c r="AD162" s="102">
        <v>4708496213.8699999</v>
      </c>
      <c r="AE162" s="119">
        <v>4083172077.8699999</v>
      </c>
      <c r="AF162" s="102">
        <v>4276797503.1300001</v>
      </c>
      <c r="AG162" s="102">
        <v>252848050</v>
      </c>
      <c r="AH162" s="119">
        <v>574516534.35000002</v>
      </c>
      <c r="AI162" s="119">
        <v>980812197.37</v>
      </c>
      <c r="AJ162" s="100">
        <v>3355207930.5</v>
      </c>
      <c r="AK162" s="100">
        <v>48625086</v>
      </c>
      <c r="AL162" s="100">
        <v>1416761565.3899999</v>
      </c>
      <c r="AM162" s="100">
        <v>6658098689.21</v>
      </c>
      <c r="AN162" s="122">
        <v>6609473603.21</v>
      </c>
      <c r="AO162" s="100">
        <v>2526301525.3400002</v>
      </c>
      <c r="AP162" s="102">
        <v>1750495977.79</v>
      </c>
      <c r="AQ162" s="100">
        <v>0</v>
      </c>
      <c r="AS162" s="118">
        <f t="shared" si="48"/>
        <v>0</v>
      </c>
    </row>
    <row r="163" spans="1:45" s="100" customFormat="1" x14ac:dyDescent="0.25">
      <c r="A163" s="109">
        <v>212221</v>
      </c>
      <c r="B163" s="110" t="s">
        <v>20</v>
      </c>
      <c r="C163" s="111">
        <f>+C164</f>
        <v>350000000</v>
      </c>
      <c r="D163" s="111">
        <v>0</v>
      </c>
      <c r="E163" s="111">
        <v>0</v>
      </c>
      <c r="F163" s="111">
        <v>0</v>
      </c>
      <c r="G163" s="111">
        <f t="shared" si="54"/>
        <v>350000000</v>
      </c>
      <c r="H163" s="111">
        <v>23497738</v>
      </c>
      <c r="I163" s="111">
        <v>103506683</v>
      </c>
      <c r="J163" s="111">
        <f t="shared" si="49"/>
        <v>246493317</v>
      </c>
      <c r="K163" s="111">
        <v>13451999</v>
      </c>
      <c r="L163" s="111">
        <v>102749667</v>
      </c>
      <c r="M163" s="111">
        <f t="shared" si="50"/>
        <v>757016</v>
      </c>
      <c r="N163" s="111">
        <v>171867817</v>
      </c>
      <c r="O163" s="111">
        <f t="shared" si="51"/>
        <v>68361134</v>
      </c>
      <c r="P163" s="111">
        <f t="shared" si="52"/>
        <v>178132183</v>
      </c>
      <c r="Q163" s="111">
        <f t="shared" si="53"/>
        <v>102749667</v>
      </c>
      <c r="S163" s="101">
        <v>212221</v>
      </c>
      <c r="T163" s="116" t="s">
        <v>20</v>
      </c>
      <c r="U163" s="102">
        <v>350000000</v>
      </c>
      <c r="V163" s="102">
        <v>0</v>
      </c>
      <c r="W163" s="102">
        <v>0</v>
      </c>
      <c r="X163" s="102">
        <v>0</v>
      </c>
      <c r="Y163" s="102">
        <v>350000000</v>
      </c>
      <c r="Z163" s="102">
        <v>8736693</v>
      </c>
      <c r="AA163" s="102">
        <v>5515951</v>
      </c>
      <c r="AB163" s="119">
        <v>23497738</v>
      </c>
      <c r="AC163" s="102">
        <v>17981787</v>
      </c>
      <c r="AD163" s="102">
        <v>112243376</v>
      </c>
      <c r="AE163" s="119">
        <v>103506683</v>
      </c>
      <c r="AF163" s="102">
        <v>246493317</v>
      </c>
      <c r="AG163" s="102">
        <v>7287110</v>
      </c>
      <c r="AH163" s="119">
        <v>13451999</v>
      </c>
      <c r="AI163" s="119">
        <v>102749667</v>
      </c>
      <c r="AJ163" s="100">
        <v>8044126</v>
      </c>
      <c r="AK163" s="100">
        <v>8736693</v>
      </c>
      <c r="AL163" s="100">
        <v>21858638</v>
      </c>
      <c r="AM163" s="100">
        <v>180604510</v>
      </c>
      <c r="AN163" s="122">
        <v>171867817</v>
      </c>
      <c r="AO163" s="100">
        <v>68361134</v>
      </c>
      <c r="AP163" s="102">
        <v>178132183</v>
      </c>
      <c r="AQ163" s="100">
        <v>0</v>
      </c>
      <c r="AS163" s="118">
        <f t="shared" si="48"/>
        <v>0</v>
      </c>
    </row>
    <row r="164" spans="1:45" x14ac:dyDescent="0.25">
      <c r="A164" s="88">
        <v>2122211</v>
      </c>
      <c r="B164" s="86" t="s">
        <v>73</v>
      </c>
      <c r="C164" s="91">
        <v>350000000</v>
      </c>
      <c r="D164" s="91">
        <v>0</v>
      </c>
      <c r="E164" s="91">
        <v>0</v>
      </c>
      <c r="F164" s="91">
        <v>0</v>
      </c>
      <c r="G164" s="91">
        <f t="shared" si="54"/>
        <v>350000000</v>
      </c>
      <c r="H164" s="91">
        <v>23497738</v>
      </c>
      <c r="I164" s="91">
        <v>103506683</v>
      </c>
      <c r="J164" s="91">
        <f t="shared" si="49"/>
        <v>246493317</v>
      </c>
      <c r="K164" s="91">
        <v>13451999</v>
      </c>
      <c r="L164" s="91">
        <v>102749667</v>
      </c>
      <c r="M164" s="91">
        <f t="shared" si="50"/>
        <v>757016</v>
      </c>
      <c r="N164" s="91">
        <v>171867817</v>
      </c>
      <c r="O164" s="91">
        <f t="shared" si="51"/>
        <v>68361134</v>
      </c>
      <c r="P164" s="91">
        <f t="shared" si="52"/>
        <v>178132183</v>
      </c>
      <c r="Q164" s="91">
        <f t="shared" si="53"/>
        <v>102749667</v>
      </c>
      <c r="S164" s="96">
        <v>2122211</v>
      </c>
      <c r="T164" s="117" t="s">
        <v>73</v>
      </c>
      <c r="U164" s="95">
        <v>350000000</v>
      </c>
      <c r="V164" s="95">
        <v>0</v>
      </c>
      <c r="W164" s="95">
        <v>0</v>
      </c>
      <c r="X164" s="95">
        <v>0</v>
      </c>
      <c r="Y164" s="95">
        <v>350000000</v>
      </c>
      <c r="Z164" s="95">
        <v>8736693</v>
      </c>
      <c r="AA164" s="95">
        <v>5515951</v>
      </c>
      <c r="AB164" s="120">
        <v>23497738</v>
      </c>
      <c r="AC164" s="95">
        <v>17981787</v>
      </c>
      <c r="AD164" s="95">
        <v>112243376</v>
      </c>
      <c r="AE164" s="120">
        <v>103506683</v>
      </c>
      <c r="AF164" s="95">
        <v>246493317</v>
      </c>
      <c r="AG164" s="95">
        <v>7287110</v>
      </c>
      <c r="AH164" s="120">
        <v>13451999</v>
      </c>
      <c r="AI164" s="120">
        <v>102749667</v>
      </c>
      <c r="AJ164" s="84">
        <v>8044126</v>
      </c>
      <c r="AK164" s="84">
        <v>8736693</v>
      </c>
      <c r="AL164" s="84">
        <v>21858638</v>
      </c>
      <c r="AM164" s="84">
        <v>180604510</v>
      </c>
      <c r="AN164" s="121">
        <v>171867817</v>
      </c>
      <c r="AO164" s="84">
        <v>68361134</v>
      </c>
      <c r="AP164" s="95">
        <v>178132183</v>
      </c>
      <c r="AQ164" s="84">
        <v>0</v>
      </c>
      <c r="AS164" s="118">
        <f t="shared" si="48"/>
        <v>0</v>
      </c>
    </row>
    <row r="165" spans="1:45" s="100" customFormat="1" x14ac:dyDescent="0.25">
      <c r="A165" s="109">
        <v>212225</v>
      </c>
      <c r="B165" s="110" t="s">
        <v>816</v>
      </c>
      <c r="C165" s="111">
        <f>+C166</f>
        <v>0</v>
      </c>
      <c r="D165" s="111">
        <v>34000000</v>
      </c>
      <c r="E165" s="111">
        <v>0</v>
      </c>
      <c r="F165" s="111">
        <v>154967941</v>
      </c>
      <c r="G165" s="111">
        <f t="shared" si="54"/>
        <v>188967941</v>
      </c>
      <c r="H165" s="111">
        <v>0</v>
      </c>
      <c r="I165" s="111">
        <v>0</v>
      </c>
      <c r="J165" s="111"/>
      <c r="K165" s="111">
        <v>0</v>
      </c>
      <c r="L165" s="111">
        <v>0</v>
      </c>
      <c r="M165" s="111"/>
      <c r="N165" s="111">
        <v>34000000</v>
      </c>
      <c r="O165" s="111"/>
      <c r="P165" s="111"/>
      <c r="Q165" s="111"/>
      <c r="S165" s="101">
        <v>212225</v>
      </c>
      <c r="T165" s="116" t="s">
        <v>816</v>
      </c>
      <c r="U165" s="102">
        <v>0</v>
      </c>
      <c r="V165" s="102">
        <v>34000000</v>
      </c>
      <c r="W165" s="102">
        <v>0</v>
      </c>
      <c r="X165" s="102">
        <v>154967941</v>
      </c>
      <c r="Y165" s="102">
        <v>188967941</v>
      </c>
      <c r="Z165" s="102">
        <v>0</v>
      </c>
      <c r="AA165" s="102">
        <v>0</v>
      </c>
      <c r="AB165" s="119">
        <v>0</v>
      </c>
      <c r="AC165" s="102">
        <v>0</v>
      </c>
      <c r="AD165" s="102">
        <v>0</v>
      </c>
      <c r="AE165" s="119">
        <v>0</v>
      </c>
      <c r="AF165" s="102">
        <v>188967941</v>
      </c>
      <c r="AG165" s="102">
        <v>0</v>
      </c>
      <c r="AH165" s="119">
        <v>0</v>
      </c>
      <c r="AI165" s="119">
        <v>0</v>
      </c>
      <c r="AJ165" s="100">
        <v>0</v>
      </c>
      <c r="AK165" s="100">
        <v>0</v>
      </c>
      <c r="AL165" s="100">
        <v>34000000</v>
      </c>
      <c r="AM165" s="100">
        <v>34000000</v>
      </c>
      <c r="AN165" s="122">
        <v>34000000</v>
      </c>
      <c r="AO165" s="100">
        <v>34000000</v>
      </c>
      <c r="AP165" s="102">
        <v>154967941</v>
      </c>
      <c r="AQ165" s="100">
        <v>0</v>
      </c>
      <c r="AS165" s="118">
        <f t="shared" si="48"/>
        <v>0</v>
      </c>
    </row>
    <row r="166" spans="1:45" x14ac:dyDescent="0.25">
      <c r="A166" s="88">
        <v>2122252</v>
      </c>
      <c r="B166" s="86" t="s">
        <v>817</v>
      </c>
      <c r="C166" s="91">
        <f>+C167</f>
        <v>0</v>
      </c>
      <c r="D166" s="91">
        <v>34000000</v>
      </c>
      <c r="E166" s="91">
        <v>0</v>
      </c>
      <c r="F166" s="91">
        <v>154967941</v>
      </c>
      <c r="G166" s="91">
        <f t="shared" si="54"/>
        <v>188967941</v>
      </c>
      <c r="H166" s="91">
        <v>0</v>
      </c>
      <c r="I166" s="91">
        <v>0</v>
      </c>
      <c r="J166" s="91"/>
      <c r="K166" s="91">
        <v>0</v>
      </c>
      <c r="L166" s="91">
        <v>0</v>
      </c>
      <c r="M166" s="91"/>
      <c r="N166" s="91">
        <v>34000000</v>
      </c>
      <c r="O166" s="91"/>
      <c r="P166" s="91"/>
      <c r="Q166" s="91"/>
      <c r="S166" s="96">
        <v>2122252</v>
      </c>
      <c r="T166" s="117" t="s">
        <v>817</v>
      </c>
      <c r="U166" s="95">
        <v>0</v>
      </c>
      <c r="V166" s="95">
        <v>34000000</v>
      </c>
      <c r="W166" s="95">
        <v>0</v>
      </c>
      <c r="X166" s="95">
        <v>154967941</v>
      </c>
      <c r="Y166" s="95">
        <v>188967941</v>
      </c>
      <c r="Z166" s="95">
        <v>0</v>
      </c>
      <c r="AA166" s="95">
        <v>0</v>
      </c>
      <c r="AB166" s="120">
        <v>0</v>
      </c>
      <c r="AC166" s="95">
        <v>0</v>
      </c>
      <c r="AD166" s="95">
        <v>0</v>
      </c>
      <c r="AE166" s="120">
        <v>0</v>
      </c>
      <c r="AF166" s="95">
        <v>188967941</v>
      </c>
      <c r="AG166" s="95">
        <v>0</v>
      </c>
      <c r="AH166" s="120">
        <v>0</v>
      </c>
      <c r="AI166" s="120">
        <v>0</v>
      </c>
      <c r="AJ166" s="84">
        <v>0</v>
      </c>
      <c r="AK166" s="84">
        <v>0</v>
      </c>
      <c r="AL166" s="84">
        <v>34000000</v>
      </c>
      <c r="AM166" s="84">
        <v>34000000</v>
      </c>
      <c r="AN166" s="121">
        <v>34000000</v>
      </c>
      <c r="AO166" s="84">
        <v>34000000</v>
      </c>
      <c r="AP166" s="95">
        <v>154967941</v>
      </c>
      <c r="AQ166" s="84">
        <v>0</v>
      </c>
      <c r="AS166" s="118">
        <f t="shared" si="48"/>
        <v>0</v>
      </c>
    </row>
    <row r="167" spans="1:45" ht="30" x14ac:dyDescent="0.25">
      <c r="A167" s="88">
        <v>21222524</v>
      </c>
      <c r="B167" s="86" t="s">
        <v>818</v>
      </c>
      <c r="C167" s="91"/>
      <c r="D167" s="91">
        <v>34000000</v>
      </c>
      <c r="E167" s="91">
        <v>0</v>
      </c>
      <c r="F167" s="91">
        <v>154967941</v>
      </c>
      <c r="G167" s="91">
        <f t="shared" si="54"/>
        <v>188967941</v>
      </c>
      <c r="H167" s="91">
        <v>0</v>
      </c>
      <c r="I167" s="91">
        <v>0</v>
      </c>
      <c r="J167" s="91"/>
      <c r="K167" s="91">
        <v>0</v>
      </c>
      <c r="L167" s="91">
        <v>0</v>
      </c>
      <c r="M167" s="91"/>
      <c r="N167" s="91">
        <v>34000000</v>
      </c>
      <c r="O167" s="91"/>
      <c r="P167" s="91"/>
      <c r="Q167" s="91"/>
      <c r="S167" s="96">
        <v>21222524</v>
      </c>
      <c r="T167" s="117" t="s">
        <v>818</v>
      </c>
      <c r="U167" s="95">
        <v>0</v>
      </c>
      <c r="V167" s="95">
        <v>34000000</v>
      </c>
      <c r="W167" s="95">
        <v>0</v>
      </c>
      <c r="X167" s="95">
        <v>154967941</v>
      </c>
      <c r="Y167" s="95">
        <v>188967941</v>
      </c>
      <c r="Z167" s="95">
        <v>0</v>
      </c>
      <c r="AA167" s="95">
        <v>0</v>
      </c>
      <c r="AB167" s="120">
        <v>0</v>
      </c>
      <c r="AC167" s="95">
        <v>0</v>
      </c>
      <c r="AD167" s="95">
        <v>0</v>
      </c>
      <c r="AE167" s="120">
        <v>0</v>
      </c>
      <c r="AF167" s="95">
        <v>188967941</v>
      </c>
      <c r="AG167" s="95">
        <v>0</v>
      </c>
      <c r="AH167" s="120">
        <v>0</v>
      </c>
      <c r="AI167" s="120">
        <v>0</v>
      </c>
      <c r="AJ167" s="84">
        <v>0</v>
      </c>
      <c r="AK167" s="84">
        <v>0</v>
      </c>
      <c r="AL167" s="84">
        <v>34000000</v>
      </c>
      <c r="AM167" s="84">
        <v>34000000</v>
      </c>
      <c r="AN167" s="121">
        <v>34000000</v>
      </c>
      <c r="AO167" s="84">
        <v>34000000</v>
      </c>
      <c r="AP167" s="95">
        <v>154967941</v>
      </c>
      <c r="AQ167" s="84">
        <v>0</v>
      </c>
      <c r="AS167" s="118">
        <f t="shared" si="48"/>
        <v>0</v>
      </c>
    </row>
    <row r="168" spans="1:45" s="100" customFormat="1" ht="30" x14ac:dyDescent="0.25">
      <c r="A168" s="106">
        <v>212226</v>
      </c>
      <c r="B168" s="107" t="s">
        <v>74</v>
      </c>
      <c r="C168" s="108">
        <f>+C169+C173+C174</f>
        <v>470000000</v>
      </c>
      <c r="D168" s="108">
        <v>0</v>
      </c>
      <c r="E168" s="108">
        <v>0</v>
      </c>
      <c r="F168" s="108">
        <v>0</v>
      </c>
      <c r="G168" s="108">
        <f t="shared" si="54"/>
        <v>470000000</v>
      </c>
      <c r="H168" s="108">
        <v>20191000</v>
      </c>
      <c r="I168" s="108">
        <v>97965502</v>
      </c>
      <c r="J168" s="108">
        <f t="shared" si="49"/>
        <v>372034498</v>
      </c>
      <c r="K168" s="108">
        <v>491000</v>
      </c>
      <c r="L168" s="108">
        <v>7322042</v>
      </c>
      <c r="M168" s="108">
        <f t="shared" si="50"/>
        <v>90643460</v>
      </c>
      <c r="N168" s="108">
        <v>278865502</v>
      </c>
      <c r="O168" s="108">
        <f t="shared" si="51"/>
        <v>180900000</v>
      </c>
      <c r="P168" s="108">
        <f t="shared" si="52"/>
        <v>191134498</v>
      </c>
      <c r="Q168" s="108">
        <f t="shared" si="53"/>
        <v>7322042</v>
      </c>
      <c r="S168" s="101">
        <v>212226</v>
      </c>
      <c r="T168" s="116" t="s">
        <v>74</v>
      </c>
      <c r="U168" s="102">
        <v>470000000</v>
      </c>
      <c r="V168" s="102">
        <v>0</v>
      </c>
      <c r="W168" s="102">
        <v>0</v>
      </c>
      <c r="X168" s="102">
        <v>0</v>
      </c>
      <c r="Y168" s="102">
        <v>470000000</v>
      </c>
      <c r="Z168" s="102">
        <v>0</v>
      </c>
      <c r="AA168" s="102">
        <v>0</v>
      </c>
      <c r="AB168" s="119">
        <v>20191000</v>
      </c>
      <c r="AC168" s="102">
        <v>20191000</v>
      </c>
      <c r="AD168" s="102">
        <v>97965502</v>
      </c>
      <c r="AE168" s="119">
        <v>97965502</v>
      </c>
      <c r="AF168" s="102">
        <v>372034498</v>
      </c>
      <c r="AG168" s="102">
        <v>0</v>
      </c>
      <c r="AH168" s="119">
        <v>491000</v>
      </c>
      <c r="AI168" s="119">
        <v>7322042</v>
      </c>
      <c r="AJ168" s="100">
        <v>90643460</v>
      </c>
      <c r="AK168" s="100">
        <v>0</v>
      </c>
      <c r="AL168" s="100">
        <v>191000</v>
      </c>
      <c r="AM168" s="100">
        <v>278865502</v>
      </c>
      <c r="AN168" s="122">
        <v>278865502</v>
      </c>
      <c r="AO168" s="100">
        <v>180900000</v>
      </c>
      <c r="AP168" s="102">
        <v>191134498</v>
      </c>
      <c r="AQ168" s="100">
        <v>0</v>
      </c>
      <c r="AS168" s="118">
        <f t="shared" si="48"/>
        <v>0</v>
      </c>
    </row>
    <row r="169" spans="1:45" s="100" customFormat="1" x14ac:dyDescent="0.25">
      <c r="A169" s="109">
        <v>2122261</v>
      </c>
      <c r="B169" s="110" t="s">
        <v>75</v>
      </c>
      <c r="C169" s="111">
        <f>+C170+C171+C172</f>
        <v>97000000</v>
      </c>
      <c r="D169" s="111">
        <v>0</v>
      </c>
      <c r="E169" s="111">
        <v>0</v>
      </c>
      <c r="F169" s="111">
        <v>0</v>
      </c>
      <c r="G169" s="111">
        <f t="shared" si="54"/>
        <v>97000000</v>
      </c>
      <c r="H169" s="111">
        <v>20000000</v>
      </c>
      <c r="I169" s="111">
        <v>97000000</v>
      </c>
      <c r="J169" s="111">
        <f t="shared" si="49"/>
        <v>0</v>
      </c>
      <c r="K169" s="111">
        <v>0</v>
      </c>
      <c r="L169" s="111">
        <v>6356540</v>
      </c>
      <c r="M169" s="111">
        <f t="shared" si="50"/>
        <v>90643460</v>
      </c>
      <c r="N169" s="111">
        <v>97000000</v>
      </c>
      <c r="O169" s="111">
        <f t="shared" si="51"/>
        <v>0</v>
      </c>
      <c r="P169" s="111">
        <f t="shared" si="52"/>
        <v>0</v>
      </c>
      <c r="Q169" s="111">
        <f t="shared" si="53"/>
        <v>6356540</v>
      </c>
      <c r="S169" s="101">
        <v>2122261</v>
      </c>
      <c r="T169" s="116" t="s">
        <v>75</v>
      </c>
      <c r="U169" s="102">
        <v>97000000</v>
      </c>
      <c r="V169" s="102">
        <v>0</v>
      </c>
      <c r="W169" s="102">
        <v>0</v>
      </c>
      <c r="X169" s="102">
        <v>0</v>
      </c>
      <c r="Y169" s="102">
        <v>97000000</v>
      </c>
      <c r="Z169" s="102">
        <v>0</v>
      </c>
      <c r="AA169" s="102">
        <v>0</v>
      </c>
      <c r="AB169" s="119">
        <v>20000000</v>
      </c>
      <c r="AC169" s="102">
        <v>20000000</v>
      </c>
      <c r="AD169" s="102">
        <v>97000000</v>
      </c>
      <c r="AE169" s="119">
        <v>97000000</v>
      </c>
      <c r="AF169" s="102">
        <v>0</v>
      </c>
      <c r="AG169" s="102">
        <v>0</v>
      </c>
      <c r="AH169" s="119">
        <v>0</v>
      </c>
      <c r="AI169" s="119">
        <v>6356540</v>
      </c>
      <c r="AJ169" s="100">
        <v>90643460</v>
      </c>
      <c r="AK169" s="100">
        <v>0</v>
      </c>
      <c r="AL169" s="100">
        <v>0</v>
      </c>
      <c r="AM169" s="100">
        <v>97000000</v>
      </c>
      <c r="AN169" s="122">
        <v>97000000</v>
      </c>
      <c r="AO169" s="100">
        <v>0</v>
      </c>
      <c r="AP169" s="102">
        <v>0</v>
      </c>
      <c r="AQ169" s="100">
        <v>0</v>
      </c>
      <c r="AS169" s="118">
        <f t="shared" si="48"/>
        <v>0</v>
      </c>
    </row>
    <row r="170" spans="1:45" x14ac:dyDescent="0.25">
      <c r="A170" s="88">
        <v>21222611</v>
      </c>
      <c r="B170" s="86" t="s">
        <v>584</v>
      </c>
      <c r="C170" s="91">
        <v>37000000</v>
      </c>
      <c r="D170" s="91">
        <v>0</v>
      </c>
      <c r="E170" s="91">
        <v>0</v>
      </c>
      <c r="F170" s="91">
        <v>0</v>
      </c>
      <c r="G170" s="91">
        <f t="shared" si="54"/>
        <v>37000000</v>
      </c>
      <c r="H170" s="91">
        <v>0</v>
      </c>
      <c r="I170" s="91">
        <v>37000000</v>
      </c>
      <c r="J170" s="91">
        <f t="shared" si="49"/>
        <v>0</v>
      </c>
      <c r="K170" s="91">
        <v>0</v>
      </c>
      <c r="L170" s="91">
        <v>0</v>
      </c>
      <c r="M170" s="91">
        <f t="shared" si="50"/>
        <v>37000000</v>
      </c>
      <c r="N170" s="91">
        <v>37000000</v>
      </c>
      <c r="O170" s="91">
        <f t="shared" si="51"/>
        <v>0</v>
      </c>
      <c r="P170" s="91">
        <f t="shared" si="52"/>
        <v>0</v>
      </c>
      <c r="Q170" s="91">
        <f t="shared" si="53"/>
        <v>0</v>
      </c>
      <c r="S170" s="96">
        <v>21222611</v>
      </c>
      <c r="T170" s="117" t="s">
        <v>732</v>
      </c>
      <c r="U170" s="95">
        <v>37000000</v>
      </c>
      <c r="V170" s="95">
        <v>0</v>
      </c>
      <c r="W170" s="95">
        <v>0</v>
      </c>
      <c r="X170" s="95">
        <v>0</v>
      </c>
      <c r="Y170" s="95">
        <v>37000000</v>
      </c>
      <c r="Z170" s="95">
        <v>0</v>
      </c>
      <c r="AA170" s="95">
        <v>0</v>
      </c>
      <c r="AB170" s="120">
        <v>0</v>
      </c>
      <c r="AC170" s="95">
        <v>0</v>
      </c>
      <c r="AD170" s="95">
        <v>37000000</v>
      </c>
      <c r="AE170" s="120">
        <v>37000000</v>
      </c>
      <c r="AF170" s="95">
        <v>0</v>
      </c>
      <c r="AG170" s="95">
        <v>0</v>
      </c>
      <c r="AH170" s="120">
        <v>0</v>
      </c>
      <c r="AI170" s="120">
        <v>0</v>
      </c>
      <c r="AJ170" s="84">
        <v>37000000</v>
      </c>
      <c r="AK170" s="84">
        <v>0</v>
      </c>
      <c r="AL170" s="84">
        <v>0</v>
      </c>
      <c r="AM170" s="84">
        <v>37000000</v>
      </c>
      <c r="AN170" s="121">
        <v>37000000</v>
      </c>
      <c r="AO170" s="84">
        <v>0</v>
      </c>
      <c r="AP170" s="95">
        <v>0</v>
      </c>
      <c r="AQ170" s="84">
        <v>0</v>
      </c>
      <c r="AS170" s="118">
        <f t="shared" si="48"/>
        <v>0</v>
      </c>
    </row>
    <row r="171" spans="1:45" x14ac:dyDescent="0.25">
      <c r="A171" s="88">
        <v>21222612</v>
      </c>
      <c r="B171" s="86" t="s">
        <v>585</v>
      </c>
      <c r="C171" s="91">
        <v>25000000</v>
      </c>
      <c r="D171" s="91">
        <v>0</v>
      </c>
      <c r="E171" s="91">
        <v>0</v>
      </c>
      <c r="F171" s="91">
        <v>0</v>
      </c>
      <c r="G171" s="91">
        <f t="shared" si="54"/>
        <v>25000000</v>
      </c>
      <c r="H171" s="91">
        <v>0</v>
      </c>
      <c r="I171" s="91">
        <v>25000000</v>
      </c>
      <c r="J171" s="91">
        <f t="shared" si="49"/>
        <v>0</v>
      </c>
      <c r="K171" s="91">
        <v>0</v>
      </c>
      <c r="L171" s="91">
        <v>0</v>
      </c>
      <c r="M171" s="91">
        <f t="shared" si="50"/>
        <v>25000000</v>
      </c>
      <c r="N171" s="91">
        <v>25000000</v>
      </c>
      <c r="O171" s="91">
        <f t="shared" si="51"/>
        <v>0</v>
      </c>
      <c r="P171" s="91">
        <f t="shared" si="52"/>
        <v>0</v>
      </c>
      <c r="Q171" s="91">
        <f t="shared" si="53"/>
        <v>0</v>
      </c>
      <c r="S171" s="96">
        <v>21222612</v>
      </c>
      <c r="T171" s="117" t="s">
        <v>733</v>
      </c>
      <c r="U171" s="95">
        <v>25000000</v>
      </c>
      <c r="V171" s="95">
        <v>0</v>
      </c>
      <c r="W171" s="95">
        <v>0</v>
      </c>
      <c r="X171" s="95">
        <v>0</v>
      </c>
      <c r="Y171" s="95">
        <v>25000000</v>
      </c>
      <c r="Z171" s="95">
        <v>0</v>
      </c>
      <c r="AA171" s="95">
        <v>0</v>
      </c>
      <c r="AB171" s="120">
        <v>0</v>
      </c>
      <c r="AC171" s="95">
        <v>0</v>
      </c>
      <c r="AD171" s="95">
        <v>25000000</v>
      </c>
      <c r="AE171" s="120">
        <v>25000000</v>
      </c>
      <c r="AF171" s="95">
        <v>0</v>
      </c>
      <c r="AG171" s="95">
        <v>0</v>
      </c>
      <c r="AH171" s="120">
        <v>0</v>
      </c>
      <c r="AI171" s="120">
        <v>0</v>
      </c>
      <c r="AJ171" s="84">
        <v>25000000</v>
      </c>
      <c r="AK171" s="84">
        <v>0</v>
      </c>
      <c r="AL171" s="84">
        <v>0</v>
      </c>
      <c r="AM171" s="84">
        <v>25000000</v>
      </c>
      <c r="AN171" s="121">
        <v>25000000</v>
      </c>
      <c r="AO171" s="84">
        <v>0</v>
      </c>
      <c r="AP171" s="95">
        <v>0</v>
      </c>
      <c r="AQ171" s="84">
        <v>0</v>
      </c>
      <c r="AS171" s="118">
        <f t="shared" si="48"/>
        <v>0</v>
      </c>
    </row>
    <row r="172" spans="1:45" x14ac:dyDescent="0.25">
      <c r="A172" s="88">
        <v>21222613</v>
      </c>
      <c r="B172" s="86" t="s">
        <v>586</v>
      </c>
      <c r="C172" s="91">
        <v>35000000</v>
      </c>
      <c r="D172" s="91">
        <v>0</v>
      </c>
      <c r="E172" s="91">
        <v>0</v>
      </c>
      <c r="F172" s="91">
        <v>0</v>
      </c>
      <c r="G172" s="91">
        <f t="shared" si="54"/>
        <v>35000000</v>
      </c>
      <c r="H172" s="91">
        <v>20000000</v>
      </c>
      <c r="I172" s="91">
        <v>35000000</v>
      </c>
      <c r="J172" s="91">
        <f t="shared" si="49"/>
        <v>0</v>
      </c>
      <c r="K172" s="91">
        <v>0</v>
      </c>
      <c r="L172" s="91">
        <v>6356540</v>
      </c>
      <c r="M172" s="91">
        <f t="shared" si="50"/>
        <v>28643460</v>
      </c>
      <c r="N172" s="91">
        <v>35000000</v>
      </c>
      <c r="O172" s="91">
        <f t="shared" si="51"/>
        <v>0</v>
      </c>
      <c r="P172" s="91">
        <f t="shared" si="52"/>
        <v>0</v>
      </c>
      <c r="Q172" s="91">
        <f t="shared" si="53"/>
        <v>6356540</v>
      </c>
      <c r="S172" s="96">
        <v>21222613</v>
      </c>
      <c r="T172" s="117" t="s">
        <v>734</v>
      </c>
      <c r="U172" s="95">
        <v>35000000</v>
      </c>
      <c r="V172" s="95">
        <v>0</v>
      </c>
      <c r="W172" s="95">
        <v>0</v>
      </c>
      <c r="X172" s="95">
        <v>0</v>
      </c>
      <c r="Y172" s="95">
        <v>35000000</v>
      </c>
      <c r="Z172" s="95">
        <v>0</v>
      </c>
      <c r="AA172" s="95">
        <v>0</v>
      </c>
      <c r="AB172" s="120">
        <v>20000000</v>
      </c>
      <c r="AC172" s="95">
        <v>20000000</v>
      </c>
      <c r="AD172" s="95">
        <v>35000000</v>
      </c>
      <c r="AE172" s="120">
        <v>35000000</v>
      </c>
      <c r="AF172" s="95">
        <v>0</v>
      </c>
      <c r="AG172" s="95">
        <v>0</v>
      </c>
      <c r="AH172" s="120">
        <v>0</v>
      </c>
      <c r="AI172" s="120">
        <v>6356540</v>
      </c>
      <c r="AJ172" s="84">
        <v>28643460</v>
      </c>
      <c r="AK172" s="84">
        <v>0</v>
      </c>
      <c r="AL172" s="84">
        <v>0</v>
      </c>
      <c r="AM172" s="84">
        <v>35000000</v>
      </c>
      <c r="AN172" s="121">
        <v>35000000</v>
      </c>
      <c r="AO172" s="84">
        <v>0</v>
      </c>
      <c r="AP172" s="95">
        <v>0</v>
      </c>
      <c r="AQ172" s="84">
        <v>0</v>
      </c>
      <c r="AS172" s="118">
        <f t="shared" si="48"/>
        <v>0</v>
      </c>
    </row>
    <row r="173" spans="1:45" x14ac:dyDescent="0.25">
      <c r="A173" s="88">
        <v>2122262</v>
      </c>
      <c r="B173" s="86" t="s">
        <v>587</v>
      </c>
      <c r="C173" s="91">
        <v>300000000</v>
      </c>
      <c r="D173" s="91">
        <v>0</v>
      </c>
      <c r="E173" s="91">
        <v>0</v>
      </c>
      <c r="F173" s="91">
        <v>0</v>
      </c>
      <c r="G173" s="91">
        <f t="shared" si="54"/>
        <v>300000000</v>
      </c>
      <c r="H173" s="91">
        <v>191000</v>
      </c>
      <c r="I173" s="91">
        <v>965502</v>
      </c>
      <c r="J173" s="91">
        <f t="shared" si="49"/>
        <v>299034498</v>
      </c>
      <c r="K173" s="91">
        <v>491000</v>
      </c>
      <c r="L173" s="91">
        <v>965502</v>
      </c>
      <c r="M173" s="91">
        <f t="shared" si="50"/>
        <v>0</v>
      </c>
      <c r="N173" s="91">
        <v>181865502</v>
      </c>
      <c r="O173" s="91">
        <f t="shared" si="51"/>
        <v>180900000</v>
      </c>
      <c r="P173" s="91">
        <f t="shared" si="52"/>
        <v>118134498</v>
      </c>
      <c r="Q173" s="91">
        <f t="shared" si="53"/>
        <v>965502</v>
      </c>
      <c r="S173" s="96">
        <v>2122262</v>
      </c>
      <c r="T173" s="117" t="s">
        <v>735</v>
      </c>
      <c r="U173" s="95">
        <v>300000000</v>
      </c>
      <c r="V173" s="95">
        <v>0</v>
      </c>
      <c r="W173" s="95">
        <v>0</v>
      </c>
      <c r="X173" s="95">
        <v>0</v>
      </c>
      <c r="Y173" s="95">
        <v>300000000</v>
      </c>
      <c r="Z173" s="95">
        <v>0</v>
      </c>
      <c r="AA173" s="95">
        <v>0</v>
      </c>
      <c r="AB173" s="120">
        <v>191000</v>
      </c>
      <c r="AC173" s="95">
        <v>191000</v>
      </c>
      <c r="AD173" s="95">
        <v>965502</v>
      </c>
      <c r="AE173" s="120">
        <v>965502</v>
      </c>
      <c r="AF173" s="95">
        <v>299034498</v>
      </c>
      <c r="AG173" s="95">
        <v>0</v>
      </c>
      <c r="AH173" s="120">
        <v>491000</v>
      </c>
      <c r="AI173" s="120">
        <v>965502</v>
      </c>
      <c r="AJ173" s="84">
        <v>0</v>
      </c>
      <c r="AK173" s="84">
        <v>0</v>
      </c>
      <c r="AL173" s="84">
        <v>191000</v>
      </c>
      <c r="AM173" s="84">
        <v>181865502</v>
      </c>
      <c r="AN173" s="121">
        <v>181865502</v>
      </c>
      <c r="AO173" s="84">
        <v>180900000</v>
      </c>
      <c r="AP173" s="95">
        <v>118134498</v>
      </c>
      <c r="AQ173" s="84">
        <v>0</v>
      </c>
      <c r="AS173" s="118">
        <f t="shared" si="48"/>
        <v>0</v>
      </c>
    </row>
    <row r="174" spans="1:45" x14ac:dyDescent="0.25">
      <c r="A174" s="88">
        <v>2122266</v>
      </c>
      <c r="B174" s="86" t="s">
        <v>588</v>
      </c>
      <c r="C174" s="91">
        <v>73000000</v>
      </c>
      <c r="D174" s="91">
        <v>0</v>
      </c>
      <c r="E174" s="91">
        <v>0</v>
      </c>
      <c r="F174" s="91">
        <v>0</v>
      </c>
      <c r="G174" s="91">
        <f t="shared" si="54"/>
        <v>73000000</v>
      </c>
      <c r="H174" s="91">
        <v>0</v>
      </c>
      <c r="I174" s="91">
        <v>0</v>
      </c>
      <c r="J174" s="91">
        <f t="shared" si="49"/>
        <v>73000000</v>
      </c>
      <c r="K174" s="91">
        <v>0</v>
      </c>
      <c r="L174" s="91">
        <v>0</v>
      </c>
      <c r="M174" s="91">
        <f t="shared" si="50"/>
        <v>0</v>
      </c>
      <c r="N174" s="91">
        <v>0</v>
      </c>
      <c r="O174" s="91">
        <f t="shared" si="51"/>
        <v>0</v>
      </c>
      <c r="P174" s="91">
        <f t="shared" si="52"/>
        <v>73000000</v>
      </c>
      <c r="Q174" s="91">
        <f t="shared" si="53"/>
        <v>0</v>
      </c>
      <c r="S174" s="96">
        <v>2122266</v>
      </c>
      <c r="T174" s="117" t="s">
        <v>736</v>
      </c>
      <c r="U174" s="95">
        <v>73000000</v>
      </c>
      <c r="V174" s="95">
        <v>0</v>
      </c>
      <c r="W174" s="95">
        <v>0</v>
      </c>
      <c r="X174" s="95">
        <v>0</v>
      </c>
      <c r="Y174" s="95">
        <v>73000000</v>
      </c>
      <c r="Z174" s="95">
        <v>0</v>
      </c>
      <c r="AA174" s="95">
        <v>0</v>
      </c>
      <c r="AB174" s="120">
        <v>0</v>
      </c>
      <c r="AC174" s="95">
        <v>0</v>
      </c>
      <c r="AD174" s="95">
        <v>0</v>
      </c>
      <c r="AE174" s="120">
        <v>0</v>
      </c>
      <c r="AF174" s="95">
        <v>73000000</v>
      </c>
      <c r="AG174" s="95">
        <v>0</v>
      </c>
      <c r="AH174" s="120">
        <v>0</v>
      </c>
      <c r="AI174" s="120">
        <v>0</v>
      </c>
      <c r="AJ174" s="84">
        <v>0</v>
      </c>
      <c r="AK174" s="84">
        <v>0</v>
      </c>
      <c r="AL174" s="84">
        <v>0</v>
      </c>
      <c r="AM174" s="84">
        <v>0</v>
      </c>
      <c r="AN174" s="121">
        <v>0</v>
      </c>
      <c r="AO174" s="84">
        <v>0</v>
      </c>
      <c r="AP174" s="95">
        <v>73000000</v>
      </c>
      <c r="AQ174" s="84">
        <v>0</v>
      </c>
      <c r="AS174" s="118">
        <f t="shared" si="48"/>
        <v>0</v>
      </c>
    </row>
    <row r="175" spans="1:45" s="100" customFormat="1" ht="30" x14ac:dyDescent="0.25">
      <c r="A175" s="106">
        <v>212227</v>
      </c>
      <c r="B175" s="107" t="s">
        <v>76</v>
      </c>
      <c r="C175" s="108">
        <f>+C176+C184</f>
        <v>2213000000</v>
      </c>
      <c r="D175" s="108">
        <f t="shared" ref="D175:Q175" si="56">+D176+D184</f>
        <v>358000000</v>
      </c>
      <c r="E175" s="108">
        <f t="shared" si="56"/>
        <v>0</v>
      </c>
      <c r="F175" s="108">
        <f t="shared" si="56"/>
        <v>0</v>
      </c>
      <c r="G175" s="108">
        <f t="shared" si="56"/>
        <v>2571000000</v>
      </c>
      <c r="H175" s="108">
        <v>26091873.5</v>
      </c>
      <c r="I175" s="108">
        <v>1083970241.52</v>
      </c>
      <c r="J175" s="108">
        <f t="shared" si="56"/>
        <v>1327029758.48</v>
      </c>
      <c r="K175" s="108">
        <v>207113824.94</v>
      </c>
      <c r="L175" s="108">
        <v>228734272.96000001</v>
      </c>
      <c r="M175" s="108">
        <f t="shared" si="56"/>
        <v>855235968.55999994</v>
      </c>
      <c r="N175" s="108">
        <v>2307709981.21</v>
      </c>
      <c r="O175" s="108">
        <f t="shared" si="56"/>
        <v>1223739739.6900001</v>
      </c>
      <c r="P175" s="108">
        <f t="shared" si="56"/>
        <v>103290018.78999999</v>
      </c>
      <c r="Q175" s="108">
        <f t="shared" si="56"/>
        <v>228734272.96000001</v>
      </c>
      <c r="S175" s="101">
        <v>212227</v>
      </c>
      <c r="T175" s="116" t="s">
        <v>76</v>
      </c>
      <c r="U175" s="102">
        <v>2213000000</v>
      </c>
      <c r="V175" s="102">
        <v>198000000</v>
      </c>
      <c r="W175" s="102">
        <v>0</v>
      </c>
      <c r="X175" s="102">
        <v>0</v>
      </c>
      <c r="Y175" s="102">
        <v>2411000000</v>
      </c>
      <c r="Z175" s="102">
        <v>372300000</v>
      </c>
      <c r="AA175" s="102">
        <v>0</v>
      </c>
      <c r="AB175" s="119">
        <v>26091873.5</v>
      </c>
      <c r="AC175" s="102">
        <v>26091873.5</v>
      </c>
      <c r="AD175" s="102">
        <v>1456270241.52</v>
      </c>
      <c r="AE175" s="119">
        <v>1083970241.52</v>
      </c>
      <c r="AF175" s="102">
        <v>1327029758.48</v>
      </c>
      <c r="AG175" s="102">
        <v>0</v>
      </c>
      <c r="AH175" s="119">
        <v>207113824.94</v>
      </c>
      <c r="AI175" s="119">
        <v>228734272.96000001</v>
      </c>
      <c r="AJ175" s="100">
        <v>855235968.55999994</v>
      </c>
      <c r="AK175" s="100">
        <v>0</v>
      </c>
      <c r="AL175" s="100">
        <v>782021806.38999999</v>
      </c>
      <c r="AM175" s="100">
        <v>2307709981.21</v>
      </c>
      <c r="AN175" s="122">
        <v>2307709981.21</v>
      </c>
      <c r="AO175" s="100">
        <v>1223739739.6900001</v>
      </c>
      <c r="AP175" s="102">
        <v>103290018.78999996</v>
      </c>
      <c r="AQ175" s="100">
        <v>0</v>
      </c>
      <c r="AS175" s="118">
        <f t="shared" si="48"/>
        <v>0</v>
      </c>
    </row>
    <row r="176" spans="1:45" s="100" customFormat="1" x14ac:dyDescent="0.25">
      <c r="A176" s="106">
        <v>2122271</v>
      </c>
      <c r="B176" s="107" t="s">
        <v>77</v>
      </c>
      <c r="C176" s="108">
        <f>+C177+C179+C181+C183</f>
        <v>926000000</v>
      </c>
      <c r="D176" s="108">
        <f t="shared" ref="D176:Q176" si="57">+D177+D179+D181+D183</f>
        <v>198000000</v>
      </c>
      <c r="E176" s="108">
        <f t="shared" si="57"/>
        <v>0</v>
      </c>
      <c r="F176" s="108">
        <f t="shared" si="57"/>
        <v>0</v>
      </c>
      <c r="G176" s="108">
        <f t="shared" si="57"/>
        <v>1124000000</v>
      </c>
      <c r="H176" s="108">
        <v>0</v>
      </c>
      <c r="I176" s="108">
        <v>247959006</v>
      </c>
      <c r="J176" s="108">
        <f t="shared" si="57"/>
        <v>842436549.48000002</v>
      </c>
      <c r="K176" s="108">
        <v>174224679</v>
      </c>
      <c r="L176" s="108">
        <v>174224679</v>
      </c>
      <c r="M176" s="108">
        <f t="shared" si="57"/>
        <v>73519977.560000002</v>
      </c>
      <c r="N176" s="108">
        <v>1019000000</v>
      </c>
      <c r="O176" s="108">
        <f t="shared" si="57"/>
        <v>776529082.69000006</v>
      </c>
      <c r="P176" s="108">
        <f t="shared" si="57"/>
        <v>65907466.789999999</v>
      </c>
      <c r="Q176" s="108">
        <f t="shared" si="57"/>
        <v>208043472.96000001</v>
      </c>
      <c r="S176" s="101">
        <v>2122271</v>
      </c>
      <c r="T176" s="116" t="s">
        <v>77</v>
      </c>
      <c r="U176" s="102">
        <v>826000000</v>
      </c>
      <c r="V176" s="102">
        <v>198000000</v>
      </c>
      <c r="W176" s="102">
        <v>0</v>
      </c>
      <c r="X176" s="102">
        <v>0</v>
      </c>
      <c r="Y176" s="102">
        <v>1024000000</v>
      </c>
      <c r="Z176" s="102">
        <v>0</v>
      </c>
      <c r="AA176" s="102">
        <v>0</v>
      </c>
      <c r="AB176" s="119">
        <v>0</v>
      </c>
      <c r="AC176" s="102">
        <v>0</v>
      </c>
      <c r="AD176" s="102">
        <v>247959006</v>
      </c>
      <c r="AE176" s="119">
        <v>247959006</v>
      </c>
      <c r="AF176" s="102">
        <v>776040994</v>
      </c>
      <c r="AG176" s="102">
        <v>0</v>
      </c>
      <c r="AH176" s="119">
        <v>174224679</v>
      </c>
      <c r="AI176" s="119">
        <v>174224679</v>
      </c>
      <c r="AJ176" s="100">
        <v>73734327</v>
      </c>
      <c r="AK176" s="100">
        <v>0</v>
      </c>
      <c r="AL176" s="100">
        <v>771040994</v>
      </c>
      <c r="AM176" s="100">
        <v>1019000000</v>
      </c>
      <c r="AN176" s="122">
        <v>1019000000</v>
      </c>
      <c r="AO176" s="100">
        <v>771040994</v>
      </c>
      <c r="AP176" s="102">
        <v>5000000</v>
      </c>
      <c r="AQ176" s="100">
        <v>0</v>
      </c>
      <c r="AS176" s="118">
        <f t="shared" si="48"/>
        <v>0</v>
      </c>
    </row>
    <row r="177" spans="1:45" s="100" customFormat="1" ht="30" x14ac:dyDescent="0.25">
      <c r="A177" s="109">
        <v>21222711</v>
      </c>
      <c r="B177" s="110" t="s">
        <v>78</v>
      </c>
      <c r="C177" s="111">
        <f>+C178</f>
        <v>5000000</v>
      </c>
      <c r="D177" s="111">
        <v>0</v>
      </c>
      <c r="E177" s="111">
        <v>0</v>
      </c>
      <c r="F177" s="111">
        <v>0</v>
      </c>
      <c r="G177" s="111">
        <f t="shared" si="54"/>
        <v>5000000</v>
      </c>
      <c r="H177" s="111">
        <v>0</v>
      </c>
      <c r="I177" s="111">
        <v>0</v>
      </c>
      <c r="J177" s="111">
        <f t="shared" si="49"/>
        <v>5000000</v>
      </c>
      <c r="K177" s="111">
        <v>0</v>
      </c>
      <c r="L177" s="111">
        <v>0</v>
      </c>
      <c r="M177" s="111">
        <f t="shared" si="50"/>
        <v>0</v>
      </c>
      <c r="N177" s="111">
        <v>0</v>
      </c>
      <c r="O177" s="111">
        <f t="shared" si="51"/>
        <v>0</v>
      </c>
      <c r="P177" s="111">
        <f t="shared" si="52"/>
        <v>5000000</v>
      </c>
      <c r="Q177" s="111">
        <f t="shared" si="53"/>
        <v>0</v>
      </c>
      <c r="S177" s="101">
        <v>21222711</v>
      </c>
      <c r="T177" s="116" t="s">
        <v>78</v>
      </c>
      <c r="U177" s="102">
        <v>5000000</v>
      </c>
      <c r="V177" s="102">
        <v>0</v>
      </c>
      <c r="W177" s="102">
        <v>0</v>
      </c>
      <c r="X177" s="102">
        <v>0</v>
      </c>
      <c r="Y177" s="102">
        <v>5000000</v>
      </c>
      <c r="Z177" s="102">
        <v>0</v>
      </c>
      <c r="AA177" s="102">
        <v>0</v>
      </c>
      <c r="AB177" s="119">
        <v>0</v>
      </c>
      <c r="AC177" s="102">
        <v>0</v>
      </c>
      <c r="AD177" s="102">
        <v>0</v>
      </c>
      <c r="AE177" s="119">
        <v>0</v>
      </c>
      <c r="AF177" s="102">
        <v>5000000</v>
      </c>
      <c r="AG177" s="102">
        <v>0</v>
      </c>
      <c r="AH177" s="119">
        <v>0</v>
      </c>
      <c r="AI177" s="119">
        <v>0</v>
      </c>
      <c r="AJ177" s="100">
        <v>0</v>
      </c>
      <c r="AK177" s="100">
        <v>0</v>
      </c>
      <c r="AL177" s="100">
        <v>0</v>
      </c>
      <c r="AM177" s="100">
        <v>0</v>
      </c>
      <c r="AN177" s="122">
        <v>0</v>
      </c>
      <c r="AO177" s="100">
        <v>0</v>
      </c>
      <c r="AP177" s="102">
        <v>5000000</v>
      </c>
      <c r="AQ177" s="100">
        <v>0</v>
      </c>
      <c r="AS177" s="118">
        <f t="shared" si="48"/>
        <v>0</v>
      </c>
    </row>
    <row r="178" spans="1:45" ht="30" x14ac:dyDescent="0.25">
      <c r="A178" s="88">
        <v>212227111</v>
      </c>
      <c r="B178" s="86" t="s">
        <v>589</v>
      </c>
      <c r="C178" s="91">
        <v>5000000</v>
      </c>
      <c r="D178" s="91">
        <v>0</v>
      </c>
      <c r="E178" s="91">
        <v>0</v>
      </c>
      <c r="F178" s="91">
        <v>0</v>
      </c>
      <c r="G178" s="91">
        <f t="shared" si="54"/>
        <v>5000000</v>
      </c>
      <c r="H178" s="91">
        <v>0</v>
      </c>
      <c r="I178" s="91">
        <v>0</v>
      </c>
      <c r="J178" s="91">
        <f t="shared" si="49"/>
        <v>5000000</v>
      </c>
      <c r="K178" s="91">
        <v>0</v>
      </c>
      <c r="L178" s="91">
        <v>0</v>
      </c>
      <c r="M178" s="91">
        <f t="shared" si="50"/>
        <v>0</v>
      </c>
      <c r="N178" s="91">
        <v>0</v>
      </c>
      <c r="O178" s="91">
        <f t="shared" si="51"/>
        <v>0</v>
      </c>
      <c r="P178" s="91">
        <f t="shared" si="52"/>
        <v>5000000</v>
      </c>
      <c r="Q178" s="91">
        <f t="shared" si="53"/>
        <v>0</v>
      </c>
      <c r="S178" s="96">
        <v>212227111</v>
      </c>
      <c r="T178" s="117" t="s">
        <v>737</v>
      </c>
      <c r="U178" s="95">
        <v>5000000</v>
      </c>
      <c r="V178" s="95">
        <v>0</v>
      </c>
      <c r="W178" s="95">
        <v>0</v>
      </c>
      <c r="X178" s="95">
        <v>0</v>
      </c>
      <c r="Y178" s="95">
        <v>5000000</v>
      </c>
      <c r="Z178" s="95">
        <v>0</v>
      </c>
      <c r="AA178" s="95">
        <v>0</v>
      </c>
      <c r="AB178" s="120">
        <v>0</v>
      </c>
      <c r="AC178" s="95">
        <v>0</v>
      </c>
      <c r="AD178" s="95">
        <v>0</v>
      </c>
      <c r="AE178" s="120">
        <v>0</v>
      </c>
      <c r="AF178" s="95">
        <v>5000000</v>
      </c>
      <c r="AG178" s="95">
        <v>0</v>
      </c>
      <c r="AH178" s="120">
        <v>0</v>
      </c>
      <c r="AI178" s="120">
        <v>0</v>
      </c>
      <c r="AJ178" s="84">
        <v>0</v>
      </c>
      <c r="AK178" s="84">
        <v>0</v>
      </c>
      <c r="AL178" s="84">
        <v>0</v>
      </c>
      <c r="AM178" s="84">
        <v>0</v>
      </c>
      <c r="AN178" s="121">
        <v>0</v>
      </c>
      <c r="AO178" s="84">
        <v>0</v>
      </c>
      <c r="AP178" s="95">
        <v>5000000</v>
      </c>
      <c r="AQ178" s="84">
        <v>0</v>
      </c>
      <c r="AS178" s="118">
        <f t="shared" si="48"/>
        <v>0</v>
      </c>
    </row>
    <row r="179" spans="1:45" s="100" customFormat="1" ht="30" x14ac:dyDescent="0.25">
      <c r="A179" s="109">
        <v>21222712</v>
      </c>
      <c r="B179" s="110" t="s">
        <v>79</v>
      </c>
      <c r="C179" s="111">
        <f>+C180</f>
        <v>265000000</v>
      </c>
      <c r="D179" s="111">
        <v>0</v>
      </c>
      <c r="E179" s="111">
        <v>0</v>
      </c>
      <c r="F179" s="111">
        <v>0</v>
      </c>
      <c r="G179" s="111">
        <f t="shared" si="54"/>
        <v>265000000</v>
      </c>
      <c r="H179" s="111">
        <v>0</v>
      </c>
      <c r="I179" s="111">
        <v>0</v>
      </c>
      <c r="J179" s="111">
        <f t="shared" si="49"/>
        <v>265000000</v>
      </c>
      <c r="K179" s="111">
        <v>0</v>
      </c>
      <c r="L179" s="111">
        <v>0</v>
      </c>
      <c r="M179" s="111">
        <f t="shared" si="50"/>
        <v>0</v>
      </c>
      <c r="N179" s="111">
        <v>265000000</v>
      </c>
      <c r="O179" s="111">
        <f t="shared" si="51"/>
        <v>265000000</v>
      </c>
      <c r="P179" s="111">
        <f t="shared" si="52"/>
        <v>0</v>
      </c>
      <c r="Q179" s="111">
        <f t="shared" si="53"/>
        <v>0</v>
      </c>
      <c r="S179" s="101">
        <v>21222712</v>
      </c>
      <c r="T179" s="116" t="s">
        <v>79</v>
      </c>
      <c r="U179" s="102">
        <v>265000000</v>
      </c>
      <c r="V179" s="102">
        <v>0</v>
      </c>
      <c r="W179" s="102">
        <v>0</v>
      </c>
      <c r="X179" s="102">
        <v>0</v>
      </c>
      <c r="Y179" s="102">
        <v>265000000</v>
      </c>
      <c r="Z179" s="102">
        <v>0</v>
      </c>
      <c r="AA179" s="102">
        <v>0</v>
      </c>
      <c r="AB179" s="119">
        <v>0</v>
      </c>
      <c r="AC179" s="102">
        <v>0</v>
      </c>
      <c r="AD179" s="102">
        <v>0</v>
      </c>
      <c r="AE179" s="119">
        <v>0</v>
      </c>
      <c r="AF179" s="102">
        <v>265000000</v>
      </c>
      <c r="AG179" s="102">
        <v>0</v>
      </c>
      <c r="AH179" s="119">
        <v>0</v>
      </c>
      <c r="AI179" s="119">
        <v>0</v>
      </c>
      <c r="AJ179" s="100">
        <v>0</v>
      </c>
      <c r="AK179" s="100">
        <v>0</v>
      </c>
      <c r="AL179" s="100">
        <v>265000000</v>
      </c>
      <c r="AM179" s="100">
        <v>265000000</v>
      </c>
      <c r="AN179" s="122">
        <v>265000000</v>
      </c>
      <c r="AO179" s="100">
        <v>265000000</v>
      </c>
      <c r="AP179" s="102">
        <v>0</v>
      </c>
      <c r="AQ179" s="100">
        <v>0</v>
      </c>
      <c r="AS179" s="118">
        <f t="shared" si="48"/>
        <v>0</v>
      </c>
    </row>
    <row r="180" spans="1:45" ht="30" x14ac:dyDescent="0.25">
      <c r="A180" s="88">
        <v>212227121</v>
      </c>
      <c r="B180" s="86" t="s">
        <v>590</v>
      </c>
      <c r="C180" s="91">
        <v>265000000</v>
      </c>
      <c r="D180" s="91">
        <v>0</v>
      </c>
      <c r="E180" s="91">
        <v>0</v>
      </c>
      <c r="F180" s="91">
        <v>0</v>
      </c>
      <c r="G180" s="91">
        <f t="shared" si="54"/>
        <v>265000000</v>
      </c>
      <c r="H180" s="91">
        <v>0</v>
      </c>
      <c r="I180" s="91">
        <v>0</v>
      </c>
      <c r="J180" s="91">
        <f t="shared" si="49"/>
        <v>265000000</v>
      </c>
      <c r="K180" s="91">
        <v>0</v>
      </c>
      <c r="L180" s="91">
        <v>0</v>
      </c>
      <c r="M180" s="91">
        <f t="shared" si="50"/>
        <v>0</v>
      </c>
      <c r="N180" s="91">
        <v>265000000</v>
      </c>
      <c r="O180" s="91">
        <f t="shared" si="51"/>
        <v>265000000</v>
      </c>
      <c r="P180" s="91">
        <f t="shared" si="52"/>
        <v>0</v>
      </c>
      <c r="Q180" s="91">
        <f t="shared" si="53"/>
        <v>0</v>
      </c>
      <c r="S180" s="96">
        <v>212227121</v>
      </c>
      <c r="T180" s="117" t="s">
        <v>738</v>
      </c>
      <c r="U180" s="95">
        <v>265000000</v>
      </c>
      <c r="V180" s="95">
        <v>0</v>
      </c>
      <c r="W180" s="95">
        <v>0</v>
      </c>
      <c r="X180" s="95">
        <v>0</v>
      </c>
      <c r="Y180" s="95">
        <v>265000000</v>
      </c>
      <c r="Z180" s="95">
        <v>0</v>
      </c>
      <c r="AA180" s="95">
        <v>0</v>
      </c>
      <c r="AB180" s="120">
        <v>0</v>
      </c>
      <c r="AC180" s="95">
        <v>0</v>
      </c>
      <c r="AD180" s="95">
        <v>0</v>
      </c>
      <c r="AE180" s="120">
        <v>0</v>
      </c>
      <c r="AF180" s="95">
        <v>265000000</v>
      </c>
      <c r="AG180" s="95">
        <v>0</v>
      </c>
      <c r="AH180" s="120">
        <v>0</v>
      </c>
      <c r="AI180" s="120">
        <v>0</v>
      </c>
      <c r="AJ180" s="84">
        <v>0</v>
      </c>
      <c r="AK180" s="84">
        <v>0</v>
      </c>
      <c r="AL180" s="84">
        <v>265000000</v>
      </c>
      <c r="AM180" s="84">
        <v>265000000</v>
      </c>
      <c r="AN180" s="121">
        <v>265000000</v>
      </c>
      <c r="AO180" s="84">
        <v>265000000</v>
      </c>
      <c r="AP180" s="95">
        <v>0</v>
      </c>
      <c r="AQ180" s="84">
        <v>0</v>
      </c>
      <c r="AS180" s="118">
        <f t="shared" si="48"/>
        <v>0</v>
      </c>
    </row>
    <row r="181" spans="1:45" s="100" customFormat="1" ht="30" x14ac:dyDescent="0.25">
      <c r="A181" s="109">
        <v>21222713</v>
      </c>
      <c r="B181" s="110" t="s">
        <v>80</v>
      </c>
      <c r="C181" s="111">
        <f>+C182</f>
        <v>556000000</v>
      </c>
      <c r="D181" s="111">
        <f t="shared" ref="D181:Q181" si="58">+D182</f>
        <v>198000000</v>
      </c>
      <c r="E181" s="111">
        <f t="shared" si="58"/>
        <v>0</v>
      </c>
      <c r="F181" s="111">
        <f t="shared" si="58"/>
        <v>0</v>
      </c>
      <c r="G181" s="111">
        <f t="shared" si="58"/>
        <v>754000000</v>
      </c>
      <c r="H181" s="111">
        <v>0</v>
      </c>
      <c r="I181" s="111">
        <v>247959006</v>
      </c>
      <c r="J181" s="111">
        <f t="shared" si="58"/>
        <v>506040994</v>
      </c>
      <c r="K181" s="111">
        <v>174224679</v>
      </c>
      <c r="L181" s="111">
        <v>174224679</v>
      </c>
      <c r="M181" s="111">
        <f t="shared" si="58"/>
        <v>73734327</v>
      </c>
      <c r="N181" s="111">
        <v>754000000</v>
      </c>
      <c r="O181" s="111">
        <f t="shared" si="58"/>
        <v>506040994</v>
      </c>
      <c r="P181" s="111">
        <f t="shared" si="58"/>
        <v>0</v>
      </c>
      <c r="Q181" s="111">
        <f t="shared" si="58"/>
        <v>174224679</v>
      </c>
      <c r="S181" s="101">
        <v>21222713</v>
      </c>
      <c r="T181" s="116" t="s">
        <v>80</v>
      </c>
      <c r="U181" s="102">
        <v>556000000</v>
      </c>
      <c r="V181" s="102">
        <v>198000000</v>
      </c>
      <c r="W181" s="102">
        <v>0</v>
      </c>
      <c r="X181" s="102">
        <v>0</v>
      </c>
      <c r="Y181" s="102">
        <v>754000000</v>
      </c>
      <c r="Z181" s="102">
        <v>0</v>
      </c>
      <c r="AA181" s="102">
        <v>0</v>
      </c>
      <c r="AB181" s="119">
        <v>0</v>
      </c>
      <c r="AC181" s="102">
        <v>0</v>
      </c>
      <c r="AD181" s="102">
        <v>247959006</v>
      </c>
      <c r="AE181" s="119">
        <v>247959006</v>
      </c>
      <c r="AF181" s="102">
        <v>506040994</v>
      </c>
      <c r="AG181" s="102">
        <v>0</v>
      </c>
      <c r="AH181" s="119">
        <v>174224679</v>
      </c>
      <c r="AI181" s="119">
        <v>174224679</v>
      </c>
      <c r="AJ181" s="100">
        <v>73734327</v>
      </c>
      <c r="AK181" s="100">
        <v>0</v>
      </c>
      <c r="AL181" s="100">
        <v>506040994</v>
      </c>
      <c r="AM181" s="100">
        <v>754000000</v>
      </c>
      <c r="AN181" s="122">
        <v>754000000</v>
      </c>
      <c r="AO181" s="100">
        <v>506040994</v>
      </c>
      <c r="AP181" s="102">
        <v>0</v>
      </c>
      <c r="AQ181" s="100">
        <v>0</v>
      </c>
      <c r="AS181" s="118">
        <f t="shared" si="48"/>
        <v>0</v>
      </c>
    </row>
    <row r="182" spans="1:45" x14ac:dyDescent="0.25">
      <c r="A182" s="88">
        <v>212227138</v>
      </c>
      <c r="B182" s="86" t="s">
        <v>591</v>
      </c>
      <c r="C182" s="91">
        <v>556000000</v>
      </c>
      <c r="D182" s="91">
        <f>+V182</f>
        <v>198000000</v>
      </c>
      <c r="E182" s="91">
        <v>0</v>
      </c>
      <c r="F182" s="91">
        <v>0</v>
      </c>
      <c r="G182" s="91">
        <f t="shared" si="54"/>
        <v>754000000</v>
      </c>
      <c r="H182" s="91">
        <v>0</v>
      </c>
      <c r="I182" s="91">
        <v>247959006</v>
      </c>
      <c r="J182" s="91">
        <f t="shared" si="49"/>
        <v>506040994</v>
      </c>
      <c r="K182" s="91">
        <v>174224679</v>
      </c>
      <c r="L182" s="91">
        <v>174224679</v>
      </c>
      <c r="M182" s="91">
        <f t="shared" si="50"/>
        <v>73734327</v>
      </c>
      <c r="N182" s="91">
        <v>754000000</v>
      </c>
      <c r="O182" s="91">
        <f t="shared" si="51"/>
        <v>506040994</v>
      </c>
      <c r="P182" s="91">
        <f t="shared" si="52"/>
        <v>0</v>
      </c>
      <c r="Q182" s="91">
        <f t="shared" si="53"/>
        <v>174224679</v>
      </c>
      <c r="S182" s="96">
        <v>212227138</v>
      </c>
      <c r="T182" s="117" t="s">
        <v>739</v>
      </c>
      <c r="U182" s="95">
        <v>556000000</v>
      </c>
      <c r="V182" s="95">
        <v>198000000</v>
      </c>
      <c r="W182" s="95">
        <v>0</v>
      </c>
      <c r="X182" s="95">
        <v>0</v>
      </c>
      <c r="Y182" s="95">
        <v>754000000</v>
      </c>
      <c r="Z182" s="95">
        <v>0</v>
      </c>
      <c r="AA182" s="95">
        <v>0</v>
      </c>
      <c r="AB182" s="120">
        <v>0</v>
      </c>
      <c r="AC182" s="95">
        <v>0</v>
      </c>
      <c r="AD182" s="95">
        <v>247959006</v>
      </c>
      <c r="AE182" s="120">
        <v>247959006</v>
      </c>
      <c r="AF182" s="95">
        <v>506040994</v>
      </c>
      <c r="AG182" s="95">
        <v>0</v>
      </c>
      <c r="AH182" s="120">
        <v>174224679</v>
      </c>
      <c r="AI182" s="120">
        <v>174224679</v>
      </c>
      <c r="AJ182" s="84">
        <v>73734327</v>
      </c>
      <c r="AK182" s="84">
        <v>0</v>
      </c>
      <c r="AL182" s="84">
        <v>506040994</v>
      </c>
      <c r="AM182" s="84">
        <v>754000000</v>
      </c>
      <c r="AN182" s="121">
        <v>754000000</v>
      </c>
      <c r="AO182" s="84">
        <v>506040994</v>
      </c>
      <c r="AP182" s="95">
        <v>0</v>
      </c>
      <c r="AQ182" s="84">
        <v>0</v>
      </c>
      <c r="AS182" s="118">
        <f t="shared" si="48"/>
        <v>0</v>
      </c>
    </row>
    <row r="183" spans="1:45" x14ac:dyDescent="0.25">
      <c r="A183" s="88">
        <v>21222714</v>
      </c>
      <c r="B183" s="86" t="s">
        <v>592</v>
      </c>
      <c r="C183" s="91">
        <v>100000000</v>
      </c>
      <c r="D183" s="91">
        <v>0</v>
      </c>
      <c r="E183" s="91">
        <v>0</v>
      </c>
      <c r="F183" s="91">
        <v>0</v>
      </c>
      <c r="G183" s="91">
        <f t="shared" si="54"/>
        <v>100000000</v>
      </c>
      <c r="H183" s="91">
        <v>11091873.5</v>
      </c>
      <c r="I183" s="91">
        <v>33604444.520000003</v>
      </c>
      <c r="J183" s="91">
        <f t="shared" si="49"/>
        <v>66395555.479999997</v>
      </c>
      <c r="K183" s="91">
        <v>12198345.939999999</v>
      </c>
      <c r="L183" s="91">
        <v>33818793.960000001</v>
      </c>
      <c r="M183" s="91">
        <f t="shared" si="50"/>
        <v>-214349.43999999762</v>
      </c>
      <c r="N183" s="91">
        <v>39092533.210000001</v>
      </c>
      <c r="O183" s="91">
        <f t="shared" si="51"/>
        <v>5488088.6899999976</v>
      </c>
      <c r="P183" s="91">
        <f t="shared" si="52"/>
        <v>60907466.789999999</v>
      </c>
      <c r="Q183" s="91">
        <f t="shared" si="53"/>
        <v>33818793.960000001</v>
      </c>
      <c r="S183" s="96">
        <v>21222714</v>
      </c>
      <c r="T183" s="117" t="s">
        <v>740</v>
      </c>
      <c r="U183" s="95">
        <v>100000000</v>
      </c>
      <c r="V183" s="95">
        <v>0</v>
      </c>
      <c r="W183" s="95">
        <v>0</v>
      </c>
      <c r="X183" s="95">
        <v>0</v>
      </c>
      <c r="Y183" s="95">
        <v>100000000</v>
      </c>
      <c r="Z183" s="95">
        <v>0</v>
      </c>
      <c r="AA183" s="95">
        <v>0</v>
      </c>
      <c r="AB183" s="120">
        <v>11091873.5</v>
      </c>
      <c r="AC183" s="95">
        <v>11091873.5</v>
      </c>
      <c r="AD183" s="95">
        <v>33604444.520000003</v>
      </c>
      <c r="AE183" s="120">
        <v>33604444.520000003</v>
      </c>
      <c r="AF183" s="95">
        <v>66395555.479999997</v>
      </c>
      <c r="AG183" s="95">
        <v>0</v>
      </c>
      <c r="AH183" s="120">
        <v>12198345.939999999</v>
      </c>
      <c r="AI183" s="120">
        <v>33818793.960000001</v>
      </c>
      <c r="AJ183" s="84">
        <v>-214349.43999999762</v>
      </c>
      <c r="AK183" s="84">
        <v>0</v>
      </c>
      <c r="AL183" s="84">
        <v>10980812.390000001</v>
      </c>
      <c r="AM183" s="84">
        <v>39092533.210000001</v>
      </c>
      <c r="AN183" s="121">
        <v>39092533.210000001</v>
      </c>
      <c r="AO183" s="84">
        <v>5488088.6899999976</v>
      </c>
      <c r="AP183" s="95">
        <v>60907466.789999999</v>
      </c>
      <c r="AQ183" s="84">
        <v>0</v>
      </c>
      <c r="AS183" s="118">
        <f t="shared" si="48"/>
        <v>0</v>
      </c>
    </row>
    <row r="184" spans="1:45" s="100" customFormat="1" x14ac:dyDescent="0.25">
      <c r="A184" s="106">
        <v>2122272</v>
      </c>
      <c r="B184" s="107" t="s">
        <v>81</v>
      </c>
      <c r="C184" s="108">
        <f>+C185+C187+C190</f>
        <v>1287000000</v>
      </c>
      <c r="D184" s="108">
        <f t="shared" ref="D184:Q184" si="59">+D185+D187+D190</f>
        <v>160000000</v>
      </c>
      <c r="E184" s="108">
        <f t="shared" si="59"/>
        <v>0</v>
      </c>
      <c r="F184" s="108">
        <f t="shared" si="59"/>
        <v>0</v>
      </c>
      <c r="G184" s="108">
        <f t="shared" si="59"/>
        <v>1447000000</v>
      </c>
      <c r="H184" s="108">
        <v>15000000</v>
      </c>
      <c r="I184" s="108">
        <v>802406791</v>
      </c>
      <c r="J184" s="108">
        <f t="shared" si="59"/>
        <v>484593209</v>
      </c>
      <c r="K184" s="108">
        <v>20690800</v>
      </c>
      <c r="L184" s="108">
        <v>20690800</v>
      </c>
      <c r="M184" s="108">
        <f t="shared" si="59"/>
        <v>781715991</v>
      </c>
      <c r="N184" s="108">
        <v>1249617448</v>
      </c>
      <c r="O184" s="108">
        <f t="shared" si="59"/>
        <v>447210657</v>
      </c>
      <c r="P184" s="108">
        <f t="shared" si="59"/>
        <v>37382552</v>
      </c>
      <c r="Q184" s="108">
        <f t="shared" si="59"/>
        <v>20690800</v>
      </c>
      <c r="S184" s="101">
        <v>2122272</v>
      </c>
      <c r="T184" s="116" t="s">
        <v>81</v>
      </c>
      <c r="U184" s="102">
        <v>1287000000</v>
      </c>
      <c r="V184" s="102">
        <v>0</v>
      </c>
      <c r="W184" s="102">
        <v>0</v>
      </c>
      <c r="X184" s="102">
        <v>0</v>
      </c>
      <c r="Y184" s="102">
        <v>1287000000</v>
      </c>
      <c r="Z184" s="102">
        <v>372300000</v>
      </c>
      <c r="AA184" s="102">
        <v>0</v>
      </c>
      <c r="AB184" s="119">
        <v>15000000</v>
      </c>
      <c r="AC184" s="102">
        <v>15000000</v>
      </c>
      <c r="AD184" s="102">
        <v>1174706791</v>
      </c>
      <c r="AE184" s="119">
        <v>802406791</v>
      </c>
      <c r="AF184" s="102">
        <v>484593209</v>
      </c>
      <c r="AG184" s="102">
        <v>0</v>
      </c>
      <c r="AH184" s="119">
        <v>20690800</v>
      </c>
      <c r="AI184" s="119">
        <v>20690800</v>
      </c>
      <c r="AJ184" s="100">
        <v>781715991</v>
      </c>
      <c r="AK184" s="100">
        <v>0</v>
      </c>
      <c r="AL184" s="100">
        <v>0</v>
      </c>
      <c r="AM184" s="100">
        <v>1249617448</v>
      </c>
      <c r="AN184" s="122">
        <v>1249617448</v>
      </c>
      <c r="AO184" s="100">
        <v>447210657</v>
      </c>
      <c r="AP184" s="102">
        <v>37382552</v>
      </c>
      <c r="AQ184" s="100">
        <v>0</v>
      </c>
      <c r="AS184" s="118">
        <f t="shared" si="48"/>
        <v>0</v>
      </c>
    </row>
    <row r="185" spans="1:45" s="100" customFormat="1" ht="30" x14ac:dyDescent="0.25">
      <c r="A185" s="109">
        <v>21222721</v>
      </c>
      <c r="B185" s="110" t="s">
        <v>82</v>
      </c>
      <c r="C185" s="111">
        <f>+C186</f>
        <v>85000000</v>
      </c>
      <c r="D185" s="111">
        <v>0</v>
      </c>
      <c r="E185" s="111">
        <v>0</v>
      </c>
      <c r="F185" s="111">
        <v>0</v>
      </c>
      <c r="G185" s="111">
        <f t="shared" si="54"/>
        <v>85000000</v>
      </c>
      <c r="H185" s="111">
        <v>0</v>
      </c>
      <c r="I185" s="111">
        <v>62617448</v>
      </c>
      <c r="J185" s="111">
        <f t="shared" si="49"/>
        <v>22382552</v>
      </c>
      <c r="K185" s="111">
        <v>2600000</v>
      </c>
      <c r="L185" s="111">
        <v>2600000</v>
      </c>
      <c r="M185" s="111">
        <f t="shared" si="50"/>
        <v>60017448</v>
      </c>
      <c r="N185" s="111">
        <v>62617448</v>
      </c>
      <c r="O185" s="111">
        <f t="shared" si="51"/>
        <v>0</v>
      </c>
      <c r="P185" s="111">
        <f t="shared" si="52"/>
        <v>22382552</v>
      </c>
      <c r="Q185" s="111">
        <f t="shared" si="53"/>
        <v>2600000</v>
      </c>
      <c r="S185" s="101">
        <v>21222721</v>
      </c>
      <c r="T185" s="116" t="s">
        <v>82</v>
      </c>
      <c r="U185" s="102">
        <v>85000000</v>
      </c>
      <c r="V185" s="102">
        <v>0</v>
      </c>
      <c r="W185" s="102">
        <v>0</v>
      </c>
      <c r="X185" s="102">
        <v>0</v>
      </c>
      <c r="Y185" s="102">
        <v>85000000</v>
      </c>
      <c r="Z185" s="102">
        <v>0</v>
      </c>
      <c r="AA185" s="102">
        <v>0</v>
      </c>
      <c r="AB185" s="119">
        <v>0</v>
      </c>
      <c r="AC185" s="102">
        <v>0</v>
      </c>
      <c r="AD185" s="102">
        <v>62617448</v>
      </c>
      <c r="AE185" s="119">
        <v>62617448</v>
      </c>
      <c r="AF185" s="102">
        <v>22382552</v>
      </c>
      <c r="AG185" s="102">
        <v>0</v>
      </c>
      <c r="AH185" s="119">
        <v>2600000</v>
      </c>
      <c r="AI185" s="119">
        <v>2600000</v>
      </c>
      <c r="AJ185" s="100">
        <v>60017448</v>
      </c>
      <c r="AK185" s="100">
        <v>0</v>
      </c>
      <c r="AL185" s="100">
        <v>0</v>
      </c>
      <c r="AM185" s="100">
        <v>62617448</v>
      </c>
      <c r="AN185" s="122">
        <v>62617448</v>
      </c>
      <c r="AO185" s="100">
        <v>0</v>
      </c>
      <c r="AP185" s="102">
        <v>22382552</v>
      </c>
      <c r="AQ185" s="100">
        <v>0</v>
      </c>
      <c r="AS185" s="118">
        <f t="shared" si="48"/>
        <v>0</v>
      </c>
    </row>
    <row r="186" spans="1:45" ht="30" x14ac:dyDescent="0.25">
      <c r="A186" s="88">
        <v>212227211</v>
      </c>
      <c r="B186" s="86" t="s">
        <v>593</v>
      </c>
      <c r="C186" s="91">
        <v>85000000</v>
      </c>
      <c r="D186" s="91">
        <v>0</v>
      </c>
      <c r="E186" s="91">
        <v>0</v>
      </c>
      <c r="F186" s="91">
        <v>0</v>
      </c>
      <c r="G186" s="91">
        <f t="shared" si="54"/>
        <v>85000000</v>
      </c>
      <c r="H186" s="91">
        <v>0</v>
      </c>
      <c r="I186" s="91">
        <v>62617448</v>
      </c>
      <c r="J186" s="91">
        <f t="shared" si="49"/>
        <v>22382552</v>
      </c>
      <c r="K186" s="91">
        <v>2600000</v>
      </c>
      <c r="L186" s="91">
        <v>2600000</v>
      </c>
      <c r="M186" s="91">
        <f t="shared" si="50"/>
        <v>60017448</v>
      </c>
      <c r="N186" s="91">
        <v>62617448</v>
      </c>
      <c r="O186" s="91">
        <f t="shared" si="51"/>
        <v>0</v>
      </c>
      <c r="P186" s="91">
        <f t="shared" si="52"/>
        <v>22382552</v>
      </c>
      <c r="Q186" s="91">
        <f t="shared" si="53"/>
        <v>2600000</v>
      </c>
      <c r="S186" s="96">
        <v>212227211</v>
      </c>
      <c r="T186" s="117" t="s">
        <v>741</v>
      </c>
      <c r="U186" s="95">
        <v>85000000</v>
      </c>
      <c r="V186" s="95">
        <v>0</v>
      </c>
      <c r="W186" s="95">
        <v>0</v>
      </c>
      <c r="X186" s="95">
        <v>0</v>
      </c>
      <c r="Y186" s="95">
        <v>85000000</v>
      </c>
      <c r="Z186" s="95">
        <v>0</v>
      </c>
      <c r="AA186" s="95">
        <v>0</v>
      </c>
      <c r="AB186" s="120">
        <v>0</v>
      </c>
      <c r="AC186" s="95">
        <v>0</v>
      </c>
      <c r="AD186" s="95">
        <v>62617448</v>
      </c>
      <c r="AE186" s="120">
        <v>62617448</v>
      </c>
      <c r="AF186" s="95">
        <v>22382552</v>
      </c>
      <c r="AG186" s="95">
        <v>0</v>
      </c>
      <c r="AH186" s="120">
        <v>2600000</v>
      </c>
      <c r="AI186" s="120">
        <v>2600000</v>
      </c>
      <c r="AJ186" s="84">
        <v>60017448</v>
      </c>
      <c r="AK186" s="84">
        <v>0</v>
      </c>
      <c r="AL186" s="84">
        <v>0</v>
      </c>
      <c r="AM186" s="84">
        <v>62617448</v>
      </c>
      <c r="AN186" s="121">
        <v>62617448</v>
      </c>
      <c r="AO186" s="84">
        <v>0</v>
      </c>
      <c r="AP186" s="95">
        <v>22382552</v>
      </c>
      <c r="AQ186" s="84">
        <v>0</v>
      </c>
      <c r="AS186" s="118">
        <f t="shared" si="48"/>
        <v>0</v>
      </c>
    </row>
    <row r="187" spans="1:45" s="100" customFormat="1" x14ac:dyDescent="0.25">
      <c r="A187" s="109">
        <v>21222722</v>
      </c>
      <c r="B187" s="110" t="s">
        <v>83</v>
      </c>
      <c r="C187" s="111">
        <f>+C188+C189</f>
        <v>1202000000</v>
      </c>
      <c r="D187" s="111">
        <v>0</v>
      </c>
      <c r="E187" s="111">
        <v>0</v>
      </c>
      <c r="F187" s="111">
        <v>0</v>
      </c>
      <c r="G187" s="111">
        <f t="shared" si="54"/>
        <v>1202000000</v>
      </c>
      <c r="H187" s="111">
        <v>15000000</v>
      </c>
      <c r="I187" s="111">
        <v>739789343</v>
      </c>
      <c r="J187" s="111">
        <f t="shared" si="49"/>
        <v>462210657</v>
      </c>
      <c r="K187" s="111">
        <v>18090800</v>
      </c>
      <c r="L187" s="111">
        <v>18090800</v>
      </c>
      <c r="M187" s="111">
        <f t="shared" si="50"/>
        <v>721698543</v>
      </c>
      <c r="N187" s="111">
        <v>1187000000</v>
      </c>
      <c r="O187" s="111">
        <f t="shared" si="51"/>
        <v>447210657</v>
      </c>
      <c r="P187" s="111">
        <f t="shared" si="52"/>
        <v>15000000</v>
      </c>
      <c r="Q187" s="111">
        <f t="shared" si="53"/>
        <v>18090800</v>
      </c>
      <c r="S187" s="101">
        <v>21222722</v>
      </c>
      <c r="T187" s="116" t="s">
        <v>83</v>
      </c>
      <c r="U187" s="102">
        <v>1202000000</v>
      </c>
      <c r="V187" s="102">
        <v>0</v>
      </c>
      <c r="W187" s="102">
        <v>0</v>
      </c>
      <c r="X187" s="102">
        <v>0</v>
      </c>
      <c r="Y187" s="102">
        <v>1202000000</v>
      </c>
      <c r="Z187" s="102">
        <v>372300000</v>
      </c>
      <c r="AA187" s="102">
        <v>0</v>
      </c>
      <c r="AB187" s="119">
        <v>15000000</v>
      </c>
      <c r="AC187" s="102">
        <v>15000000</v>
      </c>
      <c r="AD187" s="102">
        <v>1112089343</v>
      </c>
      <c r="AE187" s="119">
        <v>739789343</v>
      </c>
      <c r="AF187" s="102">
        <v>462210657</v>
      </c>
      <c r="AG187" s="102">
        <v>0</v>
      </c>
      <c r="AH187" s="119">
        <v>18090800</v>
      </c>
      <c r="AI187" s="119">
        <v>18090800</v>
      </c>
      <c r="AJ187" s="100">
        <v>721698543</v>
      </c>
      <c r="AK187" s="100">
        <v>0</v>
      </c>
      <c r="AL187" s="100">
        <v>0</v>
      </c>
      <c r="AM187" s="100">
        <v>1187000000</v>
      </c>
      <c r="AN187" s="122">
        <v>1187000000</v>
      </c>
      <c r="AO187" s="100">
        <v>447210657</v>
      </c>
      <c r="AP187" s="102">
        <v>15000000</v>
      </c>
      <c r="AQ187" s="100">
        <v>0</v>
      </c>
      <c r="AS187" s="118">
        <f t="shared" si="48"/>
        <v>0</v>
      </c>
    </row>
    <row r="188" spans="1:45" ht="30" x14ac:dyDescent="0.25">
      <c r="A188" s="88">
        <v>212227222</v>
      </c>
      <c r="B188" s="86" t="s">
        <v>640</v>
      </c>
      <c r="C188" s="91">
        <v>1200000000</v>
      </c>
      <c r="D188" s="91">
        <v>0</v>
      </c>
      <c r="E188" s="91">
        <v>0</v>
      </c>
      <c r="F188" s="91">
        <v>0</v>
      </c>
      <c r="G188" s="91">
        <f t="shared" si="54"/>
        <v>1200000000</v>
      </c>
      <c r="H188" s="91">
        <v>15000000</v>
      </c>
      <c r="I188" s="91">
        <v>739789343</v>
      </c>
      <c r="J188" s="91">
        <f t="shared" si="49"/>
        <v>460210657</v>
      </c>
      <c r="K188" s="91">
        <v>18090800</v>
      </c>
      <c r="L188" s="91">
        <v>18090800</v>
      </c>
      <c r="M188" s="91">
        <f t="shared" si="50"/>
        <v>721698543</v>
      </c>
      <c r="N188" s="91">
        <v>1187000000</v>
      </c>
      <c r="O188" s="91">
        <f t="shared" si="51"/>
        <v>447210657</v>
      </c>
      <c r="P188" s="91">
        <f t="shared" si="52"/>
        <v>13000000</v>
      </c>
      <c r="Q188" s="91">
        <f t="shared" si="53"/>
        <v>18090800</v>
      </c>
      <c r="S188" s="96">
        <v>212227222</v>
      </c>
      <c r="T188" s="117" t="s">
        <v>742</v>
      </c>
      <c r="U188" s="95">
        <v>1200000000</v>
      </c>
      <c r="V188" s="95">
        <v>0</v>
      </c>
      <c r="W188" s="95">
        <v>0</v>
      </c>
      <c r="X188" s="95">
        <v>0</v>
      </c>
      <c r="Y188" s="95">
        <v>1200000000</v>
      </c>
      <c r="Z188" s="95">
        <v>372300000</v>
      </c>
      <c r="AA188" s="95">
        <v>0</v>
      </c>
      <c r="AB188" s="120">
        <v>15000000</v>
      </c>
      <c r="AC188" s="95">
        <v>15000000</v>
      </c>
      <c r="AD188" s="95">
        <v>1112089343</v>
      </c>
      <c r="AE188" s="120">
        <v>739789343</v>
      </c>
      <c r="AF188" s="95">
        <v>460210657</v>
      </c>
      <c r="AG188" s="95">
        <v>0</v>
      </c>
      <c r="AH188" s="120">
        <v>18090800</v>
      </c>
      <c r="AI188" s="120">
        <v>18090800</v>
      </c>
      <c r="AJ188" s="84">
        <v>721698543</v>
      </c>
      <c r="AK188" s="84">
        <v>0</v>
      </c>
      <c r="AL188" s="84">
        <v>0</v>
      </c>
      <c r="AM188" s="84">
        <v>1187000000</v>
      </c>
      <c r="AN188" s="121">
        <v>1187000000</v>
      </c>
      <c r="AO188" s="84">
        <v>447210657</v>
      </c>
      <c r="AP188" s="95">
        <v>13000000</v>
      </c>
      <c r="AQ188" s="84">
        <v>0</v>
      </c>
      <c r="AS188" s="118">
        <f t="shared" si="48"/>
        <v>0</v>
      </c>
    </row>
    <row r="189" spans="1:45" x14ac:dyDescent="0.25">
      <c r="A189" s="88">
        <v>212227223</v>
      </c>
      <c r="B189" s="86" t="s">
        <v>641</v>
      </c>
      <c r="C189" s="91">
        <v>2000000</v>
      </c>
      <c r="D189" s="91">
        <v>0</v>
      </c>
      <c r="E189" s="91">
        <v>0</v>
      </c>
      <c r="F189" s="91">
        <v>0</v>
      </c>
      <c r="G189" s="91">
        <f t="shared" si="54"/>
        <v>2000000</v>
      </c>
      <c r="H189" s="91">
        <v>0</v>
      </c>
      <c r="I189" s="91">
        <v>0</v>
      </c>
      <c r="J189" s="91">
        <f t="shared" si="49"/>
        <v>2000000</v>
      </c>
      <c r="K189" s="91">
        <v>0</v>
      </c>
      <c r="L189" s="91">
        <v>0</v>
      </c>
      <c r="M189" s="91">
        <f t="shared" si="50"/>
        <v>0</v>
      </c>
      <c r="N189" s="91">
        <v>0</v>
      </c>
      <c r="O189" s="91">
        <f t="shared" si="51"/>
        <v>0</v>
      </c>
      <c r="P189" s="91">
        <f t="shared" si="52"/>
        <v>2000000</v>
      </c>
      <c r="Q189" s="91">
        <f t="shared" si="53"/>
        <v>0</v>
      </c>
      <c r="S189" s="96">
        <v>212227223</v>
      </c>
      <c r="T189" s="117" t="s">
        <v>743</v>
      </c>
      <c r="U189" s="95">
        <v>2000000</v>
      </c>
      <c r="V189" s="95">
        <v>0</v>
      </c>
      <c r="W189" s="95">
        <v>0</v>
      </c>
      <c r="X189" s="95">
        <v>0</v>
      </c>
      <c r="Y189" s="95">
        <v>2000000</v>
      </c>
      <c r="Z189" s="95">
        <v>0</v>
      </c>
      <c r="AA189" s="95">
        <v>0</v>
      </c>
      <c r="AB189" s="120">
        <v>0</v>
      </c>
      <c r="AC189" s="95">
        <v>0</v>
      </c>
      <c r="AD189" s="95">
        <v>0</v>
      </c>
      <c r="AE189" s="120">
        <v>0</v>
      </c>
      <c r="AF189" s="95">
        <v>2000000</v>
      </c>
      <c r="AG189" s="95">
        <v>0</v>
      </c>
      <c r="AH189" s="120">
        <v>0</v>
      </c>
      <c r="AI189" s="120">
        <v>0</v>
      </c>
      <c r="AJ189" s="84">
        <v>0</v>
      </c>
      <c r="AK189" s="84">
        <v>0</v>
      </c>
      <c r="AL189" s="84">
        <v>0</v>
      </c>
      <c r="AM189" s="84">
        <v>0</v>
      </c>
      <c r="AN189" s="121">
        <v>0</v>
      </c>
      <c r="AO189" s="84">
        <v>0</v>
      </c>
      <c r="AP189" s="95">
        <v>2000000</v>
      </c>
      <c r="AQ189" s="84">
        <v>0</v>
      </c>
      <c r="AS189" s="118">
        <f t="shared" si="48"/>
        <v>0</v>
      </c>
    </row>
    <row r="190" spans="1:45" s="100" customFormat="1" x14ac:dyDescent="0.25">
      <c r="A190" s="109">
        <v>2122273</v>
      </c>
      <c r="B190" s="110" t="s">
        <v>855</v>
      </c>
      <c r="C190" s="111">
        <v>0</v>
      </c>
      <c r="D190" s="111">
        <f>+V190</f>
        <v>160000000</v>
      </c>
      <c r="E190" s="111"/>
      <c r="F190" s="111"/>
      <c r="G190" s="111">
        <f t="shared" si="54"/>
        <v>160000000</v>
      </c>
      <c r="H190" s="111">
        <v>0</v>
      </c>
      <c r="I190" s="111">
        <v>0</v>
      </c>
      <c r="J190" s="111"/>
      <c r="K190" s="111">
        <v>0</v>
      </c>
      <c r="L190" s="111">
        <v>0</v>
      </c>
      <c r="M190" s="111"/>
      <c r="N190" s="111">
        <v>160000000</v>
      </c>
      <c r="O190" s="111"/>
      <c r="P190" s="111"/>
      <c r="Q190" s="111"/>
      <c r="S190" s="101">
        <v>2122273</v>
      </c>
      <c r="T190" s="116" t="s">
        <v>855</v>
      </c>
      <c r="U190" s="102">
        <v>0</v>
      </c>
      <c r="V190" s="102">
        <v>160000000</v>
      </c>
      <c r="W190" s="102">
        <v>0</v>
      </c>
      <c r="X190" s="102">
        <v>0</v>
      </c>
      <c r="Y190" s="102">
        <v>160000000</v>
      </c>
      <c r="Z190" s="102">
        <v>0</v>
      </c>
      <c r="AA190" s="102">
        <v>0</v>
      </c>
      <c r="AB190" s="119">
        <v>0</v>
      </c>
      <c r="AC190" s="102">
        <v>0</v>
      </c>
      <c r="AD190" s="102">
        <v>0</v>
      </c>
      <c r="AE190" s="119">
        <v>0</v>
      </c>
      <c r="AF190" s="102">
        <v>160000000</v>
      </c>
      <c r="AG190" s="102">
        <v>0</v>
      </c>
      <c r="AH190" s="119">
        <v>0</v>
      </c>
      <c r="AI190" s="119">
        <v>0</v>
      </c>
      <c r="AJ190" s="100">
        <v>0</v>
      </c>
      <c r="AK190" s="100">
        <v>0</v>
      </c>
      <c r="AL190" s="100">
        <v>160000000</v>
      </c>
      <c r="AM190" s="100">
        <v>160000000</v>
      </c>
      <c r="AN190" s="122">
        <v>160000000</v>
      </c>
      <c r="AO190" s="100">
        <v>160000000</v>
      </c>
      <c r="AP190" s="102">
        <v>0</v>
      </c>
      <c r="AQ190" s="100">
        <v>0</v>
      </c>
      <c r="AS190" s="118">
        <f t="shared" si="48"/>
        <v>0</v>
      </c>
    </row>
    <row r="191" spans="1:45" s="100" customFormat="1" x14ac:dyDescent="0.25">
      <c r="A191" s="109">
        <v>212228</v>
      </c>
      <c r="B191" s="110" t="s">
        <v>84</v>
      </c>
      <c r="C191" s="111">
        <f>+C192+C194+C200+C204+C206+C213+C218</f>
        <v>2359300000</v>
      </c>
      <c r="D191" s="111">
        <f t="shared" ref="D191:Q191" si="60">+D192+D194+D200+D204+D206+D213+D218</f>
        <v>1589513991</v>
      </c>
      <c r="E191" s="111">
        <f t="shared" si="60"/>
        <v>219312351</v>
      </c>
      <c r="F191" s="111">
        <f t="shared" si="60"/>
        <v>675500000</v>
      </c>
      <c r="G191" s="111">
        <f t="shared" si="60"/>
        <v>4405001640</v>
      </c>
      <c r="H191" s="111">
        <v>758960577</v>
      </c>
      <c r="I191" s="111">
        <v>2588620375.3499999</v>
      </c>
      <c r="J191" s="111">
        <f t="shared" si="60"/>
        <v>1816381264.6500001</v>
      </c>
      <c r="K191" s="111">
        <v>347446313.40999997</v>
      </c>
      <c r="L191" s="111">
        <v>637256214.40999997</v>
      </c>
      <c r="M191" s="111">
        <f t="shared" si="60"/>
        <v>1951364160.9400001</v>
      </c>
      <c r="N191" s="111">
        <v>3418596957</v>
      </c>
      <c r="O191" s="111">
        <f t="shared" si="60"/>
        <v>829976581.64999998</v>
      </c>
      <c r="P191" s="111">
        <f t="shared" si="60"/>
        <v>986404683</v>
      </c>
      <c r="Q191" s="111">
        <f t="shared" si="60"/>
        <v>637256214.40999997</v>
      </c>
      <c r="S191" s="101">
        <v>212228</v>
      </c>
      <c r="T191" s="116" t="s">
        <v>84</v>
      </c>
      <c r="U191" s="102">
        <v>2359300000</v>
      </c>
      <c r="V191" s="102">
        <v>1589513991</v>
      </c>
      <c r="W191" s="102">
        <v>219312351</v>
      </c>
      <c r="X191" s="102">
        <v>675500000</v>
      </c>
      <c r="Y191" s="102">
        <v>4405001640</v>
      </c>
      <c r="Z191" s="102">
        <v>250000000</v>
      </c>
      <c r="AA191" s="102">
        <v>0</v>
      </c>
      <c r="AB191" s="119">
        <v>758960577</v>
      </c>
      <c r="AC191" s="102">
        <v>758960577</v>
      </c>
      <c r="AD191" s="102">
        <v>2838620375.3499999</v>
      </c>
      <c r="AE191" s="119">
        <v>2588620375.3499999</v>
      </c>
      <c r="AF191" s="102">
        <v>1816381264.6500001</v>
      </c>
      <c r="AG191" s="102">
        <v>250000000</v>
      </c>
      <c r="AH191" s="119">
        <v>347446313.40999997</v>
      </c>
      <c r="AI191" s="119">
        <v>637256214.40999997</v>
      </c>
      <c r="AJ191" s="100">
        <v>2201364160.9400001</v>
      </c>
      <c r="AK191" s="100">
        <v>48433000</v>
      </c>
      <c r="AL191" s="100">
        <v>396261138</v>
      </c>
      <c r="AM191" s="100">
        <v>3467029957</v>
      </c>
      <c r="AN191" s="122">
        <v>3418596957</v>
      </c>
      <c r="AO191" s="100">
        <v>829976581.6500001</v>
      </c>
      <c r="AP191" s="102">
        <v>986404683</v>
      </c>
      <c r="AQ191" s="100">
        <v>0</v>
      </c>
      <c r="AS191" s="118">
        <f t="shared" si="48"/>
        <v>0</v>
      </c>
    </row>
    <row r="192" spans="1:45" x14ac:dyDescent="0.25">
      <c r="A192" s="109">
        <v>2122281</v>
      </c>
      <c r="B192" s="110" t="s">
        <v>85</v>
      </c>
      <c r="C192" s="111">
        <f>+C193</f>
        <v>250000000</v>
      </c>
      <c r="D192" s="111">
        <f t="shared" ref="D192:Q192" si="61">+D193</f>
        <v>450196000</v>
      </c>
      <c r="E192" s="111">
        <f t="shared" si="61"/>
        <v>312351</v>
      </c>
      <c r="F192" s="111">
        <f t="shared" si="61"/>
        <v>68000000</v>
      </c>
      <c r="G192" s="111">
        <f t="shared" si="61"/>
        <v>767883649</v>
      </c>
      <c r="H192" s="111">
        <v>31378908</v>
      </c>
      <c r="I192" s="111">
        <v>654419693</v>
      </c>
      <c r="J192" s="111">
        <f t="shared" si="61"/>
        <v>113463956</v>
      </c>
      <c r="K192" s="111">
        <v>84261742.030000001</v>
      </c>
      <c r="L192" s="111">
        <v>84261742.030000001</v>
      </c>
      <c r="M192" s="111">
        <f t="shared" si="61"/>
        <v>570157950.97000003</v>
      </c>
      <c r="N192" s="111">
        <v>743155693</v>
      </c>
      <c r="O192" s="111">
        <f t="shared" si="61"/>
        <v>88736000</v>
      </c>
      <c r="P192" s="111">
        <f t="shared" si="61"/>
        <v>24727956</v>
      </c>
      <c r="Q192" s="111">
        <f t="shared" si="61"/>
        <v>84261742.030000001</v>
      </c>
      <c r="R192" s="100"/>
      <c r="S192" s="96">
        <v>2122281</v>
      </c>
      <c r="T192" s="117" t="s">
        <v>85</v>
      </c>
      <c r="U192" s="95">
        <v>250000000</v>
      </c>
      <c r="V192" s="95">
        <v>450196000</v>
      </c>
      <c r="W192" s="95">
        <v>312351</v>
      </c>
      <c r="X192" s="95">
        <v>68000000</v>
      </c>
      <c r="Y192" s="95">
        <v>767883649</v>
      </c>
      <c r="Z192" s="95">
        <v>0</v>
      </c>
      <c r="AA192" s="95">
        <v>0</v>
      </c>
      <c r="AB192" s="120">
        <v>31378908</v>
      </c>
      <c r="AC192" s="95">
        <v>31378908</v>
      </c>
      <c r="AD192" s="95">
        <v>654419693</v>
      </c>
      <c r="AE192" s="120">
        <v>654419693</v>
      </c>
      <c r="AF192" s="95">
        <v>113463956</v>
      </c>
      <c r="AG192" s="95">
        <v>0</v>
      </c>
      <c r="AH192" s="120">
        <v>84261742.030000001</v>
      </c>
      <c r="AI192" s="120">
        <v>84261742.030000001</v>
      </c>
      <c r="AJ192" s="84">
        <v>570157950.97000003</v>
      </c>
      <c r="AK192" s="84">
        <v>48433000</v>
      </c>
      <c r="AL192" s="84">
        <v>106114908</v>
      </c>
      <c r="AM192" s="84">
        <v>791588693</v>
      </c>
      <c r="AN192" s="121">
        <v>743155693</v>
      </c>
      <c r="AO192" s="84">
        <v>88736000</v>
      </c>
      <c r="AP192" s="95">
        <v>24727956</v>
      </c>
      <c r="AQ192" s="84">
        <v>0</v>
      </c>
      <c r="AS192" s="118">
        <f t="shared" si="48"/>
        <v>0</v>
      </c>
    </row>
    <row r="193" spans="1:45" s="100" customFormat="1" x14ac:dyDescent="0.25">
      <c r="A193" s="88">
        <v>21222811</v>
      </c>
      <c r="B193" s="86" t="s">
        <v>594</v>
      </c>
      <c r="C193" s="91">
        <v>250000000</v>
      </c>
      <c r="D193" s="91">
        <f>+V193</f>
        <v>450196000</v>
      </c>
      <c r="E193" s="91">
        <f>+W193</f>
        <v>312351</v>
      </c>
      <c r="F193" s="91">
        <v>68000000</v>
      </c>
      <c r="G193" s="91">
        <f t="shared" si="54"/>
        <v>767883649</v>
      </c>
      <c r="H193" s="91">
        <v>31378908</v>
      </c>
      <c r="I193" s="91">
        <v>654419693</v>
      </c>
      <c r="J193" s="91">
        <f t="shared" si="49"/>
        <v>113463956</v>
      </c>
      <c r="K193" s="91">
        <v>84261742.030000001</v>
      </c>
      <c r="L193" s="91">
        <v>84261742.030000001</v>
      </c>
      <c r="M193" s="91">
        <f t="shared" si="50"/>
        <v>570157950.97000003</v>
      </c>
      <c r="N193" s="91">
        <v>743155693</v>
      </c>
      <c r="O193" s="91">
        <f t="shared" si="51"/>
        <v>88736000</v>
      </c>
      <c r="P193" s="91">
        <f t="shared" si="52"/>
        <v>24727956</v>
      </c>
      <c r="Q193" s="91">
        <f t="shared" si="53"/>
        <v>84261742.030000001</v>
      </c>
      <c r="R193" s="84"/>
      <c r="S193" s="101">
        <v>21222811</v>
      </c>
      <c r="T193" s="116" t="s">
        <v>744</v>
      </c>
      <c r="U193" s="102">
        <v>250000000</v>
      </c>
      <c r="V193" s="102">
        <v>450196000</v>
      </c>
      <c r="W193" s="102">
        <v>312351</v>
      </c>
      <c r="X193" s="102">
        <v>68000000</v>
      </c>
      <c r="Y193" s="102">
        <v>767883649</v>
      </c>
      <c r="Z193" s="102">
        <v>0</v>
      </c>
      <c r="AA193" s="102">
        <v>0</v>
      </c>
      <c r="AB193" s="119">
        <v>31378908</v>
      </c>
      <c r="AC193" s="102">
        <v>31378908</v>
      </c>
      <c r="AD193" s="102">
        <v>654419693</v>
      </c>
      <c r="AE193" s="119">
        <v>654419693</v>
      </c>
      <c r="AF193" s="102">
        <v>113463956</v>
      </c>
      <c r="AG193" s="102">
        <v>0</v>
      </c>
      <c r="AH193" s="119">
        <v>84261742.030000001</v>
      </c>
      <c r="AI193" s="119">
        <v>84261742.030000001</v>
      </c>
      <c r="AJ193" s="100">
        <v>570157950.97000003</v>
      </c>
      <c r="AK193" s="100">
        <v>48433000</v>
      </c>
      <c r="AL193" s="100">
        <v>106114908</v>
      </c>
      <c r="AM193" s="100">
        <v>791588693</v>
      </c>
      <c r="AN193" s="122">
        <v>743155693</v>
      </c>
      <c r="AO193" s="100">
        <v>88736000</v>
      </c>
      <c r="AP193" s="102">
        <v>24727956</v>
      </c>
      <c r="AQ193" s="100">
        <v>0</v>
      </c>
      <c r="AS193" s="118">
        <f>+E193-W193</f>
        <v>0</v>
      </c>
    </row>
    <row r="194" spans="1:45" s="100" customFormat="1" x14ac:dyDescent="0.25">
      <c r="A194" s="109">
        <v>2122282</v>
      </c>
      <c r="B194" s="110" t="s">
        <v>86</v>
      </c>
      <c r="C194" s="111">
        <f>+C195+C197+C198+C199</f>
        <v>880000000</v>
      </c>
      <c r="D194" s="111">
        <v>405000000</v>
      </c>
      <c r="E194" s="111">
        <v>100000000</v>
      </c>
      <c r="F194" s="111">
        <v>607500000</v>
      </c>
      <c r="G194" s="111">
        <f t="shared" si="54"/>
        <v>1792500000</v>
      </c>
      <c r="H194" s="111">
        <v>241965833</v>
      </c>
      <c r="I194" s="111">
        <v>852113473</v>
      </c>
      <c r="J194" s="111">
        <f t="shared" si="49"/>
        <v>940386527</v>
      </c>
      <c r="K194" s="111">
        <v>70551688.379999995</v>
      </c>
      <c r="L194" s="111">
        <v>336891044.38</v>
      </c>
      <c r="M194" s="111">
        <f t="shared" si="50"/>
        <v>515222428.62</v>
      </c>
      <c r="N194" s="111">
        <v>1350082271</v>
      </c>
      <c r="O194" s="111">
        <f t="shared" si="51"/>
        <v>497968798</v>
      </c>
      <c r="P194" s="111">
        <f t="shared" si="52"/>
        <v>442417729</v>
      </c>
      <c r="Q194" s="111">
        <f t="shared" si="53"/>
        <v>336891044.38</v>
      </c>
      <c r="S194" s="101">
        <v>2122282</v>
      </c>
      <c r="T194" s="116" t="s">
        <v>86</v>
      </c>
      <c r="U194" s="102">
        <v>880000000</v>
      </c>
      <c r="V194" s="102">
        <v>405000000</v>
      </c>
      <c r="W194" s="102">
        <v>100000000</v>
      </c>
      <c r="X194" s="102">
        <v>607500000</v>
      </c>
      <c r="Y194" s="102">
        <v>1792500000</v>
      </c>
      <c r="Z194" s="102">
        <v>250000000</v>
      </c>
      <c r="AA194" s="102">
        <v>0</v>
      </c>
      <c r="AB194" s="119">
        <v>241965833</v>
      </c>
      <c r="AC194" s="102">
        <v>241965833</v>
      </c>
      <c r="AD194" s="102">
        <v>1102113473</v>
      </c>
      <c r="AE194" s="119">
        <v>852113473</v>
      </c>
      <c r="AF194" s="102">
        <v>940386527</v>
      </c>
      <c r="AG194" s="102">
        <v>250000000</v>
      </c>
      <c r="AH194" s="119">
        <v>70551688.379999995</v>
      </c>
      <c r="AI194" s="119">
        <v>336891044.38</v>
      </c>
      <c r="AJ194" s="100">
        <v>765222428.62</v>
      </c>
      <c r="AK194" s="100">
        <v>0</v>
      </c>
      <c r="AL194" s="100">
        <v>13065833</v>
      </c>
      <c r="AM194" s="100">
        <v>1350082271</v>
      </c>
      <c r="AN194" s="122">
        <v>1350082271</v>
      </c>
      <c r="AO194" s="100">
        <v>497968798</v>
      </c>
      <c r="AP194" s="102">
        <v>442417729</v>
      </c>
      <c r="AQ194" s="100">
        <v>0</v>
      </c>
      <c r="AS194" s="118">
        <f t="shared" si="48"/>
        <v>0</v>
      </c>
    </row>
    <row r="195" spans="1:45" ht="30" x14ac:dyDescent="0.25">
      <c r="A195" s="109">
        <v>21222821</v>
      </c>
      <c r="B195" s="110" t="s">
        <v>87</v>
      </c>
      <c r="C195" s="111">
        <v>100000000</v>
      </c>
      <c r="D195" s="111">
        <v>0</v>
      </c>
      <c r="E195" s="111">
        <v>100000000</v>
      </c>
      <c r="F195" s="111">
        <v>0</v>
      </c>
      <c r="G195" s="111">
        <f t="shared" si="54"/>
        <v>0</v>
      </c>
      <c r="H195" s="111">
        <v>0</v>
      </c>
      <c r="I195" s="111">
        <v>0</v>
      </c>
      <c r="J195" s="111">
        <f t="shared" si="49"/>
        <v>0</v>
      </c>
      <c r="K195" s="111">
        <v>0</v>
      </c>
      <c r="L195" s="111">
        <v>0</v>
      </c>
      <c r="M195" s="111">
        <f t="shared" si="50"/>
        <v>0</v>
      </c>
      <c r="N195" s="111">
        <v>0</v>
      </c>
      <c r="O195" s="111">
        <f t="shared" si="51"/>
        <v>0</v>
      </c>
      <c r="P195" s="111">
        <f t="shared" si="52"/>
        <v>0</v>
      </c>
      <c r="Q195" s="111">
        <f t="shared" si="53"/>
        <v>0</v>
      </c>
      <c r="R195" s="100"/>
      <c r="S195" s="96">
        <v>21222821</v>
      </c>
      <c r="T195" s="117" t="s">
        <v>87</v>
      </c>
      <c r="U195" s="95">
        <v>100000000</v>
      </c>
      <c r="V195" s="95">
        <v>0</v>
      </c>
      <c r="W195" s="95">
        <v>100000000</v>
      </c>
      <c r="X195" s="95">
        <v>0</v>
      </c>
      <c r="Y195" s="95">
        <v>0</v>
      </c>
      <c r="Z195" s="95">
        <v>0</v>
      </c>
      <c r="AA195" s="95">
        <v>0</v>
      </c>
      <c r="AB195" s="120">
        <v>0</v>
      </c>
      <c r="AC195" s="95">
        <v>0</v>
      </c>
      <c r="AD195" s="95">
        <v>0</v>
      </c>
      <c r="AE195" s="120">
        <v>0</v>
      </c>
      <c r="AF195" s="95">
        <v>0</v>
      </c>
      <c r="AG195" s="95">
        <v>0</v>
      </c>
      <c r="AH195" s="120">
        <v>0</v>
      </c>
      <c r="AI195" s="120">
        <v>0</v>
      </c>
      <c r="AJ195" s="84">
        <v>0</v>
      </c>
      <c r="AK195" s="84">
        <v>0</v>
      </c>
      <c r="AL195" s="84">
        <v>0</v>
      </c>
      <c r="AM195" s="84">
        <v>0</v>
      </c>
      <c r="AN195" s="121">
        <v>0</v>
      </c>
      <c r="AO195" s="84">
        <v>0</v>
      </c>
      <c r="AP195" s="95">
        <v>0</v>
      </c>
      <c r="AQ195" s="84">
        <v>0</v>
      </c>
      <c r="AS195" s="118">
        <f t="shared" si="48"/>
        <v>0</v>
      </c>
    </row>
    <row r="196" spans="1:45" ht="30" x14ac:dyDescent="0.25">
      <c r="A196" s="88">
        <v>212228211</v>
      </c>
      <c r="B196" s="86" t="s">
        <v>642</v>
      </c>
      <c r="C196" s="91">
        <v>100000000</v>
      </c>
      <c r="D196" s="91">
        <v>0</v>
      </c>
      <c r="E196" s="91">
        <v>100000000</v>
      </c>
      <c r="F196" s="91">
        <v>0</v>
      </c>
      <c r="G196" s="91">
        <f t="shared" si="54"/>
        <v>0</v>
      </c>
      <c r="H196" s="91">
        <v>0</v>
      </c>
      <c r="I196" s="91">
        <v>0</v>
      </c>
      <c r="J196" s="91">
        <f t="shared" si="49"/>
        <v>0</v>
      </c>
      <c r="K196" s="91">
        <v>0</v>
      </c>
      <c r="L196" s="91">
        <v>0</v>
      </c>
      <c r="M196" s="91">
        <f t="shared" si="50"/>
        <v>0</v>
      </c>
      <c r="N196" s="91">
        <v>0</v>
      </c>
      <c r="O196" s="91">
        <f t="shared" si="51"/>
        <v>0</v>
      </c>
      <c r="P196" s="91">
        <f t="shared" si="52"/>
        <v>0</v>
      </c>
      <c r="Q196" s="91">
        <f t="shared" si="53"/>
        <v>0</v>
      </c>
      <c r="S196" s="96">
        <v>212228211</v>
      </c>
      <c r="T196" s="117" t="s">
        <v>745</v>
      </c>
      <c r="U196" s="95">
        <v>100000000</v>
      </c>
      <c r="V196" s="95">
        <v>0</v>
      </c>
      <c r="W196" s="95">
        <v>100000000</v>
      </c>
      <c r="X196" s="95">
        <v>0</v>
      </c>
      <c r="Y196" s="95">
        <v>0</v>
      </c>
      <c r="Z196" s="95">
        <v>0</v>
      </c>
      <c r="AA196" s="95">
        <v>0</v>
      </c>
      <c r="AB196" s="120">
        <v>0</v>
      </c>
      <c r="AC196" s="95">
        <v>0</v>
      </c>
      <c r="AD196" s="95">
        <v>0</v>
      </c>
      <c r="AE196" s="120">
        <v>0</v>
      </c>
      <c r="AF196" s="95">
        <v>0</v>
      </c>
      <c r="AG196" s="95">
        <v>0</v>
      </c>
      <c r="AH196" s="120">
        <v>0</v>
      </c>
      <c r="AI196" s="120">
        <v>0</v>
      </c>
      <c r="AJ196" s="84">
        <v>0</v>
      </c>
      <c r="AK196" s="84">
        <v>0</v>
      </c>
      <c r="AL196" s="84">
        <v>0</v>
      </c>
      <c r="AM196" s="84">
        <v>0</v>
      </c>
      <c r="AN196" s="121">
        <v>0</v>
      </c>
      <c r="AO196" s="84">
        <v>0</v>
      </c>
      <c r="AP196" s="95">
        <v>0</v>
      </c>
      <c r="AQ196" s="84">
        <v>0</v>
      </c>
      <c r="AS196" s="118">
        <f t="shared" si="48"/>
        <v>0</v>
      </c>
    </row>
    <row r="197" spans="1:45" x14ac:dyDescent="0.25">
      <c r="A197" s="88">
        <v>21222822</v>
      </c>
      <c r="B197" s="86" t="s">
        <v>595</v>
      </c>
      <c r="C197" s="91">
        <v>480000000</v>
      </c>
      <c r="D197" s="91">
        <v>0</v>
      </c>
      <c r="E197" s="91">
        <v>0</v>
      </c>
      <c r="F197" s="91">
        <v>0</v>
      </c>
      <c r="G197" s="91">
        <f t="shared" si="54"/>
        <v>480000000</v>
      </c>
      <c r="H197" s="91">
        <v>75900000</v>
      </c>
      <c r="I197" s="91">
        <v>173193657</v>
      </c>
      <c r="J197" s="91">
        <f t="shared" si="49"/>
        <v>306806343</v>
      </c>
      <c r="K197" s="91">
        <v>17158731.379999999</v>
      </c>
      <c r="L197" s="91">
        <v>17158731.379999999</v>
      </c>
      <c r="M197" s="91">
        <f t="shared" si="50"/>
        <v>156034925.62</v>
      </c>
      <c r="N197" s="91">
        <v>185546825</v>
      </c>
      <c r="O197" s="91">
        <f t="shared" si="51"/>
        <v>12353168</v>
      </c>
      <c r="P197" s="91">
        <f t="shared" si="52"/>
        <v>294453175</v>
      </c>
      <c r="Q197" s="91">
        <f t="shared" si="53"/>
        <v>17158731.379999999</v>
      </c>
      <c r="S197" s="96">
        <v>21222822</v>
      </c>
      <c r="T197" s="117" t="s">
        <v>746</v>
      </c>
      <c r="U197" s="95">
        <v>480000000</v>
      </c>
      <c r="V197" s="95">
        <v>0</v>
      </c>
      <c r="W197" s="95">
        <v>0</v>
      </c>
      <c r="X197" s="95">
        <v>0</v>
      </c>
      <c r="Y197" s="95">
        <v>480000000</v>
      </c>
      <c r="Z197" s="95">
        <v>0</v>
      </c>
      <c r="AA197" s="95">
        <v>0</v>
      </c>
      <c r="AB197" s="120">
        <v>75900000</v>
      </c>
      <c r="AC197" s="95">
        <v>75900000</v>
      </c>
      <c r="AD197" s="95">
        <v>173193657</v>
      </c>
      <c r="AE197" s="120">
        <v>173193657</v>
      </c>
      <c r="AF197" s="95">
        <v>306806343</v>
      </c>
      <c r="AG197" s="95">
        <v>0</v>
      </c>
      <c r="AH197" s="120">
        <v>17158731.379999999</v>
      </c>
      <c r="AI197" s="120">
        <v>17158731.379999999</v>
      </c>
      <c r="AJ197" s="84">
        <v>156034925.62</v>
      </c>
      <c r="AK197" s="84">
        <v>0</v>
      </c>
      <c r="AL197" s="84">
        <v>11500000</v>
      </c>
      <c r="AM197" s="84">
        <v>185546825</v>
      </c>
      <c r="AN197" s="121">
        <v>185546825</v>
      </c>
      <c r="AO197" s="84">
        <v>12353168</v>
      </c>
      <c r="AP197" s="95">
        <v>294453175</v>
      </c>
      <c r="AQ197" s="84">
        <v>0</v>
      </c>
      <c r="AS197" s="118">
        <f t="shared" si="48"/>
        <v>0</v>
      </c>
    </row>
    <row r="198" spans="1:45" ht="30" x14ac:dyDescent="0.25">
      <c r="A198" s="88">
        <v>21222823</v>
      </c>
      <c r="B198" s="86" t="s">
        <v>596</v>
      </c>
      <c r="C198" s="91">
        <v>80000000</v>
      </c>
      <c r="D198" s="91">
        <v>0</v>
      </c>
      <c r="E198" s="91">
        <v>0</v>
      </c>
      <c r="F198" s="91">
        <v>0</v>
      </c>
      <c r="G198" s="91">
        <f t="shared" si="54"/>
        <v>80000000</v>
      </c>
      <c r="H198" s="91">
        <v>0</v>
      </c>
      <c r="I198" s="91">
        <v>755833</v>
      </c>
      <c r="J198" s="91">
        <f t="shared" si="49"/>
        <v>79244167</v>
      </c>
      <c r="K198" s="91">
        <v>0</v>
      </c>
      <c r="L198" s="91">
        <v>755833</v>
      </c>
      <c r="M198" s="91">
        <f t="shared" si="50"/>
        <v>0</v>
      </c>
      <c r="N198" s="91">
        <v>755833</v>
      </c>
      <c r="O198" s="91">
        <f t="shared" si="51"/>
        <v>0</v>
      </c>
      <c r="P198" s="91">
        <f t="shared" si="52"/>
        <v>79244167</v>
      </c>
      <c r="Q198" s="91">
        <f t="shared" si="53"/>
        <v>755833</v>
      </c>
      <c r="S198" s="96">
        <v>21222823</v>
      </c>
      <c r="T198" s="117" t="s">
        <v>747</v>
      </c>
      <c r="U198" s="95">
        <v>80000000</v>
      </c>
      <c r="V198" s="95">
        <v>0</v>
      </c>
      <c r="W198" s="95">
        <v>0</v>
      </c>
      <c r="X198" s="95">
        <v>0</v>
      </c>
      <c r="Y198" s="95">
        <v>80000000</v>
      </c>
      <c r="Z198" s="95">
        <v>0</v>
      </c>
      <c r="AA198" s="95">
        <v>0</v>
      </c>
      <c r="AB198" s="120">
        <v>0</v>
      </c>
      <c r="AC198" s="95">
        <v>0</v>
      </c>
      <c r="AD198" s="95">
        <v>755833</v>
      </c>
      <c r="AE198" s="120">
        <v>755833</v>
      </c>
      <c r="AF198" s="95">
        <v>79244167</v>
      </c>
      <c r="AG198" s="95">
        <v>0</v>
      </c>
      <c r="AH198" s="120">
        <v>0</v>
      </c>
      <c r="AI198" s="120">
        <v>755833</v>
      </c>
      <c r="AJ198" s="84">
        <v>0</v>
      </c>
      <c r="AK198" s="84">
        <v>0</v>
      </c>
      <c r="AL198" s="84">
        <v>0</v>
      </c>
      <c r="AM198" s="84">
        <v>755833</v>
      </c>
      <c r="AN198" s="121">
        <v>755833</v>
      </c>
      <c r="AO198" s="84">
        <v>0</v>
      </c>
      <c r="AP198" s="95">
        <v>79244167</v>
      </c>
      <c r="AQ198" s="84">
        <v>0</v>
      </c>
      <c r="AS198" s="118">
        <f t="shared" si="48"/>
        <v>0</v>
      </c>
    </row>
    <row r="199" spans="1:45" s="100" customFormat="1" x14ac:dyDescent="0.25">
      <c r="A199" s="88">
        <v>21222824</v>
      </c>
      <c r="B199" s="86" t="s">
        <v>597</v>
      </c>
      <c r="C199" s="91">
        <v>220000000</v>
      </c>
      <c r="D199" s="91">
        <v>405000000</v>
      </c>
      <c r="E199" s="91">
        <v>0</v>
      </c>
      <c r="F199" s="91">
        <v>607500000</v>
      </c>
      <c r="G199" s="91">
        <f t="shared" si="54"/>
        <v>1232500000</v>
      </c>
      <c r="H199" s="91">
        <v>166065833</v>
      </c>
      <c r="I199" s="91">
        <v>678163983</v>
      </c>
      <c r="J199" s="91">
        <f t="shared" si="49"/>
        <v>554336017</v>
      </c>
      <c r="K199" s="91">
        <v>53392957</v>
      </c>
      <c r="L199" s="91">
        <v>318976480</v>
      </c>
      <c r="M199" s="91">
        <f t="shared" si="50"/>
        <v>359187503</v>
      </c>
      <c r="N199" s="91">
        <v>1163779613</v>
      </c>
      <c r="O199" s="91">
        <f t="shared" si="51"/>
        <v>485615630</v>
      </c>
      <c r="P199" s="91">
        <f t="shared" si="52"/>
        <v>68720387</v>
      </c>
      <c r="Q199" s="91">
        <f t="shared" si="53"/>
        <v>318976480</v>
      </c>
      <c r="R199" s="84"/>
      <c r="S199" s="101">
        <v>21222824</v>
      </c>
      <c r="T199" s="116" t="s">
        <v>748</v>
      </c>
      <c r="U199" s="102">
        <v>220000000</v>
      </c>
      <c r="V199" s="102">
        <v>405000000</v>
      </c>
      <c r="W199" s="102">
        <v>0</v>
      </c>
      <c r="X199" s="102">
        <v>607500000</v>
      </c>
      <c r="Y199" s="102">
        <v>1232500000</v>
      </c>
      <c r="Z199" s="102">
        <v>250000000</v>
      </c>
      <c r="AA199" s="102">
        <v>0</v>
      </c>
      <c r="AB199" s="119">
        <v>166065833</v>
      </c>
      <c r="AC199" s="102">
        <v>166065833</v>
      </c>
      <c r="AD199" s="102">
        <v>928163983</v>
      </c>
      <c r="AE199" s="119">
        <v>678163983</v>
      </c>
      <c r="AF199" s="102">
        <v>554336017</v>
      </c>
      <c r="AG199" s="102">
        <v>250000000</v>
      </c>
      <c r="AH199" s="119">
        <v>53392957</v>
      </c>
      <c r="AI199" s="119">
        <v>318976480</v>
      </c>
      <c r="AJ199" s="100">
        <v>609187503</v>
      </c>
      <c r="AK199" s="100">
        <v>0</v>
      </c>
      <c r="AL199" s="100">
        <v>1565833</v>
      </c>
      <c r="AM199" s="100">
        <v>1163779613</v>
      </c>
      <c r="AN199" s="122">
        <v>1163779613</v>
      </c>
      <c r="AO199" s="100">
        <v>485615630</v>
      </c>
      <c r="AP199" s="102">
        <v>68720387</v>
      </c>
      <c r="AQ199" s="100">
        <v>0</v>
      </c>
      <c r="AS199" s="118">
        <f t="shared" ref="AS199:AS262" si="62">+E199-W199</f>
        <v>0</v>
      </c>
    </row>
    <row r="200" spans="1:45" ht="30" x14ac:dyDescent="0.25">
      <c r="A200" s="109">
        <v>2122283</v>
      </c>
      <c r="B200" s="110" t="s">
        <v>88</v>
      </c>
      <c r="C200" s="111">
        <f>+C201+C202+C203</f>
        <v>379000000</v>
      </c>
      <c r="D200" s="111">
        <v>420117991</v>
      </c>
      <c r="E200" s="111">
        <v>0</v>
      </c>
      <c r="F200" s="111">
        <v>0</v>
      </c>
      <c r="G200" s="111">
        <f t="shared" si="54"/>
        <v>799117991</v>
      </c>
      <c r="H200" s="111">
        <v>480843832</v>
      </c>
      <c r="I200" s="111">
        <v>502954357</v>
      </c>
      <c r="J200" s="111">
        <f t="shared" si="49"/>
        <v>296163634</v>
      </c>
      <c r="K200" s="111">
        <v>187700883</v>
      </c>
      <c r="L200" s="111">
        <v>208641428</v>
      </c>
      <c r="M200" s="111">
        <f t="shared" si="50"/>
        <v>294312929</v>
      </c>
      <c r="N200" s="111">
        <v>508644445</v>
      </c>
      <c r="O200" s="111">
        <f t="shared" si="51"/>
        <v>5690088</v>
      </c>
      <c r="P200" s="111">
        <f t="shared" si="52"/>
        <v>290473546</v>
      </c>
      <c r="Q200" s="111">
        <f t="shared" si="53"/>
        <v>208641428</v>
      </c>
      <c r="R200" s="100"/>
      <c r="S200" s="96">
        <v>2122283</v>
      </c>
      <c r="T200" s="117" t="s">
        <v>88</v>
      </c>
      <c r="U200" s="95">
        <v>379000000</v>
      </c>
      <c r="V200" s="95">
        <v>420117991</v>
      </c>
      <c r="W200" s="95">
        <v>0</v>
      </c>
      <c r="X200" s="95">
        <v>0</v>
      </c>
      <c r="Y200" s="95">
        <v>799117991</v>
      </c>
      <c r="Z200" s="95">
        <v>0</v>
      </c>
      <c r="AA200" s="95">
        <v>0</v>
      </c>
      <c r="AB200" s="120">
        <v>480843832</v>
      </c>
      <c r="AC200" s="95">
        <v>480843832</v>
      </c>
      <c r="AD200" s="95">
        <v>502954357</v>
      </c>
      <c r="AE200" s="120">
        <v>502954357</v>
      </c>
      <c r="AF200" s="95">
        <v>296163634</v>
      </c>
      <c r="AG200" s="95">
        <v>0</v>
      </c>
      <c r="AH200" s="120">
        <v>187700883</v>
      </c>
      <c r="AI200" s="120">
        <v>208641428</v>
      </c>
      <c r="AJ200" s="84">
        <v>294312929</v>
      </c>
      <c r="AK200" s="84">
        <v>0</v>
      </c>
      <c r="AL200" s="84">
        <v>47448397</v>
      </c>
      <c r="AM200" s="84">
        <v>508644445</v>
      </c>
      <c r="AN200" s="121">
        <v>508644445</v>
      </c>
      <c r="AO200" s="84">
        <v>5690088</v>
      </c>
      <c r="AP200" s="95">
        <v>290473546</v>
      </c>
      <c r="AQ200" s="84">
        <v>0</v>
      </c>
      <c r="AS200" s="118">
        <f t="shared" si="62"/>
        <v>0</v>
      </c>
    </row>
    <row r="201" spans="1:45" ht="30" x14ac:dyDescent="0.25">
      <c r="A201" s="88">
        <v>21222831</v>
      </c>
      <c r="B201" s="86" t="s">
        <v>596</v>
      </c>
      <c r="C201" s="91">
        <v>2000000</v>
      </c>
      <c r="D201" s="91">
        <v>0</v>
      </c>
      <c r="E201" s="91">
        <v>0</v>
      </c>
      <c r="F201" s="91">
        <v>0</v>
      </c>
      <c r="G201" s="91">
        <f t="shared" si="54"/>
        <v>2000000</v>
      </c>
      <c r="H201" s="91">
        <v>0</v>
      </c>
      <c r="I201" s="91">
        <v>500000</v>
      </c>
      <c r="J201" s="91">
        <f t="shared" si="49"/>
        <v>1500000</v>
      </c>
      <c r="K201" s="91">
        <v>0</v>
      </c>
      <c r="L201" s="91">
        <v>500000</v>
      </c>
      <c r="M201" s="91">
        <f t="shared" si="50"/>
        <v>0</v>
      </c>
      <c r="N201" s="91">
        <v>500000</v>
      </c>
      <c r="O201" s="91">
        <f t="shared" si="51"/>
        <v>0</v>
      </c>
      <c r="P201" s="91">
        <f t="shared" si="52"/>
        <v>1500000</v>
      </c>
      <c r="Q201" s="91">
        <f t="shared" si="53"/>
        <v>500000</v>
      </c>
      <c r="S201" s="96">
        <v>21222831</v>
      </c>
      <c r="T201" s="117" t="s">
        <v>747</v>
      </c>
      <c r="U201" s="95">
        <v>2000000</v>
      </c>
      <c r="V201" s="95">
        <v>0</v>
      </c>
      <c r="W201" s="95">
        <v>0</v>
      </c>
      <c r="X201" s="95">
        <v>0</v>
      </c>
      <c r="Y201" s="95">
        <v>2000000</v>
      </c>
      <c r="Z201" s="95">
        <v>0</v>
      </c>
      <c r="AA201" s="95">
        <v>0</v>
      </c>
      <c r="AB201" s="120">
        <v>0</v>
      </c>
      <c r="AC201" s="95">
        <v>0</v>
      </c>
      <c r="AD201" s="95">
        <v>500000</v>
      </c>
      <c r="AE201" s="120">
        <v>500000</v>
      </c>
      <c r="AF201" s="95">
        <v>1500000</v>
      </c>
      <c r="AG201" s="95">
        <v>0</v>
      </c>
      <c r="AH201" s="120">
        <v>0</v>
      </c>
      <c r="AI201" s="120">
        <v>500000</v>
      </c>
      <c r="AJ201" s="84">
        <v>0</v>
      </c>
      <c r="AK201" s="84">
        <v>0</v>
      </c>
      <c r="AL201" s="84">
        <v>0</v>
      </c>
      <c r="AM201" s="84">
        <v>500000</v>
      </c>
      <c r="AN201" s="121">
        <v>500000</v>
      </c>
      <c r="AO201" s="84">
        <v>0</v>
      </c>
      <c r="AP201" s="95">
        <v>1500000</v>
      </c>
      <c r="AQ201" s="84">
        <v>0</v>
      </c>
      <c r="AS201" s="118">
        <f t="shared" si="62"/>
        <v>0</v>
      </c>
    </row>
    <row r="202" spans="1:45" x14ac:dyDescent="0.25">
      <c r="A202" s="88">
        <v>21222832</v>
      </c>
      <c r="B202" s="86" t="s">
        <v>598</v>
      </c>
      <c r="C202" s="91">
        <v>337000000</v>
      </c>
      <c r="D202" s="91">
        <v>420117991</v>
      </c>
      <c r="E202" s="91">
        <v>0</v>
      </c>
      <c r="F202" s="91">
        <v>0</v>
      </c>
      <c r="G202" s="91">
        <f t="shared" si="54"/>
        <v>757117991</v>
      </c>
      <c r="H202" s="91">
        <v>480843832</v>
      </c>
      <c r="I202" s="91">
        <v>502454357</v>
      </c>
      <c r="J202" s="91">
        <f t="shared" si="49"/>
        <v>254663634</v>
      </c>
      <c r="K202" s="91">
        <v>187700883</v>
      </c>
      <c r="L202" s="91">
        <v>208141428</v>
      </c>
      <c r="M202" s="91">
        <f t="shared" si="50"/>
        <v>294312929</v>
      </c>
      <c r="N202" s="91">
        <v>508144445</v>
      </c>
      <c r="O202" s="91">
        <f t="shared" si="51"/>
        <v>5690088</v>
      </c>
      <c r="P202" s="91">
        <f t="shared" si="52"/>
        <v>248973546</v>
      </c>
      <c r="Q202" s="91">
        <f t="shared" si="53"/>
        <v>208141428</v>
      </c>
      <c r="S202" s="96">
        <v>21222832</v>
      </c>
      <c r="T202" s="117" t="s">
        <v>749</v>
      </c>
      <c r="U202" s="95">
        <v>337000000</v>
      </c>
      <c r="V202" s="95">
        <v>420117991</v>
      </c>
      <c r="W202" s="95">
        <v>0</v>
      </c>
      <c r="X202" s="95">
        <v>0</v>
      </c>
      <c r="Y202" s="95">
        <v>757117991</v>
      </c>
      <c r="Z202" s="95">
        <v>0</v>
      </c>
      <c r="AA202" s="95">
        <v>0</v>
      </c>
      <c r="AB202" s="120">
        <v>480843832</v>
      </c>
      <c r="AC202" s="95">
        <v>480843832</v>
      </c>
      <c r="AD202" s="95">
        <v>502454357</v>
      </c>
      <c r="AE202" s="120">
        <v>502454357</v>
      </c>
      <c r="AF202" s="95">
        <v>254663634</v>
      </c>
      <c r="AG202" s="95">
        <v>0</v>
      </c>
      <c r="AH202" s="120">
        <v>187700883</v>
      </c>
      <c r="AI202" s="120">
        <v>208141428</v>
      </c>
      <c r="AJ202" s="84">
        <v>294312929</v>
      </c>
      <c r="AK202" s="84">
        <v>0</v>
      </c>
      <c r="AL202" s="84">
        <v>47448397</v>
      </c>
      <c r="AM202" s="84">
        <v>508144445</v>
      </c>
      <c r="AN202" s="121">
        <v>508144445</v>
      </c>
      <c r="AO202" s="84">
        <v>5690088</v>
      </c>
      <c r="AP202" s="95">
        <v>248973546</v>
      </c>
      <c r="AQ202" s="84">
        <v>0</v>
      </c>
      <c r="AS202" s="118">
        <f t="shared" si="62"/>
        <v>0</v>
      </c>
    </row>
    <row r="203" spans="1:45" s="100" customFormat="1" x14ac:dyDescent="0.25">
      <c r="A203" s="88">
        <v>21222833</v>
      </c>
      <c r="B203" s="86" t="s">
        <v>599</v>
      </c>
      <c r="C203" s="91">
        <v>40000000</v>
      </c>
      <c r="D203" s="91">
        <v>0</v>
      </c>
      <c r="E203" s="91">
        <v>0</v>
      </c>
      <c r="F203" s="91">
        <v>0</v>
      </c>
      <c r="G203" s="91">
        <f t="shared" si="54"/>
        <v>40000000</v>
      </c>
      <c r="H203" s="91">
        <v>0</v>
      </c>
      <c r="I203" s="91">
        <v>0</v>
      </c>
      <c r="J203" s="91">
        <f t="shared" si="49"/>
        <v>40000000</v>
      </c>
      <c r="K203" s="91">
        <v>0</v>
      </c>
      <c r="L203" s="91">
        <v>0</v>
      </c>
      <c r="M203" s="91">
        <f t="shared" si="50"/>
        <v>0</v>
      </c>
      <c r="N203" s="91">
        <v>0</v>
      </c>
      <c r="O203" s="91">
        <f t="shared" si="51"/>
        <v>0</v>
      </c>
      <c r="P203" s="91">
        <f t="shared" si="52"/>
        <v>40000000</v>
      </c>
      <c r="Q203" s="91">
        <f t="shared" si="53"/>
        <v>0</v>
      </c>
      <c r="R203" s="84"/>
      <c r="S203" s="101">
        <v>21222833</v>
      </c>
      <c r="T203" s="116" t="s">
        <v>750</v>
      </c>
      <c r="U203" s="102">
        <v>40000000</v>
      </c>
      <c r="V203" s="102">
        <v>0</v>
      </c>
      <c r="W203" s="102">
        <v>0</v>
      </c>
      <c r="X203" s="102">
        <v>0</v>
      </c>
      <c r="Y203" s="102">
        <v>40000000</v>
      </c>
      <c r="Z203" s="102">
        <v>0</v>
      </c>
      <c r="AA203" s="102">
        <v>0</v>
      </c>
      <c r="AB203" s="119">
        <v>0</v>
      </c>
      <c r="AC203" s="102">
        <v>0</v>
      </c>
      <c r="AD203" s="102">
        <v>0</v>
      </c>
      <c r="AE203" s="119">
        <v>0</v>
      </c>
      <c r="AF203" s="102">
        <v>40000000</v>
      </c>
      <c r="AG203" s="102">
        <v>0</v>
      </c>
      <c r="AH203" s="119">
        <v>0</v>
      </c>
      <c r="AI203" s="119">
        <v>0</v>
      </c>
      <c r="AJ203" s="100">
        <v>0</v>
      </c>
      <c r="AK203" s="100">
        <v>0</v>
      </c>
      <c r="AL203" s="100">
        <v>0</v>
      </c>
      <c r="AM203" s="100">
        <v>0</v>
      </c>
      <c r="AN203" s="122">
        <v>0</v>
      </c>
      <c r="AO203" s="100">
        <v>0</v>
      </c>
      <c r="AP203" s="102">
        <v>40000000</v>
      </c>
      <c r="AQ203" s="100">
        <v>0</v>
      </c>
      <c r="AS203" s="118">
        <f t="shared" si="62"/>
        <v>0</v>
      </c>
    </row>
    <row r="204" spans="1:45" x14ac:dyDescent="0.25">
      <c r="A204" s="109">
        <v>2122284</v>
      </c>
      <c r="B204" s="110" t="s">
        <v>89</v>
      </c>
      <c r="C204" s="111">
        <f>+C205</f>
        <v>651800000</v>
      </c>
      <c r="D204" s="111">
        <v>0</v>
      </c>
      <c r="E204" s="111">
        <v>0</v>
      </c>
      <c r="F204" s="111">
        <v>0</v>
      </c>
      <c r="G204" s="111">
        <f t="shared" si="54"/>
        <v>651800000</v>
      </c>
      <c r="H204" s="111">
        <v>0</v>
      </c>
      <c r="I204" s="111">
        <v>567830848.35000002</v>
      </c>
      <c r="J204" s="111">
        <f t="shared" si="49"/>
        <v>83969151.649999976</v>
      </c>
      <c r="K204" s="111">
        <v>0</v>
      </c>
      <c r="L204" s="111">
        <v>500000</v>
      </c>
      <c r="M204" s="111">
        <f t="shared" si="50"/>
        <v>567330848.35000002</v>
      </c>
      <c r="N204" s="111">
        <v>568552548</v>
      </c>
      <c r="O204" s="111">
        <f t="shared" si="51"/>
        <v>721699.64999997616</v>
      </c>
      <c r="P204" s="111">
        <f t="shared" si="52"/>
        <v>83247452</v>
      </c>
      <c r="Q204" s="111">
        <f t="shared" si="53"/>
        <v>500000</v>
      </c>
      <c r="R204" s="100"/>
      <c r="S204" s="96">
        <v>2122284</v>
      </c>
      <c r="T204" s="117" t="s">
        <v>89</v>
      </c>
      <c r="U204" s="95">
        <v>651800000</v>
      </c>
      <c r="V204" s="95">
        <v>0</v>
      </c>
      <c r="W204" s="95">
        <v>0</v>
      </c>
      <c r="X204" s="95">
        <v>0</v>
      </c>
      <c r="Y204" s="95">
        <v>651800000</v>
      </c>
      <c r="Z204" s="95">
        <v>0</v>
      </c>
      <c r="AA204" s="95">
        <v>0</v>
      </c>
      <c r="AB204" s="120">
        <v>0</v>
      </c>
      <c r="AC204" s="95">
        <v>0</v>
      </c>
      <c r="AD204" s="95">
        <v>567830848.35000002</v>
      </c>
      <c r="AE204" s="120">
        <v>567830848.35000002</v>
      </c>
      <c r="AF204" s="95">
        <v>83969151.649999976</v>
      </c>
      <c r="AG204" s="95">
        <v>0</v>
      </c>
      <c r="AH204" s="120">
        <v>0</v>
      </c>
      <c r="AI204" s="120">
        <v>500000</v>
      </c>
      <c r="AJ204" s="84">
        <v>567330848.35000002</v>
      </c>
      <c r="AK204" s="84">
        <v>0</v>
      </c>
      <c r="AL204" s="84">
        <v>0</v>
      </c>
      <c r="AM204" s="84">
        <v>568552548</v>
      </c>
      <c r="AN204" s="121">
        <v>568552548</v>
      </c>
      <c r="AO204" s="84">
        <v>721699.64999997616</v>
      </c>
      <c r="AP204" s="95">
        <v>83247452</v>
      </c>
      <c r="AQ204" s="84">
        <v>0</v>
      </c>
      <c r="AS204" s="118">
        <f t="shared" si="62"/>
        <v>0</v>
      </c>
    </row>
    <row r="205" spans="1:45" s="100" customFormat="1" x14ac:dyDescent="0.25">
      <c r="A205" s="88">
        <v>21222841</v>
      </c>
      <c r="B205" s="86" t="s">
        <v>600</v>
      </c>
      <c r="C205" s="91">
        <v>651800000</v>
      </c>
      <c r="D205" s="91">
        <v>0</v>
      </c>
      <c r="E205" s="91">
        <v>0</v>
      </c>
      <c r="F205" s="91">
        <v>0</v>
      </c>
      <c r="G205" s="91">
        <f t="shared" si="54"/>
        <v>651800000</v>
      </c>
      <c r="H205" s="91">
        <v>0</v>
      </c>
      <c r="I205" s="91">
        <v>567830848.35000002</v>
      </c>
      <c r="J205" s="91">
        <f t="shared" si="49"/>
        <v>83969151.649999976</v>
      </c>
      <c r="K205" s="91">
        <v>0</v>
      </c>
      <c r="L205" s="91">
        <v>500000</v>
      </c>
      <c r="M205" s="91">
        <f t="shared" si="50"/>
        <v>567330848.35000002</v>
      </c>
      <c r="N205" s="91">
        <v>568552548</v>
      </c>
      <c r="O205" s="91">
        <f t="shared" si="51"/>
        <v>721699.64999997616</v>
      </c>
      <c r="P205" s="91">
        <f t="shared" si="52"/>
        <v>83247452</v>
      </c>
      <c r="Q205" s="91">
        <f t="shared" si="53"/>
        <v>500000</v>
      </c>
      <c r="R205" s="84"/>
      <c r="S205" s="101">
        <v>21222841</v>
      </c>
      <c r="T205" s="116" t="s">
        <v>751</v>
      </c>
      <c r="U205" s="102">
        <v>651800000</v>
      </c>
      <c r="V205" s="102">
        <v>0</v>
      </c>
      <c r="W205" s="102">
        <v>0</v>
      </c>
      <c r="X205" s="102">
        <v>0</v>
      </c>
      <c r="Y205" s="102">
        <v>651800000</v>
      </c>
      <c r="Z205" s="102">
        <v>0</v>
      </c>
      <c r="AA205" s="102">
        <v>0</v>
      </c>
      <c r="AB205" s="119">
        <v>0</v>
      </c>
      <c r="AC205" s="102">
        <v>0</v>
      </c>
      <c r="AD205" s="102">
        <v>567830848.35000002</v>
      </c>
      <c r="AE205" s="119">
        <v>567830848.35000002</v>
      </c>
      <c r="AF205" s="102">
        <v>83969151.649999976</v>
      </c>
      <c r="AG205" s="102">
        <v>0</v>
      </c>
      <c r="AH205" s="119">
        <v>0</v>
      </c>
      <c r="AI205" s="119">
        <v>500000</v>
      </c>
      <c r="AJ205" s="100">
        <v>567330848.35000002</v>
      </c>
      <c r="AK205" s="100">
        <v>0</v>
      </c>
      <c r="AL205" s="100">
        <v>0</v>
      </c>
      <c r="AM205" s="100">
        <v>568552548</v>
      </c>
      <c r="AN205" s="122">
        <v>568552548</v>
      </c>
      <c r="AO205" s="100">
        <v>721699.64999997616</v>
      </c>
      <c r="AP205" s="102">
        <v>83247452</v>
      </c>
      <c r="AQ205" s="100">
        <v>0</v>
      </c>
      <c r="AS205" s="118">
        <f t="shared" si="62"/>
        <v>0</v>
      </c>
    </row>
    <row r="206" spans="1:45" s="100" customFormat="1" ht="30" x14ac:dyDescent="0.25">
      <c r="A206" s="109">
        <v>2122285</v>
      </c>
      <c r="B206" s="110" t="s">
        <v>90</v>
      </c>
      <c r="C206" s="111">
        <f>+C207+C210+C212</f>
        <v>119000000</v>
      </c>
      <c r="D206" s="111">
        <v>79200000</v>
      </c>
      <c r="E206" s="111">
        <v>119000000</v>
      </c>
      <c r="F206" s="111">
        <v>0</v>
      </c>
      <c r="G206" s="111">
        <f t="shared" si="54"/>
        <v>79200000</v>
      </c>
      <c r="H206" s="111">
        <v>0</v>
      </c>
      <c r="I206" s="111">
        <v>0</v>
      </c>
      <c r="J206" s="111">
        <f t="shared" si="49"/>
        <v>79200000</v>
      </c>
      <c r="K206" s="111">
        <v>0</v>
      </c>
      <c r="L206" s="111">
        <v>0</v>
      </c>
      <c r="M206" s="111">
        <f t="shared" si="50"/>
        <v>0</v>
      </c>
      <c r="N206" s="111">
        <v>79200000</v>
      </c>
      <c r="O206" s="111">
        <f t="shared" si="51"/>
        <v>79200000</v>
      </c>
      <c r="P206" s="111">
        <f t="shared" si="52"/>
        <v>0</v>
      </c>
      <c r="Q206" s="111">
        <f t="shared" si="53"/>
        <v>0</v>
      </c>
      <c r="S206" s="101">
        <v>2122285</v>
      </c>
      <c r="T206" s="116" t="s">
        <v>90</v>
      </c>
      <c r="U206" s="102">
        <v>119000000</v>
      </c>
      <c r="V206" s="102">
        <v>79200000</v>
      </c>
      <c r="W206" s="102">
        <v>119000000</v>
      </c>
      <c r="X206" s="102">
        <v>0</v>
      </c>
      <c r="Y206" s="102">
        <v>79200000</v>
      </c>
      <c r="Z206" s="102">
        <v>0</v>
      </c>
      <c r="AA206" s="102">
        <v>0</v>
      </c>
      <c r="AB206" s="119">
        <v>0</v>
      </c>
      <c r="AC206" s="102">
        <v>0</v>
      </c>
      <c r="AD206" s="102">
        <v>0</v>
      </c>
      <c r="AE206" s="119">
        <v>0</v>
      </c>
      <c r="AF206" s="102">
        <v>79200000</v>
      </c>
      <c r="AG206" s="102">
        <v>0</v>
      </c>
      <c r="AH206" s="119">
        <v>0</v>
      </c>
      <c r="AI206" s="119">
        <v>0</v>
      </c>
      <c r="AJ206" s="100">
        <v>0</v>
      </c>
      <c r="AK206" s="100">
        <v>0</v>
      </c>
      <c r="AL206" s="100">
        <v>79200000</v>
      </c>
      <c r="AM206" s="100">
        <v>79200000</v>
      </c>
      <c r="AN206" s="122">
        <v>79200000</v>
      </c>
      <c r="AO206" s="100">
        <v>79200000</v>
      </c>
      <c r="AP206" s="102">
        <v>0</v>
      </c>
      <c r="AQ206" s="100">
        <v>0</v>
      </c>
      <c r="AS206" s="118">
        <f t="shared" si="62"/>
        <v>0</v>
      </c>
    </row>
    <row r="207" spans="1:45" s="100" customFormat="1" x14ac:dyDescent="0.25">
      <c r="A207" s="109">
        <v>212228502</v>
      </c>
      <c r="B207" s="110" t="s">
        <v>819</v>
      </c>
      <c r="C207" s="111">
        <f>+C208+C209</f>
        <v>0</v>
      </c>
      <c r="D207" s="111">
        <v>10000000</v>
      </c>
      <c r="E207" s="111">
        <v>0</v>
      </c>
      <c r="F207" s="111">
        <v>0</v>
      </c>
      <c r="G207" s="111">
        <f t="shared" si="54"/>
        <v>10000000</v>
      </c>
      <c r="H207" s="111">
        <v>0</v>
      </c>
      <c r="I207" s="111">
        <v>0</v>
      </c>
      <c r="J207" s="111"/>
      <c r="K207" s="111">
        <v>0</v>
      </c>
      <c r="L207" s="111">
        <v>0</v>
      </c>
      <c r="M207" s="111"/>
      <c r="N207" s="111">
        <v>10000000</v>
      </c>
      <c r="O207" s="111"/>
      <c r="P207" s="111"/>
      <c r="Q207" s="111"/>
      <c r="S207" s="101">
        <v>212228502</v>
      </c>
      <c r="T207" s="116" t="s">
        <v>819</v>
      </c>
      <c r="U207" s="102">
        <v>0</v>
      </c>
      <c r="V207" s="102">
        <v>10000000</v>
      </c>
      <c r="W207" s="102">
        <v>0</v>
      </c>
      <c r="X207" s="102">
        <v>0</v>
      </c>
      <c r="Y207" s="102">
        <v>10000000</v>
      </c>
      <c r="Z207" s="102">
        <v>0</v>
      </c>
      <c r="AA207" s="102">
        <v>0</v>
      </c>
      <c r="AB207" s="119">
        <v>0</v>
      </c>
      <c r="AC207" s="102">
        <v>0</v>
      </c>
      <c r="AD207" s="102">
        <v>0</v>
      </c>
      <c r="AE207" s="119">
        <v>0</v>
      </c>
      <c r="AF207" s="102">
        <v>10000000</v>
      </c>
      <c r="AG207" s="102">
        <v>0</v>
      </c>
      <c r="AH207" s="119">
        <v>0</v>
      </c>
      <c r="AI207" s="119">
        <v>0</v>
      </c>
      <c r="AJ207" s="100">
        <v>0</v>
      </c>
      <c r="AK207" s="100">
        <v>0</v>
      </c>
      <c r="AL207" s="100">
        <v>10000000</v>
      </c>
      <c r="AM207" s="100">
        <v>10000000</v>
      </c>
      <c r="AN207" s="122">
        <v>10000000</v>
      </c>
      <c r="AO207" s="100">
        <v>10000000</v>
      </c>
      <c r="AP207" s="102">
        <v>0</v>
      </c>
      <c r="AQ207" s="100">
        <v>0</v>
      </c>
      <c r="AS207" s="118">
        <f t="shared" si="62"/>
        <v>0</v>
      </c>
    </row>
    <row r="208" spans="1:45" s="100" customFormat="1" x14ac:dyDescent="0.25">
      <c r="A208" s="109">
        <v>21222850201</v>
      </c>
      <c r="B208" s="110" t="s">
        <v>820</v>
      </c>
      <c r="C208" s="111"/>
      <c r="D208" s="111">
        <v>5000000</v>
      </c>
      <c r="E208" s="111">
        <v>0</v>
      </c>
      <c r="F208" s="111">
        <v>0</v>
      </c>
      <c r="G208" s="111">
        <f t="shared" si="54"/>
        <v>5000000</v>
      </c>
      <c r="H208" s="111">
        <v>0</v>
      </c>
      <c r="I208" s="111">
        <v>0</v>
      </c>
      <c r="J208" s="111"/>
      <c r="K208" s="111">
        <v>0</v>
      </c>
      <c r="L208" s="111">
        <v>0</v>
      </c>
      <c r="M208" s="111"/>
      <c r="N208" s="111">
        <v>5000000</v>
      </c>
      <c r="O208" s="111"/>
      <c r="P208" s="111"/>
      <c r="Q208" s="111"/>
      <c r="S208" s="101">
        <v>21222850201</v>
      </c>
      <c r="T208" s="116" t="s">
        <v>820</v>
      </c>
      <c r="U208" s="102">
        <v>0</v>
      </c>
      <c r="V208" s="102">
        <v>5000000</v>
      </c>
      <c r="W208" s="102">
        <v>0</v>
      </c>
      <c r="X208" s="102">
        <v>0</v>
      </c>
      <c r="Y208" s="102">
        <v>5000000</v>
      </c>
      <c r="Z208" s="102">
        <v>0</v>
      </c>
      <c r="AA208" s="102">
        <v>0</v>
      </c>
      <c r="AB208" s="119">
        <v>0</v>
      </c>
      <c r="AC208" s="102">
        <v>0</v>
      </c>
      <c r="AD208" s="102">
        <v>0</v>
      </c>
      <c r="AE208" s="119">
        <v>0</v>
      </c>
      <c r="AF208" s="102">
        <v>5000000</v>
      </c>
      <c r="AG208" s="102">
        <v>0</v>
      </c>
      <c r="AH208" s="119">
        <v>0</v>
      </c>
      <c r="AI208" s="119">
        <v>0</v>
      </c>
      <c r="AJ208" s="100">
        <v>0</v>
      </c>
      <c r="AK208" s="100">
        <v>0</v>
      </c>
      <c r="AL208" s="100">
        <v>5000000</v>
      </c>
      <c r="AM208" s="100">
        <v>5000000</v>
      </c>
      <c r="AN208" s="122">
        <v>5000000</v>
      </c>
      <c r="AO208" s="100">
        <v>5000000</v>
      </c>
      <c r="AP208" s="102">
        <v>0</v>
      </c>
      <c r="AQ208" s="100">
        <v>0</v>
      </c>
      <c r="AS208" s="118">
        <f t="shared" si="62"/>
        <v>0</v>
      </c>
    </row>
    <row r="209" spans="1:45" s="100" customFormat="1" x14ac:dyDescent="0.25">
      <c r="A209" s="109">
        <v>21222850202</v>
      </c>
      <c r="B209" s="110" t="s">
        <v>821</v>
      </c>
      <c r="C209" s="111"/>
      <c r="D209" s="111">
        <v>5000000</v>
      </c>
      <c r="E209" s="111">
        <v>0</v>
      </c>
      <c r="F209" s="111">
        <v>0</v>
      </c>
      <c r="G209" s="111">
        <f t="shared" ref="G209:G273" si="63">+C209+D209-E209+F209</f>
        <v>5000000</v>
      </c>
      <c r="H209" s="111">
        <v>0</v>
      </c>
      <c r="I209" s="111">
        <v>0</v>
      </c>
      <c r="J209" s="111"/>
      <c r="K209" s="111">
        <v>0</v>
      </c>
      <c r="L209" s="111">
        <v>0</v>
      </c>
      <c r="M209" s="111"/>
      <c r="N209" s="111">
        <v>5000000</v>
      </c>
      <c r="O209" s="111"/>
      <c r="P209" s="111"/>
      <c r="Q209" s="111"/>
      <c r="S209" s="101">
        <v>21222850202</v>
      </c>
      <c r="T209" s="116" t="s">
        <v>821</v>
      </c>
      <c r="U209" s="102">
        <v>0</v>
      </c>
      <c r="V209" s="102">
        <v>5000000</v>
      </c>
      <c r="W209" s="102">
        <v>0</v>
      </c>
      <c r="X209" s="102">
        <v>0</v>
      </c>
      <c r="Y209" s="102">
        <v>5000000</v>
      </c>
      <c r="Z209" s="102">
        <v>0</v>
      </c>
      <c r="AA209" s="102">
        <v>0</v>
      </c>
      <c r="AB209" s="119">
        <v>0</v>
      </c>
      <c r="AC209" s="102">
        <v>0</v>
      </c>
      <c r="AD209" s="102">
        <v>0</v>
      </c>
      <c r="AE209" s="119">
        <v>0</v>
      </c>
      <c r="AF209" s="102">
        <v>5000000</v>
      </c>
      <c r="AG209" s="102">
        <v>0</v>
      </c>
      <c r="AH209" s="119">
        <v>0</v>
      </c>
      <c r="AI209" s="119">
        <v>0</v>
      </c>
      <c r="AJ209" s="100">
        <v>0</v>
      </c>
      <c r="AK209" s="100">
        <v>0</v>
      </c>
      <c r="AL209" s="100">
        <v>5000000</v>
      </c>
      <c r="AM209" s="100">
        <v>5000000</v>
      </c>
      <c r="AN209" s="122">
        <v>5000000</v>
      </c>
      <c r="AO209" s="100">
        <v>5000000</v>
      </c>
      <c r="AP209" s="102">
        <v>0</v>
      </c>
      <c r="AQ209" s="100">
        <v>0</v>
      </c>
      <c r="AS209" s="118">
        <f t="shared" si="62"/>
        <v>0</v>
      </c>
    </row>
    <row r="210" spans="1:45" s="100" customFormat="1" x14ac:dyDescent="0.25">
      <c r="A210" s="109">
        <v>212228503</v>
      </c>
      <c r="B210" s="110" t="s">
        <v>822</v>
      </c>
      <c r="C210" s="111">
        <f>+C211</f>
        <v>0</v>
      </c>
      <c r="D210" s="111">
        <v>69200000</v>
      </c>
      <c r="E210" s="111">
        <v>0</v>
      </c>
      <c r="F210" s="111">
        <v>0</v>
      </c>
      <c r="G210" s="111">
        <f t="shared" si="63"/>
        <v>69200000</v>
      </c>
      <c r="H210" s="111">
        <v>0</v>
      </c>
      <c r="I210" s="111">
        <v>0</v>
      </c>
      <c r="J210" s="111"/>
      <c r="K210" s="111">
        <v>0</v>
      </c>
      <c r="L210" s="111">
        <v>0</v>
      </c>
      <c r="M210" s="111"/>
      <c r="N210" s="111">
        <v>69200000</v>
      </c>
      <c r="O210" s="111"/>
      <c r="P210" s="111"/>
      <c r="Q210" s="111"/>
      <c r="S210" s="101">
        <v>212228503</v>
      </c>
      <c r="T210" s="116" t="s">
        <v>822</v>
      </c>
      <c r="U210" s="102">
        <v>0</v>
      </c>
      <c r="V210" s="102">
        <v>69200000</v>
      </c>
      <c r="W210" s="102">
        <v>0</v>
      </c>
      <c r="X210" s="102">
        <v>0</v>
      </c>
      <c r="Y210" s="102">
        <v>69200000</v>
      </c>
      <c r="Z210" s="102">
        <v>0</v>
      </c>
      <c r="AA210" s="102">
        <v>0</v>
      </c>
      <c r="AB210" s="119">
        <v>0</v>
      </c>
      <c r="AC210" s="102">
        <v>0</v>
      </c>
      <c r="AD210" s="102">
        <v>0</v>
      </c>
      <c r="AE210" s="119">
        <v>0</v>
      </c>
      <c r="AF210" s="102">
        <v>69200000</v>
      </c>
      <c r="AG210" s="102">
        <v>0</v>
      </c>
      <c r="AH210" s="119">
        <v>0</v>
      </c>
      <c r="AI210" s="119">
        <v>0</v>
      </c>
      <c r="AJ210" s="100">
        <v>0</v>
      </c>
      <c r="AK210" s="100">
        <v>0</v>
      </c>
      <c r="AL210" s="100">
        <v>69200000</v>
      </c>
      <c r="AM210" s="100">
        <v>69200000</v>
      </c>
      <c r="AN210" s="122">
        <v>69200000</v>
      </c>
      <c r="AO210" s="100">
        <v>69200000</v>
      </c>
      <c r="AP210" s="102">
        <v>0</v>
      </c>
      <c r="AQ210" s="100">
        <v>0</v>
      </c>
      <c r="AS210" s="118">
        <f t="shared" si="62"/>
        <v>0</v>
      </c>
    </row>
    <row r="211" spans="1:45" x14ac:dyDescent="0.25">
      <c r="A211" s="109">
        <v>21222850301</v>
      </c>
      <c r="B211" s="110" t="s">
        <v>823</v>
      </c>
      <c r="C211" s="111"/>
      <c r="D211" s="111">
        <v>69200000</v>
      </c>
      <c r="E211" s="111">
        <v>0</v>
      </c>
      <c r="F211" s="111">
        <v>0</v>
      </c>
      <c r="G211" s="111">
        <f t="shared" si="63"/>
        <v>69200000</v>
      </c>
      <c r="H211" s="111">
        <v>0</v>
      </c>
      <c r="I211" s="111">
        <v>0</v>
      </c>
      <c r="J211" s="111"/>
      <c r="K211" s="111">
        <v>0</v>
      </c>
      <c r="L211" s="111">
        <v>0</v>
      </c>
      <c r="M211" s="111"/>
      <c r="N211" s="111">
        <v>69200000</v>
      </c>
      <c r="O211" s="111"/>
      <c r="P211" s="111"/>
      <c r="Q211" s="111"/>
      <c r="R211" s="100"/>
      <c r="S211" s="96">
        <v>21222850301</v>
      </c>
      <c r="T211" s="117" t="s">
        <v>823</v>
      </c>
      <c r="U211" s="95">
        <v>0</v>
      </c>
      <c r="V211" s="95">
        <v>69200000</v>
      </c>
      <c r="W211" s="95">
        <v>0</v>
      </c>
      <c r="X211" s="95">
        <v>0</v>
      </c>
      <c r="Y211" s="95">
        <v>69200000</v>
      </c>
      <c r="Z211" s="95">
        <v>0</v>
      </c>
      <c r="AA211" s="95">
        <v>0</v>
      </c>
      <c r="AB211" s="120">
        <v>0</v>
      </c>
      <c r="AC211" s="95">
        <v>0</v>
      </c>
      <c r="AD211" s="95">
        <v>0</v>
      </c>
      <c r="AE211" s="120">
        <v>0</v>
      </c>
      <c r="AF211" s="95">
        <v>69200000</v>
      </c>
      <c r="AG211" s="95">
        <v>0</v>
      </c>
      <c r="AH211" s="120">
        <v>0</v>
      </c>
      <c r="AI211" s="120">
        <v>0</v>
      </c>
      <c r="AJ211" s="84">
        <v>0</v>
      </c>
      <c r="AK211" s="84">
        <v>0</v>
      </c>
      <c r="AL211" s="84">
        <v>69200000</v>
      </c>
      <c r="AM211" s="84">
        <v>69200000</v>
      </c>
      <c r="AN211" s="121">
        <v>69200000</v>
      </c>
      <c r="AO211" s="84">
        <v>69200000</v>
      </c>
      <c r="AP211" s="95">
        <v>0</v>
      </c>
      <c r="AQ211" s="84">
        <v>0</v>
      </c>
      <c r="AS211" s="118">
        <f t="shared" si="62"/>
        <v>0</v>
      </c>
    </row>
    <row r="212" spans="1:45" s="100" customFormat="1" x14ac:dyDescent="0.25">
      <c r="A212" s="88">
        <v>21222851</v>
      </c>
      <c r="B212" s="86" t="s">
        <v>601</v>
      </c>
      <c r="C212" s="91">
        <v>119000000</v>
      </c>
      <c r="D212" s="91">
        <v>0</v>
      </c>
      <c r="E212" s="91">
        <v>119000000</v>
      </c>
      <c r="F212" s="91">
        <v>0</v>
      </c>
      <c r="G212" s="91">
        <f t="shared" si="63"/>
        <v>0</v>
      </c>
      <c r="H212" s="91">
        <v>0</v>
      </c>
      <c r="I212" s="91">
        <v>0</v>
      </c>
      <c r="J212" s="91">
        <f t="shared" si="49"/>
        <v>0</v>
      </c>
      <c r="K212" s="91">
        <v>0</v>
      </c>
      <c r="L212" s="91">
        <v>0</v>
      </c>
      <c r="M212" s="91">
        <f t="shared" si="50"/>
        <v>0</v>
      </c>
      <c r="N212" s="91">
        <v>0</v>
      </c>
      <c r="O212" s="91">
        <f t="shared" si="51"/>
        <v>0</v>
      </c>
      <c r="P212" s="91">
        <f t="shared" si="52"/>
        <v>0</v>
      </c>
      <c r="Q212" s="91">
        <f t="shared" si="53"/>
        <v>0</v>
      </c>
      <c r="R212" s="84"/>
      <c r="S212" s="101">
        <v>21222851</v>
      </c>
      <c r="T212" s="116" t="s">
        <v>752</v>
      </c>
      <c r="U212" s="102">
        <v>119000000</v>
      </c>
      <c r="V212" s="102">
        <v>0</v>
      </c>
      <c r="W212" s="102">
        <v>119000000</v>
      </c>
      <c r="X212" s="102">
        <v>0</v>
      </c>
      <c r="Y212" s="102">
        <v>0</v>
      </c>
      <c r="Z212" s="102">
        <v>0</v>
      </c>
      <c r="AA212" s="102">
        <v>0</v>
      </c>
      <c r="AB212" s="119">
        <v>0</v>
      </c>
      <c r="AC212" s="102">
        <v>0</v>
      </c>
      <c r="AD212" s="102">
        <v>0</v>
      </c>
      <c r="AE212" s="119">
        <v>0</v>
      </c>
      <c r="AF212" s="102">
        <v>0</v>
      </c>
      <c r="AG212" s="102">
        <v>0</v>
      </c>
      <c r="AH212" s="119">
        <v>0</v>
      </c>
      <c r="AI212" s="119">
        <v>0</v>
      </c>
      <c r="AJ212" s="100">
        <v>0</v>
      </c>
      <c r="AK212" s="100">
        <v>0</v>
      </c>
      <c r="AL212" s="100">
        <v>0</v>
      </c>
      <c r="AM212" s="100">
        <v>0</v>
      </c>
      <c r="AN212" s="122">
        <v>0</v>
      </c>
      <c r="AO212" s="100">
        <v>0</v>
      </c>
      <c r="AP212" s="102">
        <v>0</v>
      </c>
      <c r="AQ212" s="100">
        <v>0</v>
      </c>
      <c r="AS212" s="118">
        <f t="shared" si="62"/>
        <v>0</v>
      </c>
    </row>
    <row r="213" spans="1:45" s="100" customFormat="1" ht="30" x14ac:dyDescent="0.25">
      <c r="A213" s="106">
        <v>2122286</v>
      </c>
      <c r="B213" s="107" t="s">
        <v>91</v>
      </c>
      <c r="C213" s="108">
        <f>+C214+C216+C217</f>
        <v>49500000</v>
      </c>
      <c r="D213" s="108">
        <f>+D214+D216+D217</f>
        <v>35000000</v>
      </c>
      <c r="E213" s="108">
        <f t="shared" ref="E213:Q213" si="64">+E214+E216+E217</f>
        <v>0</v>
      </c>
      <c r="F213" s="108">
        <f t="shared" si="64"/>
        <v>0</v>
      </c>
      <c r="G213" s="108">
        <f t="shared" si="64"/>
        <v>84500000</v>
      </c>
      <c r="H213" s="108">
        <v>0</v>
      </c>
      <c r="I213" s="108">
        <v>1200000</v>
      </c>
      <c r="J213" s="108">
        <f t="shared" si="64"/>
        <v>76147996</v>
      </c>
      <c r="K213" s="108">
        <v>500000</v>
      </c>
      <c r="L213" s="108">
        <v>1200000</v>
      </c>
      <c r="M213" s="108">
        <f t="shared" si="64"/>
        <v>4340004</v>
      </c>
      <c r="N213" s="108">
        <v>1200000</v>
      </c>
      <c r="O213" s="108">
        <f t="shared" si="64"/>
        <v>7659996</v>
      </c>
      <c r="P213" s="108">
        <f t="shared" si="64"/>
        <v>68488000</v>
      </c>
      <c r="Q213" s="108">
        <f t="shared" si="64"/>
        <v>4012000</v>
      </c>
      <c r="S213" s="101">
        <v>2122286</v>
      </c>
      <c r="T213" s="116" t="s">
        <v>91</v>
      </c>
      <c r="U213" s="102">
        <v>31500000</v>
      </c>
      <c r="V213" s="102">
        <v>0</v>
      </c>
      <c r="W213" s="102">
        <v>0</v>
      </c>
      <c r="X213" s="102">
        <v>0</v>
      </c>
      <c r="Y213" s="102">
        <v>31500000</v>
      </c>
      <c r="Z213" s="102">
        <v>0</v>
      </c>
      <c r="AA213" s="102">
        <v>0</v>
      </c>
      <c r="AB213" s="119">
        <v>0</v>
      </c>
      <c r="AC213" s="102">
        <v>0</v>
      </c>
      <c r="AD213" s="102">
        <v>1200000</v>
      </c>
      <c r="AE213" s="119">
        <v>1200000</v>
      </c>
      <c r="AF213" s="102">
        <v>30300000</v>
      </c>
      <c r="AG213" s="102">
        <v>0</v>
      </c>
      <c r="AH213" s="119">
        <v>500000</v>
      </c>
      <c r="AI213" s="119">
        <v>1200000</v>
      </c>
      <c r="AJ213" s="100">
        <v>0</v>
      </c>
      <c r="AK213" s="100">
        <v>0</v>
      </c>
      <c r="AL213" s="100">
        <v>0</v>
      </c>
      <c r="AM213" s="100">
        <v>1200000</v>
      </c>
      <c r="AN213" s="122">
        <v>1200000</v>
      </c>
      <c r="AO213" s="100">
        <v>0</v>
      </c>
      <c r="AP213" s="102">
        <v>30300000</v>
      </c>
      <c r="AQ213" s="100">
        <v>0</v>
      </c>
      <c r="AS213" s="118">
        <f t="shared" si="62"/>
        <v>0</v>
      </c>
    </row>
    <row r="214" spans="1:45" ht="30" x14ac:dyDescent="0.25">
      <c r="A214" s="109">
        <v>21222861</v>
      </c>
      <c r="B214" s="110" t="s">
        <v>92</v>
      </c>
      <c r="C214" s="111">
        <f>+C215</f>
        <v>30000000</v>
      </c>
      <c r="D214" s="111">
        <v>0</v>
      </c>
      <c r="E214" s="111">
        <v>0</v>
      </c>
      <c r="F214" s="111">
        <v>0</v>
      </c>
      <c r="G214" s="111">
        <f t="shared" si="63"/>
        <v>30000000</v>
      </c>
      <c r="H214" s="111">
        <v>0</v>
      </c>
      <c r="I214" s="111">
        <v>500000</v>
      </c>
      <c r="J214" s="111">
        <f t="shared" ref="J214:J283" si="65">+G214-I214</f>
        <v>29500000</v>
      </c>
      <c r="K214" s="111">
        <v>500000</v>
      </c>
      <c r="L214" s="111">
        <v>500000</v>
      </c>
      <c r="M214" s="111">
        <f t="shared" ref="M214:M283" si="66">+I214-L214</f>
        <v>0</v>
      </c>
      <c r="N214" s="111">
        <v>500000</v>
      </c>
      <c r="O214" s="111">
        <f t="shared" ref="O214:O283" si="67">+N214-I214</f>
        <v>0</v>
      </c>
      <c r="P214" s="111">
        <f t="shared" ref="P214:P283" si="68">+G214-N214</f>
        <v>29500000</v>
      </c>
      <c r="Q214" s="111">
        <f t="shared" ref="Q214:Q283" si="69">+L214</f>
        <v>500000</v>
      </c>
      <c r="R214" s="100"/>
      <c r="S214" s="96">
        <v>21222861</v>
      </c>
      <c r="T214" s="117" t="s">
        <v>92</v>
      </c>
      <c r="U214" s="95">
        <v>30000000</v>
      </c>
      <c r="V214" s="95">
        <v>0</v>
      </c>
      <c r="W214" s="95">
        <v>0</v>
      </c>
      <c r="X214" s="95">
        <v>0</v>
      </c>
      <c r="Y214" s="95">
        <v>30000000</v>
      </c>
      <c r="Z214" s="95">
        <v>0</v>
      </c>
      <c r="AA214" s="95">
        <v>0</v>
      </c>
      <c r="AB214" s="120">
        <v>0</v>
      </c>
      <c r="AC214" s="95">
        <v>0</v>
      </c>
      <c r="AD214" s="95">
        <v>500000</v>
      </c>
      <c r="AE214" s="120">
        <v>500000</v>
      </c>
      <c r="AF214" s="95">
        <v>29500000</v>
      </c>
      <c r="AG214" s="95">
        <v>0</v>
      </c>
      <c r="AH214" s="120">
        <v>500000</v>
      </c>
      <c r="AI214" s="120">
        <v>500000</v>
      </c>
      <c r="AJ214" s="84">
        <v>0</v>
      </c>
      <c r="AK214" s="84">
        <v>0</v>
      </c>
      <c r="AL214" s="84">
        <v>0</v>
      </c>
      <c r="AM214" s="84">
        <v>500000</v>
      </c>
      <c r="AN214" s="121">
        <v>500000</v>
      </c>
      <c r="AO214" s="84">
        <v>0</v>
      </c>
      <c r="AP214" s="95">
        <v>29500000</v>
      </c>
      <c r="AQ214" s="84">
        <v>0</v>
      </c>
      <c r="AS214" s="118">
        <f t="shared" si="62"/>
        <v>0</v>
      </c>
    </row>
    <row r="215" spans="1:45" ht="30" x14ac:dyDescent="0.25">
      <c r="A215" s="88">
        <v>212228611</v>
      </c>
      <c r="B215" s="86" t="s">
        <v>602</v>
      </c>
      <c r="C215" s="91">
        <v>30000000</v>
      </c>
      <c r="D215" s="91">
        <v>0</v>
      </c>
      <c r="E215" s="91">
        <v>0</v>
      </c>
      <c r="F215" s="91">
        <v>0</v>
      </c>
      <c r="G215" s="91">
        <f t="shared" si="63"/>
        <v>30000000</v>
      </c>
      <c r="H215" s="91">
        <v>0</v>
      </c>
      <c r="I215" s="91">
        <v>500000</v>
      </c>
      <c r="J215" s="91">
        <f t="shared" si="65"/>
        <v>29500000</v>
      </c>
      <c r="K215" s="91">
        <v>500000</v>
      </c>
      <c r="L215" s="91">
        <v>500000</v>
      </c>
      <c r="M215" s="91">
        <f t="shared" si="66"/>
        <v>0</v>
      </c>
      <c r="N215" s="91">
        <v>500000</v>
      </c>
      <c r="O215" s="91">
        <f t="shared" si="67"/>
        <v>0</v>
      </c>
      <c r="P215" s="91">
        <f t="shared" si="68"/>
        <v>29500000</v>
      </c>
      <c r="Q215" s="91">
        <f t="shared" si="69"/>
        <v>500000</v>
      </c>
      <c r="S215" s="96">
        <v>212228611</v>
      </c>
      <c r="T215" s="117" t="s">
        <v>753</v>
      </c>
      <c r="U215" s="95">
        <v>30000000</v>
      </c>
      <c r="V215" s="95">
        <v>0</v>
      </c>
      <c r="W215" s="95">
        <v>0</v>
      </c>
      <c r="X215" s="95">
        <v>0</v>
      </c>
      <c r="Y215" s="95">
        <v>30000000</v>
      </c>
      <c r="Z215" s="95">
        <v>0</v>
      </c>
      <c r="AA215" s="95">
        <v>0</v>
      </c>
      <c r="AB215" s="120">
        <v>0</v>
      </c>
      <c r="AC215" s="95">
        <v>0</v>
      </c>
      <c r="AD215" s="95">
        <v>500000</v>
      </c>
      <c r="AE215" s="120">
        <v>500000</v>
      </c>
      <c r="AF215" s="95">
        <v>29500000</v>
      </c>
      <c r="AG215" s="95">
        <v>0</v>
      </c>
      <c r="AH215" s="120">
        <v>500000</v>
      </c>
      <c r="AI215" s="120">
        <v>500000</v>
      </c>
      <c r="AJ215" s="84">
        <v>0</v>
      </c>
      <c r="AK215" s="84">
        <v>0</v>
      </c>
      <c r="AL215" s="84">
        <v>0</v>
      </c>
      <c r="AM215" s="84">
        <v>500000</v>
      </c>
      <c r="AN215" s="121">
        <v>500000</v>
      </c>
      <c r="AO215" s="84">
        <v>0</v>
      </c>
      <c r="AP215" s="95">
        <v>29500000</v>
      </c>
      <c r="AQ215" s="84">
        <v>0</v>
      </c>
      <c r="AS215" s="118">
        <f t="shared" si="62"/>
        <v>0</v>
      </c>
    </row>
    <row r="216" spans="1:45" ht="30" x14ac:dyDescent="0.25">
      <c r="A216" s="88">
        <v>21222862</v>
      </c>
      <c r="B216" s="86" t="s">
        <v>603</v>
      </c>
      <c r="C216" s="91">
        <v>1500000</v>
      </c>
      <c r="D216" s="91">
        <v>0</v>
      </c>
      <c r="E216" s="91">
        <v>0</v>
      </c>
      <c r="F216" s="91">
        <v>0</v>
      </c>
      <c r="G216" s="91">
        <f t="shared" si="63"/>
        <v>1500000</v>
      </c>
      <c r="H216" s="91">
        <v>0</v>
      </c>
      <c r="I216" s="91">
        <v>700000</v>
      </c>
      <c r="J216" s="91">
        <f t="shared" si="65"/>
        <v>800000</v>
      </c>
      <c r="K216" s="91">
        <v>0</v>
      </c>
      <c r="L216" s="91">
        <v>700000</v>
      </c>
      <c r="M216" s="91">
        <f t="shared" si="66"/>
        <v>0</v>
      </c>
      <c r="N216" s="91">
        <v>700000</v>
      </c>
      <c r="O216" s="91">
        <f t="shared" si="67"/>
        <v>0</v>
      </c>
      <c r="P216" s="91">
        <f t="shared" si="68"/>
        <v>800000</v>
      </c>
      <c r="Q216" s="91">
        <f t="shared" si="69"/>
        <v>700000</v>
      </c>
      <c r="S216" s="96">
        <v>21222862</v>
      </c>
      <c r="T216" s="117" t="s">
        <v>754</v>
      </c>
      <c r="U216" s="95">
        <v>1500000</v>
      </c>
      <c r="V216" s="95">
        <v>0</v>
      </c>
      <c r="W216" s="95">
        <v>0</v>
      </c>
      <c r="X216" s="95">
        <v>0</v>
      </c>
      <c r="Y216" s="95">
        <v>1500000</v>
      </c>
      <c r="Z216" s="95">
        <v>0</v>
      </c>
      <c r="AA216" s="95">
        <v>0</v>
      </c>
      <c r="AB216" s="120">
        <v>0</v>
      </c>
      <c r="AC216" s="95">
        <v>0</v>
      </c>
      <c r="AD216" s="95">
        <v>700000</v>
      </c>
      <c r="AE216" s="120">
        <v>700000</v>
      </c>
      <c r="AF216" s="95">
        <v>800000</v>
      </c>
      <c r="AG216" s="95">
        <v>0</v>
      </c>
      <c r="AH216" s="120">
        <v>0</v>
      </c>
      <c r="AI216" s="120">
        <v>700000</v>
      </c>
      <c r="AJ216" s="84">
        <v>0</v>
      </c>
      <c r="AK216" s="84">
        <v>0</v>
      </c>
      <c r="AL216" s="84">
        <v>0</v>
      </c>
      <c r="AM216" s="84">
        <v>700000</v>
      </c>
      <c r="AN216" s="121">
        <v>700000</v>
      </c>
      <c r="AO216" s="84">
        <v>0</v>
      </c>
      <c r="AP216" s="95">
        <v>800000</v>
      </c>
      <c r="AQ216" s="84">
        <v>0</v>
      </c>
      <c r="AS216" s="118">
        <f t="shared" si="62"/>
        <v>0</v>
      </c>
    </row>
    <row r="217" spans="1:45" s="100" customFormat="1" ht="30" x14ac:dyDescent="0.25">
      <c r="A217" s="88">
        <v>21222863</v>
      </c>
      <c r="B217" s="86" t="s">
        <v>604</v>
      </c>
      <c r="C217" s="91">
        <v>18000000</v>
      </c>
      <c r="D217" s="91">
        <f>+V217</f>
        <v>35000000</v>
      </c>
      <c r="E217" s="91">
        <v>0</v>
      </c>
      <c r="F217" s="91">
        <v>0</v>
      </c>
      <c r="G217" s="91">
        <f t="shared" si="63"/>
        <v>53000000</v>
      </c>
      <c r="H217" s="91">
        <v>4772004</v>
      </c>
      <c r="I217" s="91">
        <v>7152004</v>
      </c>
      <c r="J217" s="91">
        <f t="shared" si="65"/>
        <v>45847996</v>
      </c>
      <c r="K217" s="91">
        <v>2432000</v>
      </c>
      <c r="L217" s="91">
        <v>2812000</v>
      </c>
      <c r="M217" s="91">
        <f t="shared" si="66"/>
        <v>4340004</v>
      </c>
      <c r="N217" s="91">
        <v>14812000</v>
      </c>
      <c r="O217" s="91">
        <f t="shared" si="67"/>
        <v>7659996</v>
      </c>
      <c r="P217" s="91">
        <f t="shared" si="68"/>
        <v>38188000</v>
      </c>
      <c r="Q217" s="91">
        <f t="shared" si="69"/>
        <v>2812000</v>
      </c>
      <c r="R217" s="84"/>
      <c r="S217" s="101">
        <v>21222863</v>
      </c>
      <c r="T217" s="116" t="s">
        <v>755</v>
      </c>
      <c r="U217" s="102">
        <v>18000000</v>
      </c>
      <c r="V217" s="102">
        <v>35000000</v>
      </c>
      <c r="W217" s="102">
        <v>0</v>
      </c>
      <c r="X217" s="102">
        <v>0</v>
      </c>
      <c r="Y217" s="102">
        <v>53000000</v>
      </c>
      <c r="Z217" s="102">
        <v>0</v>
      </c>
      <c r="AA217" s="102">
        <v>0</v>
      </c>
      <c r="AB217" s="119">
        <v>4772004</v>
      </c>
      <c r="AC217" s="102">
        <v>4772004</v>
      </c>
      <c r="AD217" s="102">
        <v>7152004</v>
      </c>
      <c r="AE217" s="119">
        <v>7152004</v>
      </c>
      <c r="AF217" s="102">
        <v>45847996</v>
      </c>
      <c r="AG217" s="102">
        <v>0</v>
      </c>
      <c r="AH217" s="119">
        <v>2432000</v>
      </c>
      <c r="AI217" s="119">
        <v>2812000</v>
      </c>
      <c r="AJ217" s="100">
        <v>4340004</v>
      </c>
      <c r="AK217" s="100">
        <v>0</v>
      </c>
      <c r="AL217" s="100">
        <v>432000</v>
      </c>
      <c r="AM217" s="100">
        <v>14812000</v>
      </c>
      <c r="AN217" s="122">
        <v>14812000</v>
      </c>
      <c r="AO217" s="100">
        <v>7659996</v>
      </c>
      <c r="AP217" s="102">
        <v>38188000</v>
      </c>
      <c r="AQ217" s="100">
        <v>0</v>
      </c>
      <c r="AS217" s="118">
        <f t="shared" si="62"/>
        <v>0</v>
      </c>
    </row>
    <row r="218" spans="1:45" ht="30" x14ac:dyDescent="0.25">
      <c r="A218" s="109">
        <v>2122287</v>
      </c>
      <c r="B218" s="110" t="s">
        <v>93</v>
      </c>
      <c r="C218" s="111">
        <f>+C219</f>
        <v>30000000</v>
      </c>
      <c r="D218" s="111">
        <f t="shared" ref="D218:Q218" si="70">+D219</f>
        <v>200000000</v>
      </c>
      <c r="E218" s="111">
        <f t="shared" si="70"/>
        <v>0</v>
      </c>
      <c r="F218" s="111">
        <f t="shared" si="70"/>
        <v>0</v>
      </c>
      <c r="G218" s="111">
        <f t="shared" si="70"/>
        <v>230000000</v>
      </c>
      <c r="H218" s="111">
        <v>0</v>
      </c>
      <c r="I218" s="111">
        <v>2950000</v>
      </c>
      <c r="J218" s="111">
        <f t="shared" si="70"/>
        <v>227050000</v>
      </c>
      <c r="K218" s="111">
        <v>2000000</v>
      </c>
      <c r="L218" s="111">
        <v>2950000</v>
      </c>
      <c r="M218" s="111">
        <f t="shared" si="70"/>
        <v>0</v>
      </c>
      <c r="N218" s="111">
        <v>152950000</v>
      </c>
      <c r="O218" s="111">
        <f t="shared" si="70"/>
        <v>150000000</v>
      </c>
      <c r="P218" s="111">
        <f t="shared" si="70"/>
        <v>77050000</v>
      </c>
      <c r="Q218" s="111">
        <f t="shared" si="70"/>
        <v>2950000</v>
      </c>
      <c r="R218" s="100"/>
      <c r="S218" s="96">
        <v>2122287</v>
      </c>
      <c r="T218" s="117" t="s">
        <v>93</v>
      </c>
      <c r="U218" s="95">
        <v>30000000</v>
      </c>
      <c r="V218" s="95">
        <v>200000000</v>
      </c>
      <c r="W218" s="95">
        <v>0</v>
      </c>
      <c r="X218" s="95">
        <v>0</v>
      </c>
      <c r="Y218" s="95">
        <v>230000000</v>
      </c>
      <c r="Z218" s="95">
        <v>0</v>
      </c>
      <c r="AA218" s="95">
        <v>0</v>
      </c>
      <c r="AB218" s="120">
        <v>0</v>
      </c>
      <c r="AC218" s="95">
        <v>0</v>
      </c>
      <c r="AD218" s="95">
        <v>2950000</v>
      </c>
      <c r="AE218" s="120">
        <v>2950000</v>
      </c>
      <c r="AF218" s="95">
        <v>227050000</v>
      </c>
      <c r="AG218" s="95">
        <v>0</v>
      </c>
      <c r="AH218" s="120">
        <v>2000000</v>
      </c>
      <c r="AI218" s="120">
        <v>2950000</v>
      </c>
      <c r="AJ218" s="84">
        <v>0</v>
      </c>
      <c r="AK218" s="84">
        <v>0</v>
      </c>
      <c r="AL218" s="84">
        <v>150000000</v>
      </c>
      <c r="AM218" s="84">
        <v>152950000</v>
      </c>
      <c r="AN218" s="121">
        <v>152950000</v>
      </c>
      <c r="AO218" s="84">
        <v>150000000</v>
      </c>
      <c r="AP218" s="95">
        <v>77050000</v>
      </c>
      <c r="AQ218" s="84">
        <v>0</v>
      </c>
      <c r="AS218" s="118">
        <f t="shared" si="62"/>
        <v>0</v>
      </c>
    </row>
    <row r="219" spans="1:45" s="100" customFormat="1" x14ac:dyDescent="0.25">
      <c r="A219" s="88">
        <v>21222871</v>
      </c>
      <c r="B219" s="86" t="s">
        <v>605</v>
      </c>
      <c r="C219" s="91">
        <v>30000000</v>
      </c>
      <c r="D219" s="91">
        <f>+V219</f>
        <v>200000000</v>
      </c>
      <c r="E219" s="91">
        <v>0</v>
      </c>
      <c r="F219" s="91">
        <v>0</v>
      </c>
      <c r="G219" s="91">
        <f t="shared" si="63"/>
        <v>230000000</v>
      </c>
      <c r="H219" s="91">
        <v>0</v>
      </c>
      <c r="I219" s="91">
        <v>2950000</v>
      </c>
      <c r="J219" s="91">
        <f t="shared" si="65"/>
        <v>227050000</v>
      </c>
      <c r="K219" s="91">
        <v>2000000</v>
      </c>
      <c r="L219" s="91">
        <v>2950000</v>
      </c>
      <c r="M219" s="91">
        <f t="shared" si="66"/>
        <v>0</v>
      </c>
      <c r="N219" s="91">
        <v>152950000</v>
      </c>
      <c r="O219" s="91">
        <f t="shared" si="67"/>
        <v>150000000</v>
      </c>
      <c r="P219" s="91">
        <f t="shared" si="68"/>
        <v>77050000</v>
      </c>
      <c r="Q219" s="91">
        <f t="shared" si="69"/>
        <v>2950000</v>
      </c>
      <c r="R219" s="84"/>
      <c r="S219" s="101">
        <v>21222871</v>
      </c>
      <c r="T219" s="116" t="s">
        <v>756</v>
      </c>
      <c r="U219" s="102">
        <v>30000000</v>
      </c>
      <c r="V219" s="102">
        <v>200000000</v>
      </c>
      <c r="W219" s="102">
        <v>0</v>
      </c>
      <c r="X219" s="102">
        <v>0</v>
      </c>
      <c r="Y219" s="102">
        <v>230000000</v>
      </c>
      <c r="Z219" s="102">
        <v>0</v>
      </c>
      <c r="AA219" s="102">
        <v>0</v>
      </c>
      <c r="AB219" s="119">
        <v>0</v>
      </c>
      <c r="AC219" s="102">
        <v>0</v>
      </c>
      <c r="AD219" s="102">
        <v>2950000</v>
      </c>
      <c r="AE219" s="119">
        <v>2950000</v>
      </c>
      <c r="AF219" s="102">
        <v>227050000</v>
      </c>
      <c r="AG219" s="102">
        <v>0</v>
      </c>
      <c r="AH219" s="119">
        <v>2000000</v>
      </c>
      <c r="AI219" s="119">
        <v>2950000</v>
      </c>
      <c r="AJ219" s="100">
        <v>0</v>
      </c>
      <c r="AK219" s="100">
        <v>0</v>
      </c>
      <c r="AL219" s="100">
        <v>150000000</v>
      </c>
      <c r="AM219" s="100">
        <v>152950000</v>
      </c>
      <c r="AN219" s="122">
        <v>152950000</v>
      </c>
      <c r="AO219" s="100">
        <v>150000000</v>
      </c>
      <c r="AP219" s="102">
        <v>77050000</v>
      </c>
      <c r="AQ219" s="100">
        <v>0</v>
      </c>
      <c r="AS219" s="118">
        <f t="shared" si="62"/>
        <v>0</v>
      </c>
    </row>
    <row r="220" spans="1:45" s="100" customFormat="1" x14ac:dyDescent="0.25">
      <c r="A220" s="106">
        <v>212229</v>
      </c>
      <c r="B220" s="107" t="s">
        <v>94</v>
      </c>
      <c r="C220" s="108">
        <f>+C221+C224+C227+C230</f>
        <v>725000000</v>
      </c>
      <c r="D220" s="108">
        <v>0</v>
      </c>
      <c r="E220" s="108">
        <v>150000000</v>
      </c>
      <c r="F220" s="108">
        <v>150000000</v>
      </c>
      <c r="G220" s="108">
        <f t="shared" si="63"/>
        <v>725000000</v>
      </c>
      <c r="H220" s="108">
        <v>145510008</v>
      </c>
      <c r="I220" s="108">
        <v>312615959</v>
      </c>
      <c r="J220" s="108">
        <f t="shared" si="65"/>
        <v>412384041</v>
      </c>
      <c r="K220" s="108">
        <v>19465396</v>
      </c>
      <c r="L220" s="108">
        <v>107499668</v>
      </c>
      <c r="M220" s="108">
        <f t="shared" si="66"/>
        <v>205116291</v>
      </c>
      <c r="N220" s="108">
        <v>410301163</v>
      </c>
      <c r="O220" s="108">
        <f t="shared" si="67"/>
        <v>97685204</v>
      </c>
      <c r="P220" s="108">
        <f t="shared" si="68"/>
        <v>314698837</v>
      </c>
      <c r="Q220" s="108">
        <f t="shared" si="69"/>
        <v>107499668</v>
      </c>
      <c r="S220" s="101">
        <v>212229</v>
      </c>
      <c r="T220" s="116" t="s">
        <v>94</v>
      </c>
      <c r="U220" s="102">
        <v>725000000</v>
      </c>
      <c r="V220" s="102">
        <v>0</v>
      </c>
      <c r="W220" s="102">
        <v>150000000</v>
      </c>
      <c r="X220" s="102">
        <v>150000000</v>
      </c>
      <c r="Y220" s="102">
        <v>725000000</v>
      </c>
      <c r="Z220" s="102">
        <v>3024136</v>
      </c>
      <c r="AA220" s="102">
        <v>0</v>
      </c>
      <c r="AB220" s="119">
        <v>145510008</v>
      </c>
      <c r="AC220" s="102">
        <v>145510008</v>
      </c>
      <c r="AD220" s="102">
        <v>315640095</v>
      </c>
      <c r="AE220" s="119">
        <v>312615959</v>
      </c>
      <c r="AF220" s="102">
        <v>412384041</v>
      </c>
      <c r="AG220" s="102">
        <v>2848050</v>
      </c>
      <c r="AH220" s="119">
        <v>19465396</v>
      </c>
      <c r="AI220" s="119">
        <v>107499668</v>
      </c>
      <c r="AJ220" s="100">
        <v>207964341</v>
      </c>
      <c r="AK220" s="100">
        <v>192086</v>
      </c>
      <c r="AL220" s="100">
        <v>44287621</v>
      </c>
      <c r="AM220" s="100">
        <v>410493249</v>
      </c>
      <c r="AN220" s="122">
        <v>410301163</v>
      </c>
      <c r="AO220" s="100">
        <v>97685204</v>
      </c>
      <c r="AP220" s="102">
        <v>314698837</v>
      </c>
      <c r="AQ220" s="100">
        <v>0</v>
      </c>
      <c r="AS220" s="118">
        <f t="shared" si="62"/>
        <v>0</v>
      </c>
    </row>
    <row r="221" spans="1:45" x14ac:dyDescent="0.25">
      <c r="A221" s="109">
        <v>2122291</v>
      </c>
      <c r="B221" s="110" t="s">
        <v>95</v>
      </c>
      <c r="C221" s="111">
        <f>+C222+C223</f>
        <v>440000000</v>
      </c>
      <c r="D221" s="111">
        <v>0</v>
      </c>
      <c r="E221" s="111">
        <v>150000000</v>
      </c>
      <c r="F221" s="111">
        <v>150000000</v>
      </c>
      <c r="G221" s="111">
        <f t="shared" si="63"/>
        <v>440000000</v>
      </c>
      <c r="H221" s="111">
        <v>92893458</v>
      </c>
      <c r="I221" s="111">
        <v>159955597</v>
      </c>
      <c r="J221" s="111">
        <f t="shared" si="65"/>
        <v>280044403</v>
      </c>
      <c r="K221" s="111">
        <v>13221087</v>
      </c>
      <c r="L221" s="111">
        <v>13221087</v>
      </c>
      <c r="M221" s="111">
        <f t="shared" si="66"/>
        <v>146734510</v>
      </c>
      <c r="N221" s="111">
        <v>255229293</v>
      </c>
      <c r="O221" s="111">
        <f t="shared" si="67"/>
        <v>95273696</v>
      </c>
      <c r="P221" s="111">
        <f t="shared" si="68"/>
        <v>184770707</v>
      </c>
      <c r="Q221" s="111">
        <f t="shared" si="69"/>
        <v>13221087</v>
      </c>
      <c r="R221" s="100"/>
      <c r="S221" s="96">
        <v>2122291</v>
      </c>
      <c r="T221" s="117" t="s">
        <v>95</v>
      </c>
      <c r="U221" s="95">
        <v>440000000</v>
      </c>
      <c r="V221" s="95">
        <v>0</v>
      </c>
      <c r="W221" s="95">
        <v>150000000</v>
      </c>
      <c r="X221" s="95">
        <v>150000000</v>
      </c>
      <c r="Y221" s="95">
        <v>440000000</v>
      </c>
      <c r="Z221" s="95">
        <v>0</v>
      </c>
      <c r="AA221" s="95">
        <v>0</v>
      </c>
      <c r="AB221" s="120">
        <v>92893458</v>
      </c>
      <c r="AC221" s="95">
        <v>92893458</v>
      </c>
      <c r="AD221" s="95">
        <v>159955597</v>
      </c>
      <c r="AE221" s="120">
        <v>159955597</v>
      </c>
      <c r="AF221" s="95">
        <v>280044403</v>
      </c>
      <c r="AG221" s="95">
        <v>0</v>
      </c>
      <c r="AH221" s="120">
        <v>13221087</v>
      </c>
      <c r="AI221" s="120">
        <v>13221087</v>
      </c>
      <c r="AJ221" s="84">
        <v>146734510</v>
      </c>
      <c r="AK221" s="84">
        <v>0</v>
      </c>
      <c r="AL221" s="84">
        <v>40746612</v>
      </c>
      <c r="AM221" s="84">
        <v>255229293</v>
      </c>
      <c r="AN221" s="121">
        <v>255229293</v>
      </c>
      <c r="AO221" s="84">
        <v>95273696</v>
      </c>
      <c r="AP221" s="95">
        <v>184770707</v>
      </c>
      <c r="AQ221" s="84">
        <v>0</v>
      </c>
      <c r="AS221" s="118">
        <f t="shared" si="62"/>
        <v>0</v>
      </c>
    </row>
    <row r="222" spans="1:45" x14ac:dyDescent="0.25">
      <c r="A222" s="88">
        <v>21222911</v>
      </c>
      <c r="B222" s="86" t="s">
        <v>606</v>
      </c>
      <c r="C222" s="91">
        <v>190000000</v>
      </c>
      <c r="D222" s="91">
        <v>0</v>
      </c>
      <c r="E222" s="91">
        <v>150000000</v>
      </c>
      <c r="F222" s="91">
        <v>0</v>
      </c>
      <c r="G222" s="91">
        <f t="shared" si="63"/>
        <v>40000000</v>
      </c>
      <c r="H222" s="91">
        <v>0</v>
      </c>
      <c r="I222" s="91">
        <v>40000000</v>
      </c>
      <c r="J222" s="91">
        <f t="shared" si="65"/>
        <v>0</v>
      </c>
      <c r="K222" s="91">
        <v>0</v>
      </c>
      <c r="L222" s="91">
        <v>0</v>
      </c>
      <c r="M222" s="91">
        <f t="shared" si="66"/>
        <v>40000000</v>
      </c>
      <c r="N222" s="91">
        <v>40000000</v>
      </c>
      <c r="O222" s="91">
        <f t="shared" si="67"/>
        <v>0</v>
      </c>
      <c r="P222" s="91">
        <f t="shared" si="68"/>
        <v>0</v>
      </c>
      <c r="Q222" s="91">
        <f t="shared" si="69"/>
        <v>0</v>
      </c>
      <c r="S222" s="96">
        <v>21222911</v>
      </c>
      <c r="T222" s="117" t="s">
        <v>757</v>
      </c>
      <c r="U222" s="95">
        <v>190000000</v>
      </c>
      <c r="V222" s="95">
        <v>0</v>
      </c>
      <c r="W222" s="95">
        <v>150000000</v>
      </c>
      <c r="X222" s="95">
        <v>0</v>
      </c>
      <c r="Y222" s="95">
        <v>40000000</v>
      </c>
      <c r="Z222" s="95">
        <v>0</v>
      </c>
      <c r="AA222" s="95">
        <v>0</v>
      </c>
      <c r="AB222" s="120">
        <v>0</v>
      </c>
      <c r="AC222" s="95">
        <v>0</v>
      </c>
      <c r="AD222" s="95">
        <v>40000000</v>
      </c>
      <c r="AE222" s="120">
        <v>40000000</v>
      </c>
      <c r="AF222" s="95">
        <v>0</v>
      </c>
      <c r="AG222" s="95">
        <v>0</v>
      </c>
      <c r="AH222" s="120">
        <v>0</v>
      </c>
      <c r="AI222" s="120">
        <v>0</v>
      </c>
      <c r="AJ222" s="84">
        <v>40000000</v>
      </c>
      <c r="AK222" s="84">
        <v>0</v>
      </c>
      <c r="AL222" s="84">
        <v>0</v>
      </c>
      <c r="AM222" s="84">
        <v>40000000</v>
      </c>
      <c r="AN222" s="121">
        <v>40000000</v>
      </c>
      <c r="AO222" s="84">
        <v>0</v>
      </c>
      <c r="AP222" s="95">
        <v>0</v>
      </c>
      <c r="AQ222" s="84">
        <v>0</v>
      </c>
      <c r="AS222" s="118">
        <f t="shared" si="62"/>
        <v>0</v>
      </c>
    </row>
    <row r="223" spans="1:45" s="100" customFormat="1" x14ac:dyDescent="0.25">
      <c r="A223" s="88">
        <v>21222912</v>
      </c>
      <c r="B223" s="86" t="s">
        <v>607</v>
      </c>
      <c r="C223" s="91">
        <v>250000000</v>
      </c>
      <c r="D223" s="91">
        <v>0</v>
      </c>
      <c r="E223" s="91">
        <v>0</v>
      </c>
      <c r="F223" s="91">
        <v>150000000</v>
      </c>
      <c r="G223" s="91">
        <f t="shared" si="63"/>
        <v>400000000</v>
      </c>
      <c r="H223" s="91">
        <v>92893458</v>
      </c>
      <c r="I223" s="91">
        <v>119955597</v>
      </c>
      <c r="J223" s="91">
        <f t="shared" si="65"/>
        <v>280044403</v>
      </c>
      <c r="K223" s="91">
        <v>13221087</v>
      </c>
      <c r="L223" s="91">
        <v>13221087</v>
      </c>
      <c r="M223" s="91">
        <f t="shared" si="66"/>
        <v>106734510</v>
      </c>
      <c r="N223" s="91">
        <v>215229293</v>
      </c>
      <c r="O223" s="91">
        <f t="shared" si="67"/>
        <v>95273696</v>
      </c>
      <c r="P223" s="91">
        <f t="shared" si="68"/>
        <v>184770707</v>
      </c>
      <c r="Q223" s="91">
        <f t="shared" si="69"/>
        <v>13221087</v>
      </c>
      <c r="R223" s="84"/>
      <c r="S223" s="101">
        <v>21222912</v>
      </c>
      <c r="T223" s="116" t="s">
        <v>758</v>
      </c>
      <c r="U223" s="102">
        <v>250000000</v>
      </c>
      <c r="V223" s="102">
        <v>0</v>
      </c>
      <c r="W223" s="102">
        <v>0</v>
      </c>
      <c r="X223" s="102">
        <v>150000000</v>
      </c>
      <c r="Y223" s="102">
        <v>400000000</v>
      </c>
      <c r="Z223" s="102">
        <v>0</v>
      </c>
      <c r="AA223" s="102">
        <v>0</v>
      </c>
      <c r="AB223" s="119">
        <v>92893458</v>
      </c>
      <c r="AC223" s="102">
        <v>92893458</v>
      </c>
      <c r="AD223" s="102">
        <v>119955597</v>
      </c>
      <c r="AE223" s="119">
        <v>119955597</v>
      </c>
      <c r="AF223" s="102">
        <v>280044403</v>
      </c>
      <c r="AG223" s="102">
        <v>0</v>
      </c>
      <c r="AH223" s="119">
        <v>13221087</v>
      </c>
      <c r="AI223" s="119">
        <v>13221087</v>
      </c>
      <c r="AJ223" s="100">
        <v>106734510</v>
      </c>
      <c r="AK223" s="100">
        <v>0</v>
      </c>
      <c r="AL223" s="100">
        <v>40746612</v>
      </c>
      <c r="AM223" s="100">
        <v>215229293</v>
      </c>
      <c r="AN223" s="122">
        <v>215229293</v>
      </c>
      <c r="AO223" s="100">
        <v>95273696</v>
      </c>
      <c r="AP223" s="102">
        <v>184770707</v>
      </c>
      <c r="AQ223" s="100">
        <v>0</v>
      </c>
      <c r="AS223" s="118">
        <f t="shared" si="62"/>
        <v>0</v>
      </c>
    </row>
    <row r="224" spans="1:45" ht="30" x14ac:dyDescent="0.25">
      <c r="A224" s="109">
        <v>2122293</v>
      </c>
      <c r="B224" s="110" t="s">
        <v>96</v>
      </c>
      <c r="C224" s="111">
        <f>+C225+C226</f>
        <v>93000000</v>
      </c>
      <c r="D224" s="111">
        <v>0</v>
      </c>
      <c r="E224" s="111">
        <v>0</v>
      </c>
      <c r="F224" s="111">
        <v>0</v>
      </c>
      <c r="G224" s="111">
        <f t="shared" si="63"/>
        <v>93000000</v>
      </c>
      <c r="H224" s="111">
        <v>1310900</v>
      </c>
      <c r="I224" s="111">
        <v>29808080</v>
      </c>
      <c r="J224" s="111">
        <f t="shared" si="65"/>
        <v>63191920</v>
      </c>
      <c r="K224" s="111">
        <v>3310900</v>
      </c>
      <c r="L224" s="111">
        <v>20050330</v>
      </c>
      <c r="M224" s="111">
        <f t="shared" si="66"/>
        <v>9757750</v>
      </c>
      <c r="N224" s="111">
        <v>32199530</v>
      </c>
      <c r="O224" s="111">
        <f t="shared" si="67"/>
        <v>2391450</v>
      </c>
      <c r="P224" s="111">
        <f t="shared" si="68"/>
        <v>60800470</v>
      </c>
      <c r="Q224" s="111">
        <f t="shared" si="69"/>
        <v>20050330</v>
      </c>
      <c r="R224" s="100"/>
      <c r="S224" s="96">
        <v>2122293</v>
      </c>
      <c r="T224" s="117" t="s">
        <v>96</v>
      </c>
      <c r="U224" s="95">
        <v>93000000</v>
      </c>
      <c r="V224" s="95">
        <v>0</v>
      </c>
      <c r="W224" s="95">
        <v>0</v>
      </c>
      <c r="X224" s="95">
        <v>0</v>
      </c>
      <c r="Y224" s="95">
        <v>93000000</v>
      </c>
      <c r="Z224" s="95">
        <v>2832050</v>
      </c>
      <c r="AA224" s="95">
        <v>0</v>
      </c>
      <c r="AB224" s="120">
        <v>1310900</v>
      </c>
      <c r="AC224" s="95">
        <v>1310900</v>
      </c>
      <c r="AD224" s="95">
        <v>32640130</v>
      </c>
      <c r="AE224" s="120">
        <v>29808080</v>
      </c>
      <c r="AF224" s="95">
        <v>63191920</v>
      </c>
      <c r="AG224" s="95">
        <v>2794750</v>
      </c>
      <c r="AH224" s="120">
        <v>3310900</v>
      </c>
      <c r="AI224" s="120">
        <v>20050330</v>
      </c>
      <c r="AJ224" s="84">
        <v>12552500</v>
      </c>
      <c r="AK224" s="84">
        <v>0</v>
      </c>
      <c r="AL224" s="84">
        <v>907600</v>
      </c>
      <c r="AM224" s="84">
        <v>32199530</v>
      </c>
      <c r="AN224" s="121">
        <v>32199530</v>
      </c>
      <c r="AO224" s="84">
        <v>2391450</v>
      </c>
      <c r="AP224" s="95">
        <v>60800470</v>
      </c>
      <c r="AQ224" s="84">
        <v>0</v>
      </c>
      <c r="AS224" s="118">
        <f t="shared" si="62"/>
        <v>0</v>
      </c>
    </row>
    <row r="225" spans="1:45" ht="30" x14ac:dyDescent="0.25">
      <c r="A225" s="88">
        <v>21222931</v>
      </c>
      <c r="B225" s="86" t="s">
        <v>608</v>
      </c>
      <c r="C225" s="91">
        <v>57000000</v>
      </c>
      <c r="D225" s="91">
        <v>0</v>
      </c>
      <c r="E225" s="91">
        <v>0</v>
      </c>
      <c r="F225" s="91">
        <v>0</v>
      </c>
      <c r="G225" s="91">
        <f t="shared" si="63"/>
        <v>57000000</v>
      </c>
      <c r="H225" s="91">
        <v>1310900</v>
      </c>
      <c r="I225" s="91">
        <v>14732580</v>
      </c>
      <c r="J225" s="91">
        <f t="shared" si="65"/>
        <v>42267420</v>
      </c>
      <c r="K225" s="91">
        <v>3310900</v>
      </c>
      <c r="L225" s="91">
        <v>17564630</v>
      </c>
      <c r="M225" s="91">
        <f t="shared" si="66"/>
        <v>-2832050</v>
      </c>
      <c r="N225" s="91">
        <v>17124030</v>
      </c>
      <c r="O225" s="91">
        <f t="shared" si="67"/>
        <v>2391450</v>
      </c>
      <c r="P225" s="91">
        <f t="shared" si="68"/>
        <v>39875970</v>
      </c>
      <c r="Q225" s="91">
        <f t="shared" si="69"/>
        <v>17564630</v>
      </c>
      <c r="S225" s="96">
        <v>21222931</v>
      </c>
      <c r="T225" s="117" t="s">
        <v>759</v>
      </c>
      <c r="U225" s="95">
        <v>57000000</v>
      </c>
      <c r="V225" s="95">
        <v>0</v>
      </c>
      <c r="W225" s="95">
        <v>0</v>
      </c>
      <c r="X225" s="95">
        <v>0</v>
      </c>
      <c r="Y225" s="95">
        <v>57000000</v>
      </c>
      <c r="Z225" s="95">
        <v>2832050</v>
      </c>
      <c r="AA225" s="95">
        <v>0</v>
      </c>
      <c r="AB225" s="120">
        <v>1310900</v>
      </c>
      <c r="AC225" s="95">
        <v>1310900</v>
      </c>
      <c r="AD225" s="95">
        <v>17564630</v>
      </c>
      <c r="AE225" s="120">
        <v>14732580</v>
      </c>
      <c r="AF225" s="95">
        <v>42267420</v>
      </c>
      <c r="AG225" s="95">
        <v>2794750</v>
      </c>
      <c r="AH225" s="120">
        <v>3310900</v>
      </c>
      <c r="AI225" s="120">
        <v>17564630</v>
      </c>
      <c r="AJ225" s="84">
        <v>-37300</v>
      </c>
      <c r="AK225" s="84">
        <v>0</v>
      </c>
      <c r="AL225" s="84">
        <v>907600</v>
      </c>
      <c r="AM225" s="84">
        <v>17124030</v>
      </c>
      <c r="AN225" s="121">
        <v>17124030</v>
      </c>
      <c r="AO225" s="84">
        <v>2391450</v>
      </c>
      <c r="AP225" s="95">
        <v>39875970</v>
      </c>
      <c r="AQ225" s="84">
        <v>0</v>
      </c>
      <c r="AS225" s="118">
        <f t="shared" si="62"/>
        <v>0</v>
      </c>
    </row>
    <row r="226" spans="1:45" s="100" customFormat="1" x14ac:dyDescent="0.25">
      <c r="A226" s="88">
        <v>21222936</v>
      </c>
      <c r="B226" s="86" t="s">
        <v>609</v>
      </c>
      <c r="C226" s="91">
        <v>36000000</v>
      </c>
      <c r="D226" s="91">
        <v>0</v>
      </c>
      <c r="E226" s="91">
        <v>0</v>
      </c>
      <c r="F226" s="91">
        <v>0</v>
      </c>
      <c r="G226" s="91">
        <f t="shared" si="63"/>
        <v>36000000</v>
      </c>
      <c r="H226" s="91">
        <v>0</v>
      </c>
      <c r="I226" s="91">
        <v>15075500</v>
      </c>
      <c r="J226" s="91">
        <f t="shared" si="65"/>
        <v>20924500</v>
      </c>
      <c r="K226" s="91">
        <v>0</v>
      </c>
      <c r="L226" s="91">
        <v>2485700</v>
      </c>
      <c r="M226" s="91">
        <f t="shared" si="66"/>
        <v>12589800</v>
      </c>
      <c r="N226" s="91">
        <v>15075500</v>
      </c>
      <c r="O226" s="91">
        <f t="shared" si="67"/>
        <v>0</v>
      </c>
      <c r="P226" s="91">
        <f t="shared" si="68"/>
        <v>20924500</v>
      </c>
      <c r="Q226" s="91">
        <f t="shared" si="69"/>
        <v>2485700</v>
      </c>
      <c r="R226" s="84"/>
      <c r="S226" s="101">
        <v>21222936</v>
      </c>
      <c r="T226" s="116" t="s">
        <v>760</v>
      </c>
      <c r="U226" s="102">
        <v>36000000</v>
      </c>
      <c r="V226" s="102">
        <v>0</v>
      </c>
      <c r="W226" s="102">
        <v>0</v>
      </c>
      <c r="X226" s="102">
        <v>0</v>
      </c>
      <c r="Y226" s="102">
        <v>36000000</v>
      </c>
      <c r="Z226" s="102">
        <v>0</v>
      </c>
      <c r="AA226" s="102">
        <v>0</v>
      </c>
      <c r="AB226" s="119">
        <v>0</v>
      </c>
      <c r="AC226" s="102">
        <v>0</v>
      </c>
      <c r="AD226" s="102">
        <v>15075500</v>
      </c>
      <c r="AE226" s="119">
        <v>15075500</v>
      </c>
      <c r="AF226" s="102">
        <v>20924500</v>
      </c>
      <c r="AG226" s="102">
        <v>0</v>
      </c>
      <c r="AH226" s="119">
        <v>0</v>
      </c>
      <c r="AI226" s="119">
        <v>2485700</v>
      </c>
      <c r="AJ226" s="100">
        <v>12589800</v>
      </c>
      <c r="AK226" s="100">
        <v>0</v>
      </c>
      <c r="AL226" s="100">
        <v>0</v>
      </c>
      <c r="AM226" s="100">
        <v>15075500</v>
      </c>
      <c r="AN226" s="122">
        <v>15075500</v>
      </c>
      <c r="AO226" s="100">
        <v>0</v>
      </c>
      <c r="AP226" s="102">
        <v>20924500</v>
      </c>
      <c r="AQ226" s="100">
        <v>0</v>
      </c>
      <c r="AS226" s="118">
        <f t="shared" si="62"/>
        <v>0</v>
      </c>
    </row>
    <row r="227" spans="1:45" x14ac:dyDescent="0.25">
      <c r="A227" s="109">
        <v>2122294</v>
      </c>
      <c r="B227" s="110" t="s">
        <v>97</v>
      </c>
      <c r="C227" s="111">
        <f>+C228+C229</f>
        <v>115000000</v>
      </c>
      <c r="D227" s="111">
        <v>0</v>
      </c>
      <c r="E227" s="111">
        <v>0</v>
      </c>
      <c r="F227" s="111">
        <v>0</v>
      </c>
      <c r="G227" s="111">
        <f t="shared" si="63"/>
        <v>115000000</v>
      </c>
      <c r="H227" s="111">
        <v>2633409</v>
      </c>
      <c r="I227" s="111">
        <v>72056557</v>
      </c>
      <c r="J227" s="111">
        <f t="shared" si="65"/>
        <v>42943443</v>
      </c>
      <c r="K227" s="111">
        <v>2633409</v>
      </c>
      <c r="L227" s="111">
        <v>72056557</v>
      </c>
      <c r="M227" s="111">
        <f t="shared" si="66"/>
        <v>0</v>
      </c>
      <c r="N227" s="111">
        <v>72056557</v>
      </c>
      <c r="O227" s="111">
        <f t="shared" si="67"/>
        <v>0</v>
      </c>
      <c r="P227" s="111">
        <f t="shared" si="68"/>
        <v>42943443</v>
      </c>
      <c r="Q227" s="111">
        <f t="shared" si="69"/>
        <v>72056557</v>
      </c>
      <c r="R227" s="100"/>
      <c r="S227" s="96">
        <v>2122294</v>
      </c>
      <c r="T227" s="117" t="s">
        <v>97</v>
      </c>
      <c r="U227" s="95">
        <v>115000000</v>
      </c>
      <c r="V227" s="95">
        <v>0</v>
      </c>
      <c r="W227" s="95">
        <v>0</v>
      </c>
      <c r="X227" s="95">
        <v>0</v>
      </c>
      <c r="Y227" s="95">
        <v>115000000</v>
      </c>
      <c r="Z227" s="95">
        <v>138786</v>
      </c>
      <c r="AA227" s="95">
        <v>0</v>
      </c>
      <c r="AB227" s="120">
        <v>2633409</v>
      </c>
      <c r="AC227" s="95">
        <v>2633409</v>
      </c>
      <c r="AD227" s="95">
        <v>72195343</v>
      </c>
      <c r="AE227" s="120">
        <v>72056557</v>
      </c>
      <c r="AF227" s="95">
        <v>42943443</v>
      </c>
      <c r="AG227" s="95">
        <v>0</v>
      </c>
      <c r="AH227" s="120">
        <v>2633409</v>
      </c>
      <c r="AI227" s="120">
        <v>72056557</v>
      </c>
      <c r="AJ227" s="84">
        <v>0</v>
      </c>
      <c r="AK227" s="84">
        <v>138786</v>
      </c>
      <c r="AL227" s="84">
        <v>2633409</v>
      </c>
      <c r="AM227" s="84">
        <v>72195343</v>
      </c>
      <c r="AN227" s="121">
        <v>72056557</v>
      </c>
      <c r="AO227" s="84">
        <v>0</v>
      </c>
      <c r="AP227" s="95">
        <v>42943443</v>
      </c>
      <c r="AQ227" s="84">
        <v>0</v>
      </c>
      <c r="AS227" s="118">
        <f t="shared" si="62"/>
        <v>0</v>
      </c>
    </row>
    <row r="228" spans="1:45" ht="30" x14ac:dyDescent="0.25">
      <c r="A228" s="88">
        <v>21222941</v>
      </c>
      <c r="B228" s="86" t="s">
        <v>643</v>
      </c>
      <c r="C228" s="91">
        <v>30000000</v>
      </c>
      <c r="D228" s="91">
        <v>0</v>
      </c>
      <c r="E228" s="91">
        <v>0</v>
      </c>
      <c r="F228" s="91">
        <v>0</v>
      </c>
      <c r="G228" s="91">
        <f t="shared" si="63"/>
        <v>30000000</v>
      </c>
      <c r="H228" s="91">
        <v>0</v>
      </c>
      <c r="I228" s="91">
        <v>0</v>
      </c>
      <c r="J228" s="91">
        <f t="shared" si="65"/>
        <v>30000000</v>
      </c>
      <c r="K228" s="91">
        <v>0</v>
      </c>
      <c r="L228" s="91">
        <v>0</v>
      </c>
      <c r="M228" s="91">
        <f t="shared" si="66"/>
        <v>0</v>
      </c>
      <c r="N228" s="91">
        <v>0</v>
      </c>
      <c r="O228" s="91">
        <f t="shared" si="67"/>
        <v>0</v>
      </c>
      <c r="P228" s="91">
        <f t="shared" si="68"/>
        <v>30000000</v>
      </c>
      <c r="Q228" s="91">
        <f t="shared" si="69"/>
        <v>0</v>
      </c>
      <c r="S228" s="96">
        <v>21222941</v>
      </c>
      <c r="T228" s="117" t="s">
        <v>761</v>
      </c>
      <c r="U228" s="95">
        <v>30000000</v>
      </c>
      <c r="V228" s="95">
        <v>0</v>
      </c>
      <c r="W228" s="95">
        <v>0</v>
      </c>
      <c r="X228" s="95">
        <v>0</v>
      </c>
      <c r="Y228" s="95">
        <v>30000000</v>
      </c>
      <c r="Z228" s="95">
        <v>0</v>
      </c>
      <c r="AA228" s="95">
        <v>0</v>
      </c>
      <c r="AB228" s="120">
        <v>0</v>
      </c>
      <c r="AC228" s="95">
        <v>0</v>
      </c>
      <c r="AD228" s="95">
        <v>0</v>
      </c>
      <c r="AE228" s="120">
        <v>0</v>
      </c>
      <c r="AF228" s="95">
        <v>30000000</v>
      </c>
      <c r="AG228" s="95">
        <v>0</v>
      </c>
      <c r="AH228" s="120">
        <v>0</v>
      </c>
      <c r="AI228" s="120">
        <v>0</v>
      </c>
      <c r="AJ228" s="84">
        <v>0</v>
      </c>
      <c r="AK228" s="84">
        <v>0</v>
      </c>
      <c r="AL228" s="84">
        <v>0</v>
      </c>
      <c r="AM228" s="84">
        <v>0</v>
      </c>
      <c r="AN228" s="121">
        <v>0</v>
      </c>
      <c r="AO228" s="84">
        <v>0</v>
      </c>
      <c r="AP228" s="95">
        <v>30000000</v>
      </c>
      <c r="AQ228" s="84">
        <v>0</v>
      </c>
      <c r="AS228" s="118">
        <f t="shared" si="62"/>
        <v>0</v>
      </c>
    </row>
    <row r="229" spans="1:45" s="100" customFormat="1" x14ac:dyDescent="0.25">
      <c r="A229" s="88">
        <v>21222942</v>
      </c>
      <c r="B229" s="86" t="s">
        <v>610</v>
      </c>
      <c r="C229" s="91">
        <v>85000000</v>
      </c>
      <c r="D229" s="91">
        <v>0</v>
      </c>
      <c r="E229" s="91">
        <v>0</v>
      </c>
      <c r="F229" s="91">
        <v>0</v>
      </c>
      <c r="G229" s="91">
        <f t="shared" si="63"/>
        <v>85000000</v>
      </c>
      <c r="H229" s="91">
        <v>2633409</v>
      </c>
      <c r="I229" s="91">
        <v>72056557</v>
      </c>
      <c r="J229" s="91">
        <f t="shared" si="65"/>
        <v>12943443</v>
      </c>
      <c r="K229" s="91">
        <v>2633409</v>
      </c>
      <c r="L229" s="91">
        <v>72056557</v>
      </c>
      <c r="M229" s="91">
        <f t="shared" si="66"/>
        <v>0</v>
      </c>
      <c r="N229" s="91">
        <v>72056557</v>
      </c>
      <c r="O229" s="91">
        <f t="shared" si="67"/>
        <v>0</v>
      </c>
      <c r="P229" s="91">
        <f t="shared" si="68"/>
        <v>12943443</v>
      </c>
      <c r="Q229" s="91">
        <f t="shared" si="69"/>
        <v>72056557</v>
      </c>
      <c r="R229" s="84"/>
      <c r="S229" s="101">
        <v>21222942</v>
      </c>
      <c r="T229" s="116" t="s">
        <v>762</v>
      </c>
      <c r="U229" s="102">
        <v>85000000</v>
      </c>
      <c r="V229" s="102">
        <v>0</v>
      </c>
      <c r="W229" s="102">
        <v>0</v>
      </c>
      <c r="X229" s="102">
        <v>0</v>
      </c>
      <c r="Y229" s="102">
        <v>85000000</v>
      </c>
      <c r="Z229" s="102">
        <v>138786</v>
      </c>
      <c r="AA229" s="102">
        <v>0</v>
      </c>
      <c r="AB229" s="119">
        <v>2633409</v>
      </c>
      <c r="AC229" s="102">
        <v>2633409</v>
      </c>
      <c r="AD229" s="102">
        <v>72195343</v>
      </c>
      <c r="AE229" s="119">
        <v>72056557</v>
      </c>
      <c r="AF229" s="102">
        <v>12943443</v>
      </c>
      <c r="AG229" s="102">
        <v>0</v>
      </c>
      <c r="AH229" s="119">
        <v>2633409</v>
      </c>
      <c r="AI229" s="119">
        <v>72056557</v>
      </c>
      <c r="AJ229" s="100">
        <v>0</v>
      </c>
      <c r="AK229" s="100">
        <v>138786</v>
      </c>
      <c r="AL229" s="100">
        <v>2633409</v>
      </c>
      <c r="AM229" s="100">
        <v>72195343</v>
      </c>
      <c r="AN229" s="122">
        <v>72056557</v>
      </c>
      <c r="AO229" s="100">
        <v>0</v>
      </c>
      <c r="AP229" s="102">
        <v>12943443</v>
      </c>
      <c r="AQ229" s="100">
        <v>0</v>
      </c>
      <c r="AS229" s="118">
        <f t="shared" si="62"/>
        <v>0</v>
      </c>
    </row>
    <row r="230" spans="1:45" x14ac:dyDescent="0.25">
      <c r="A230" s="109">
        <v>2122296</v>
      </c>
      <c r="B230" s="110" t="s">
        <v>98</v>
      </c>
      <c r="C230" s="111">
        <f>+C231+C232+C233+C234</f>
        <v>77000000</v>
      </c>
      <c r="D230" s="111">
        <v>0</v>
      </c>
      <c r="E230" s="111">
        <v>0</v>
      </c>
      <c r="F230" s="111">
        <v>0</v>
      </c>
      <c r="G230" s="111">
        <f t="shared" si="63"/>
        <v>77000000</v>
      </c>
      <c r="H230" s="111">
        <v>48672241</v>
      </c>
      <c r="I230" s="111">
        <v>50795725</v>
      </c>
      <c r="J230" s="111">
        <f t="shared" si="65"/>
        <v>26204275</v>
      </c>
      <c r="K230" s="111">
        <v>300000</v>
      </c>
      <c r="L230" s="111">
        <v>2171694</v>
      </c>
      <c r="M230" s="111">
        <f t="shared" si="66"/>
        <v>48624031</v>
      </c>
      <c r="N230" s="111">
        <v>50815783</v>
      </c>
      <c r="O230" s="111">
        <f t="shared" si="67"/>
        <v>20058</v>
      </c>
      <c r="P230" s="111">
        <f t="shared" si="68"/>
        <v>26184217</v>
      </c>
      <c r="Q230" s="111">
        <f t="shared" si="69"/>
        <v>2171694</v>
      </c>
      <c r="R230" s="100"/>
      <c r="S230" s="96">
        <v>2122296</v>
      </c>
      <c r="T230" s="117" t="s">
        <v>98</v>
      </c>
      <c r="U230" s="95">
        <v>77000000</v>
      </c>
      <c r="V230" s="95">
        <v>0</v>
      </c>
      <c r="W230" s="95">
        <v>0</v>
      </c>
      <c r="X230" s="95">
        <v>0</v>
      </c>
      <c r="Y230" s="95">
        <v>77000000</v>
      </c>
      <c r="Z230" s="95">
        <v>53300</v>
      </c>
      <c r="AA230" s="95">
        <v>0</v>
      </c>
      <c r="AB230" s="120">
        <v>48672241</v>
      </c>
      <c r="AC230" s="95">
        <v>48672241</v>
      </c>
      <c r="AD230" s="95">
        <v>50849025</v>
      </c>
      <c r="AE230" s="120">
        <v>50795725</v>
      </c>
      <c r="AF230" s="95">
        <v>26204275</v>
      </c>
      <c r="AG230" s="95">
        <v>53300</v>
      </c>
      <c r="AH230" s="120">
        <v>300000</v>
      </c>
      <c r="AI230" s="120">
        <v>2171694</v>
      </c>
      <c r="AJ230" s="84">
        <v>48677331</v>
      </c>
      <c r="AK230" s="84">
        <v>53300</v>
      </c>
      <c r="AL230" s="84">
        <v>0</v>
      </c>
      <c r="AM230" s="84">
        <v>50869083</v>
      </c>
      <c r="AN230" s="121">
        <v>50815783</v>
      </c>
      <c r="AO230" s="84">
        <v>20058</v>
      </c>
      <c r="AP230" s="95">
        <v>26184217</v>
      </c>
      <c r="AQ230" s="84">
        <v>0</v>
      </c>
      <c r="AS230" s="118">
        <f t="shared" si="62"/>
        <v>0</v>
      </c>
    </row>
    <row r="231" spans="1:45" x14ac:dyDescent="0.25">
      <c r="A231" s="88">
        <v>21222961</v>
      </c>
      <c r="B231" s="86" t="s">
        <v>611</v>
      </c>
      <c r="C231" s="91">
        <v>50000000</v>
      </c>
      <c r="D231" s="91">
        <v>0</v>
      </c>
      <c r="E231" s="91">
        <v>0</v>
      </c>
      <c r="F231" s="91">
        <v>0</v>
      </c>
      <c r="G231" s="91">
        <f t="shared" si="63"/>
        <v>50000000</v>
      </c>
      <c r="H231" s="91">
        <v>38790458</v>
      </c>
      <c r="I231" s="91">
        <v>40502942</v>
      </c>
      <c r="J231" s="91">
        <f t="shared" si="65"/>
        <v>9497058</v>
      </c>
      <c r="K231" s="91">
        <v>300000</v>
      </c>
      <c r="L231" s="91">
        <v>1765784</v>
      </c>
      <c r="M231" s="91">
        <f t="shared" si="66"/>
        <v>38737158</v>
      </c>
      <c r="N231" s="91">
        <v>40515783</v>
      </c>
      <c r="O231" s="91">
        <f t="shared" si="67"/>
        <v>12841</v>
      </c>
      <c r="P231" s="91">
        <f t="shared" si="68"/>
        <v>9484217</v>
      </c>
      <c r="Q231" s="91">
        <f t="shared" si="69"/>
        <v>1765784</v>
      </c>
      <c r="S231" s="96">
        <v>21222961</v>
      </c>
      <c r="T231" s="117" t="s">
        <v>763</v>
      </c>
      <c r="U231" s="95">
        <v>50000000</v>
      </c>
      <c r="V231" s="95">
        <v>0</v>
      </c>
      <c r="W231" s="95">
        <v>0</v>
      </c>
      <c r="X231" s="95">
        <v>0</v>
      </c>
      <c r="Y231" s="95">
        <v>50000000</v>
      </c>
      <c r="Z231" s="95">
        <v>53300</v>
      </c>
      <c r="AA231" s="95">
        <v>0</v>
      </c>
      <c r="AB231" s="120">
        <v>38790458</v>
      </c>
      <c r="AC231" s="95">
        <v>38790458</v>
      </c>
      <c r="AD231" s="95">
        <v>40556242</v>
      </c>
      <c r="AE231" s="120">
        <v>40502942</v>
      </c>
      <c r="AF231" s="95">
        <v>9497058</v>
      </c>
      <c r="AG231" s="95">
        <v>53300</v>
      </c>
      <c r="AH231" s="120">
        <v>300000</v>
      </c>
      <c r="AI231" s="120">
        <v>1765784</v>
      </c>
      <c r="AJ231" s="84">
        <v>38790458</v>
      </c>
      <c r="AK231" s="84">
        <v>53300</v>
      </c>
      <c r="AL231" s="84">
        <v>0</v>
      </c>
      <c r="AM231" s="84">
        <v>40569083</v>
      </c>
      <c r="AN231" s="121">
        <v>40515783</v>
      </c>
      <c r="AO231" s="84">
        <v>12841</v>
      </c>
      <c r="AP231" s="95">
        <v>9484217</v>
      </c>
      <c r="AQ231" s="84">
        <v>0</v>
      </c>
      <c r="AS231" s="118">
        <f t="shared" si="62"/>
        <v>0</v>
      </c>
    </row>
    <row r="232" spans="1:45" x14ac:dyDescent="0.25">
      <c r="A232" s="88">
        <v>21222962</v>
      </c>
      <c r="B232" s="86" t="s">
        <v>612</v>
      </c>
      <c r="C232" s="91">
        <v>9000000</v>
      </c>
      <c r="D232" s="91">
        <v>0</v>
      </c>
      <c r="E232" s="91">
        <v>0</v>
      </c>
      <c r="F232" s="91">
        <v>0</v>
      </c>
      <c r="G232" s="91">
        <f t="shared" si="63"/>
        <v>9000000</v>
      </c>
      <c r="H232" s="91">
        <v>0</v>
      </c>
      <c r="I232" s="91">
        <v>0</v>
      </c>
      <c r="J232" s="91">
        <f t="shared" si="65"/>
        <v>9000000</v>
      </c>
      <c r="K232" s="91">
        <v>0</v>
      </c>
      <c r="L232" s="91">
        <v>0</v>
      </c>
      <c r="M232" s="91">
        <f t="shared" si="66"/>
        <v>0</v>
      </c>
      <c r="N232" s="91">
        <v>0</v>
      </c>
      <c r="O232" s="91">
        <f t="shared" si="67"/>
        <v>0</v>
      </c>
      <c r="P232" s="91">
        <f t="shared" si="68"/>
        <v>9000000</v>
      </c>
      <c r="Q232" s="91">
        <f t="shared" si="69"/>
        <v>0</v>
      </c>
      <c r="S232" s="96">
        <v>21222962</v>
      </c>
      <c r="T232" s="117" t="s">
        <v>764</v>
      </c>
      <c r="U232" s="95">
        <v>9000000</v>
      </c>
      <c r="V232" s="95">
        <v>0</v>
      </c>
      <c r="W232" s="95">
        <v>0</v>
      </c>
      <c r="X232" s="95">
        <v>0</v>
      </c>
      <c r="Y232" s="95">
        <v>9000000</v>
      </c>
      <c r="Z232" s="95">
        <v>0</v>
      </c>
      <c r="AA232" s="95">
        <v>0</v>
      </c>
      <c r="AB232" s="120">
        <v>0</v>
      </c>
      <c r="AC232" s="95">
        <v>0</v>
      </c>
      <c r="AD232" s="95">
        <v>0</v>
      </c>
      <c r="AE232" s="120">
        <v>0</v>
      </c>
      <c r="AF232" s="95">
        <v>9000000</v>
      </c>
      <c r="AG232" s="95">
        <v>0</v>
      </c>
      <c r="AH232" s="120">
        <v>0</v>
      </c>
      <c r="AI232" s="120">
        <v>0</v>
      </c>
      <c r="AJ232" s="84">
        <v>0</v>
      </c>
      <c r="AK232" s="84">
        <v>0</v>
      </c>
      <c r="AL232" s="84">
        <v>0</v>
      </c>
      <c r="AM232" s="84">
        <v>0</v>
      </c>
      <c r="AN232" s="121">
        <v>0</v>
      </c>
      <c r="AO232" s="84">
        <v>0</v>
      </c>
      <c r="AP232" s="95">
        <v>9000000</v>
      </c>
      <c r="AQ232" s="84">
        <v>0</v>
      </c>
      <c r="AS232" s="118">
        <f t="shared" si="62"/>
        <v>0</v>
      </c>
    </row>
    <row r="233" spans="1:45" x14ac:dyDescent="0.25">
      <c r="A233" s="88">
        <v>21222963</v>
      </c>
      <c r="B233" s="86" t="s">
        <v>613</v>
      </c>
      <c r="C233" s="91">
        <v>8000000</v>
      </c>
      <c r="D233" s="91">
        <v>0</v>
      </c>
      <c r="E233" s="91">
        <v>0</v>
      </c>
      <c r="F233" s="91">
        <v>0</v>
      </c>
      <c r="G233" s="91">
        <f t="shared" si="63"/>
        <v>8000000</v>
      </c>
      <c r="H233" s="91">
        <v>0</v>
      </c>
      <c r="I233" s="91">
        <v>300000</v>
      </c>
      <c r="J233" s="91">
        <f t="shared" si="65"/>
        <v>7700000</v>
      </c>
      <c r="K233" s="91">
        <v>0</v>
      </c>
      <c r="L233" s="91">
        <v>300000</v>
      </c>
      <c r="M233" s="91">
        <f t="shared" si="66"/>
        <v>0</v>
      </c>
      <c r="N233" s="91">
        <v>300000</v>
      </c>
      <c r="O233" s="91">
        <f t="shared" si="67"/>
        <v>0</v>
      </c>
      <c r="P233" s="91">
        <f t="shared" si="68"/>
        <v>7700000</v>
      </c>
      <c r="Q233" s="91">
        <f t="shared" si="69"/>
        <v>300000</v>
      </c>
      <c r="S233" s="96">
        <v>21222963</v>
      </c>
      <c r="T233" s="117" t="s">
        <v>765</v>
      </c>
      <c r="U233" s="95">
        <v>8000000</v>
      </c>
      <c r="V233" s="95">
        <v>0</v>
      </c>
      <c r="W233" s="95">
        <v>0</v>
      </c>
      <c r="X233" s="95">
        <v>0</v>
      </c>
      <c r="Y233" s="95">
        <v>8000000</v>
      </c>
      <c r="Z233" s="95">
        <v>0</v>
      </c>
      <c r="AA233" s="95">
        <v>0</v>
      </c>
      <c r="AB233" s="120">
        <v>0</v>
      </c>
      <c r="AC233" s="95">
        <v>0</v>
      </c>
      <c r="AD233" s="95">
        <v>300000</v>
      </c>
      <c r="AE233" s="120">
        <v>300000</v>
      </c>
      <c r="AF233" s="95">
        <v>7700000</v>
      </c>
      <c r="AG233" s="95">
        <v>0</v>
      </c>
      <c r="AH233" s="120">
        <v>0</v>
      </c>
      <c r="AI233" s="120">
        <v>300000</v>
      </c>
      <c r="AJ233" s="84">
        <v>0</v>
      </c>
      <c r="AK233" s="84">
        <v>0</v>
      </c>
      <c r="AL233" s="84">
        <v>0</v>
      </c>
      <c r="AM233" s="84">
        <v>300000</v>
      </c>
      <c r="AN233" s="121">
        <v>300000</v>
      </c>
      <c r="AO233" s="84">
        <v>0</v>
      </c>
      <c r="AP233" s="95">
        <v>7700000</v>
      </c>
      <c r="AQ233" s="84">
        <v>0</v>
      </c>
      <c r="AS233" s="118">
        <f t="shared" si="62"/>
        <v>0</v>
      </c>
    </row>
    <row r="234" spans="1:45" s="100" customFormat="1" x14ac:dyDescent="0.25">
      <c r="A234" s="88">
        <v>21222964</v>
      </c>
      <c r="B234" s="86" t="s">
        <v>614</v>
      </c>
      <c r="C234" s="91">
        <v>10000000</v>
      </c>
      <c r="D234" s="91">
        <v>0</v>
      </c>
      <c r="E234" s="91">
        <v>0</v>
      </c>
      <c r="F234" s="91">
        <v>0</v>
      </c>
      <c r="G234" s="91">
        <f t="shared" si="63"/>
        <v>10000000</v>
      </c>
      <c r="H234" s="91">
        <v>9881783</v>
      </c>
      <c r="I234" s="91">
        <v>9992783</v>
      </c>
      <c r="J234" s="91">
        <f t="shared" si="65"/>
        <v>7217</v>
      </c>
      <c r="K234" s="91">
        <v>0</v>
      </c>
      <c r="L234" s="91">
        <v>105910</v>
      </c>
      <c r="M234" s="91">
        <f t="shared" si="66"/>
        <v>9886873</v>
      </c>
      <c r="N234" s="91">
        <v>10000000</v>
      </c>
      <c r="O234" s="91">
        <f t="shared" si="67"/>
        <v>7217</v>
      </c>
      <c r="P234" s="91">
        <f t="shared" si="68"/>
        <v>0</v>
      </c>
      <c r="Q234" s="91">
        <f t="shared" si="69"/>
        <v>105910</v>
      </c>
      <c r="R234" s="84"/>
      <c r="S234" s="101">
        <v>21222964</v>
      </c>
      <c r="T234" s="116" t="s">
        <v>766</v>
      </c>
      <c r="U234" s="102">
        <v>10000000</v>
      </c>
      <c r="V234" s="102">
        <v>0</v>
      </c>
      <c r="W234" s="102">
        <v>0</v>
      </c>
      <c r="X234" s="102">
        <v>0</v>
      </c>
      <c r="Y234" s="102">
        <v>10000000</v>
      </c>
      <c r="Z234" s="102">
        <v>0</v>
      </c>
      <c r="AA234" s="102">
        <v>0</v>
      </c>
      <c r="AB234" s="119">
        <v>9881783</v>
      </c>
      <c r="AC234" s="102">
        <v>9881783</v>
      </c>
      <c r="AD234" s="102">
        <v>9992783</v>
      </c>
      <c r="AE234" s="119">
        <v>9992783</v>
      </c>
      <c r="AF234" s="102">
        <v>7217</v>
      </c>
      <c r="AG234" s="102">
        <v>0</v>
      </c>
      <c r="AH234" s="119">
        <v>0</v>
      </c>
      <c r="AI234" s="119">
        <v>105910</v>
      </c>
      <c r="AJ234" s="100">
        <v>9886873</v>
      </c>
      <c r="AK234" s="100">
        <v>0</v>
      </c>
      <c r="AL234" s="100">
        <v>0</v>
      </c>
      <c r="AM234" s="100">
        <v>10000000</v>
      </c>
      <c r="AN234" s="122">
        <v>10000000</v>
      </c>
      <c r="AO234" s="100">
        <v>7217</v>
      </c>
      <c r="AP234" s="102">
        <v>0</v>
      </c>
      <c r="AQ234" s="100">
        <v>0</v>
      </c>
      <c r="AS234" s="118">
        <f t="shared" si="62"/>
        <v>0</v>
      </c>
    </row>
    <row r="235" spans="1:45" s="100" customFormat="1" x14ac:dyDescent="0.25">
      <c r="A235" s="103">
        <v>214</v>
      </c>
      <c r="B235" s="104" t="s">
        <v>824</v>
      </c>
      <c r="C235" s="105">
        <f>+C236</f>
        <v>0</v>
      </c>
      <c r="D235" s="105">
        <v>0</v>
      </c>
      <c r="E235" s="105">
        <v>0</v>
      </c>
      <c r="F235" s="105">
        <v>16954000</v>
      </c>
      <c r="G235" s="105">
        <f t="shared" si="63"/>
        <v>16954000</v>
      </c>
      <c r="H235" s="105">
        <v>0</v>
      </c>
      <c r="I235" s="105">
        <v>0</v>
      </c>
      <c r="J235" s="105"/>
      <c r="K235" s="105">
        <v>0</v>
      </c>
      <c r="L235" s="105">
        <v>0</v>
      </c>
      <c r="M235" s="105"/>
      <c r="N235" s="105">
        <v>0</v>
      </c>
      <c r="O235" s="105"/>
      <c r="P235" s="105"/>
      <c r="Q235" s="105"/>
      <c r="S235" s="101">
        <v>214</v>
      </c>
      <c r="T235" s="116" t="s">
        <v>824</v>
      </c>
      <c r="U235" s="102">
        <v>0</v>
      </c>
      <c r="V235" s="102">
        <v>0</v>
      </c>
      <c r="W235" s="102">
        <v>0</v>
      </c>
      <c r="X235" s="102">
        <v>16954000</v>
      </c>
      <c r="Y235" s="102">
        <v>16954000</v>
      </c>
      <c r="Z235" s="102">
        <v>0</v>
      </c>
      <c r="AA235" s="102">
        <v>0</v>
      </c>
      <c r="AB235" s="119">
        <v>0</v>
      </c>
      <c r="AC235" s="102">
        <v>0</v>
      </c>
      <c r="AD235" s="102">
        <v>0</v>
      </c>
      <c r="AE235" s="119">
        <v>0</v>
      </c>
      <c r="AF235" s="102">
        <v>16954000</v>
      </c>
      <c r="AG235" s="102">
        <v>0</v>
      </c>
      <c r="AH235" s="119">
        <v>0</v>
      </c>
      <c r="AI235" s="119">
        <v>0</v>
      </c>
      <c r="AJ235" s="100">
        <v>0</v>
      </c>
      <c r="AK235" s="100">
        <v>0</v>
      </c>
      <c r="AL235" s="100">
        <v>0</v>
      </c>
      <c r="AM235" s="100">
        <v>0</v>
      </c>
      <c r="AN235" s="122">
        <v>0</v>
      </c>
      <c r="AO235" s="100">
        <v>0</v>
      </c>
      <c r="AP235" s="102">
        <v>16954000</v>
      </c>
      <c r="AQ235" s="100">
        <v>0</v>
      </c>
      <c r="AS235" s="118">
        <f t="shared" si="62"/>
        <v>0</v>
      </c>
    </row>
    <row r="236" spans="1:45" s="100" customFormat="1" x14ac:dyDescent="0.25">
      <c r="A236" s="103">
        <v>2143</v>
      </c>
      <c r="B236" s="104" t="s">
        <v>825</v>
      </c>
      <c r="C236" s="105">
        <f>+C237</f>
        <v>0</v>
      </c>
      <c r="D236" s="105">
        <v>0</v>
      </c>
      <c r="E236" s="105">
        <v>0</v>
      </c>
      <c r="F236" s="105">
        <v>16954000</v>
      </c>
      <c r="G236" s="105">
        <f t="shared" si="63"/>
        <v>16954000</v>
      </c>
      <c r="H236" s="105">
        <v>0</v>
      </c>
      <c r="I236" s="105">
        <v>0</v>
      </c>
      <c r="J236" s="105"/>
      <c r="K236" s="105">
        <v>0</v>
      </c>
      <c r="L236" s="105">
        <v>0</v>
      </c>
      <c r="M236" s="105"/>
      <c r="N236" s="105">
        <v>0</v>
      </c>
      <c r="O236" s="105"/>
      <c r="P236" s="105"/>
      <c r="Q236" s="105"/>
      <c r="S236" s="101">
        <v>2143</v>
      </c>
      <c r="T236" s="116" t="s">
        <v>825</v>
      </c>
      <c r="U236" s="102">
        <v>0</v>
      </c>
      <c r="V236" s="102">
        <v>0</v>
      </c>
      <c r="W236" s="102">
        <v>0</v>
      </c>
      <c r="X236" s="102">
        <v>16954000</v>
      </c>
      <c r="Y236" s="102">
        <v>16954000</v>
      </c>
      <c r="Z236" s="102">
        <v>0</v>
      </c>
      <c r="AA236" s="102">
        <v>0</v>
      </c>
      <c r="AB236" s="119">
        <v>0</v>
      </c>
      <c r="AC236" s="102">
        <v>0</v>
      </c>
      <c r="AD236" s="102">
        <v>0</v>
      </c>
      <c r="AE236" s="119">
        <v>0</v>
      </c>
      <c r="AF236" s="102">
        <v>16954000</v>
      </c>
      <c r="AG236" s="102">
        <v>0</v>
      </c>
      <c r="AH236" s="119">
        <v>0</v>
      </c>
      <c r="AI236" s="119">
        <v>0</v>
      </c>
      <c r="AJ236" s="100">
        <v>0</v>
      </c>
      <c r="AK236" s="100">
        <v>0</v>
      </c>
      <c r="AL236" s="100">
        <v>0</v>
      </c>
      <c r="AM236" s="100">
        <v>0</v>
      </c>
      <c r="AN236" s="122">
        <v>0</v>
      </c>
      <c r="AO236" s="100">
        <v>0</v>
      </c>
      <c r="AP236" s="102">
        <v>16954000</v>
      </c>
      <c r="AQ236" s="100">
        <v>0</v>
      </c>
      <c r="AS236" s="118">
        <f t="shared" si="62"/>
        <v>0</v>
      </c>
    </row>
    <row r="237" spans="1:45" x14ac:dyDescent="0.25">
      <c r="A237" s="109">
        <v>21431</v>
      </c>
      <c r="B237" s="110" t="s">
        <v>826</v>
      </c>
      <c r="C237" s="111">
        <f>+C238</f>
        <v>0</v>
      </c>
      <c r="D237" s="111">
        <v>0</v>
      </c>
      <c r="E237" s="111">
        <v>0</v>
      </c>
      <c r="F237" s="111">
        <v>16954000</v>
      </c>
      <c r="G237" s="111">
        <f t="shared" si="63"/>
        <v>16954000</v>
      </c>
      <c r="H237" s="111">
        <v>0</v>
      </c>
      <c r="I237" s="111">
        <v>0</v>
      </c>
      <c r="J237" s="111"/>
      <c r="K237" s="111">
        <v>0</v>
      </c>
      <c r="L237" s="111">
        <v>0</v>
      </c>
      <c r="M237" s="111"/>
      <c r="N237" s="111">
        <v>0</v>
      </c>
      <c r="O237" s="111"/>
      <c r="P237" s="111"/>
      <c r="Q237" s="111"/>
      <c r="R237" s="100"/>
      <c r="S237" s="96">
        <v>21431</v>
      </c>
      <c r="T237" s="117" t="s">
        <v>826</v>
      </c>
      <c r="U237" s="95">
        <v>0</v>
      </c>
      <c r="V237" s="95">
        <v>0</v>
      </c>
      <c r="W237" s="95">
        <v>0</v>
      </c>
      <c r="X237" s="95">
        <v>16954000</v>
      </c>
      <c r="Y237" s="95">
        <v>16954000</v>
      </c>
      <c r="Z237" s="95">
        <v>0</v>
      </c>
      <c r="AA237" s="95">
        <v>0</v>
      </c>
      <c r="AB237" s="120">
        <v>0</v>
      </c>
      <c r="AC237" s="95">
        <v>0</v>
      </c>
      <c r="AD237" s="95">
        <v>0</v>
      </c>
      <c r="AE237" s="120">
        <v>0</v>
      </c>
      <c r="AF237" s="95">
        <v>16954000</v>
      </c>
      <c r="AG237" s="95">
        <v>0</v>
      </c>
      <c r="AH237" s="120">
        <v>0</v>
      </c>
      <c r="AI237" s="120">
        <v>0</v>
      </c>
      <c r="AJ237" s="84">
        <v>0</v>
      </c>
      <c r="AK237" s="84">
        <v>0</v>
      </c>
      <c r="AL237" s="84">
        <v>0</v>
      </c>
      <c r="AM237" s="84">
        <v>0</v>
      </c>
      <c r="AN237" s="121">
        <v>0</v>
      </c>
      <c r="AO237" s="84">
        <v>0</v>
      </c>
      <c r="AP237" s="95">
        <v>16954000</v>
      </c>
      <c r="AQ237" s="84">
        <v>0</v>
      </c>
      <c r="AS237" s="118">
        <f t="shared" si="62"/>
        <v>0</v>
      </c>
    </row>
    <row r="238" spans="1:45" s="100" customFormat="1" x14ac:dyDescent="0.25">
      <c r="A238" s="88">
        <v>2143101</v>
      </c>
      <c r="B238" s="86" t="s">
        <v>827</v>
      </c>
      <c r="C238" s="91"/>
      <c r="D238" s="91">
        <v>0</v>
      </c>
      <c r="E238" s="91">
        <v>0</v>
      </c>
      <c r="F238" s="91">
        <v>16954000</v>
      </c>
      <c r="G238" s="91">
        <f t="shared" si="63"/>
        <v>16954000</v>
      </c>
      <c r="H238" s="91">
        <v>0</v>
      </c>
      <c r="I238" s="91">
        <v>0</v>
      </c>
      <c r="J238" s="91"/>
      <c r="K238" s="91">
        <v>0</v>
      </c>
      <c r="L238" s="91">
        <v>0</v>
      </c>
      <c r="M238" s="91"/>
      <c r="N238" s="91">
        <v>0</v>
      </c>
      <c r="O238" s="91"/>
      <c r="P238" s="91"/>
      <c r="Q238" s="91"/>
      <c r="R238" s="84"/>
      <c r="S238" s="101">
        <v>2143101</v>
      </c>
      <c r="T238" s="116" t="s">
        <v>827</v>
      </c>
      <c r="U238" s="102">
        <v>0</v>
      </c>
      <c r="V238" s="102">
        <v>0</v>
      </c>
      <c r="W238" s="102">
        <v>0</v>
      </c>
      <c r="X238" s="102">
        <v>16954000</v>
      </c>
      <c r="Y238" s="102">
        <v>16954000</v>
      </c>
      <c r="Z238" s="102">
        <v>0</v>
      </c>
      <c r="AA238" s="102">
        <v>0</v>
      </c>
      <c r="AB238" s="119">
        <v>0</v>
      </c>
      <c r="AC238" s="102">
        <v>0</v>
      </c>
      <c r="AD238" s="102">
        <v>0</v>
      </c>
      <c r="AE238" s="119">
        <v>0</v>
      </c>
      <c r="AF238" s="102">
        <v>16954000</v>
      </c>
      <c r="AG238" s="102">
        <v>0</v>
      </c>
      <c r="AH238" s="119">
        <v>0</v>
      </c>
      <c r="AI238" s="119">
        <v>0</v>
      </c>
      <c r="AJ238" s="100">
        <v>0</v>
      </c>
      <c r="AK238" s="100">
        <v>0</v>
      </c>
      <c r="AL238" s="100">
        <v>0</v>
      </c>
      <c r="AM238" s="100">
        <v>0</v>
      </c>
      <c r="AN238" s="122">
        <v>0</v>
      </c>
      <c r="AO238" s="100">
        <v>0</v>
      </c>
      <c r="AP238" s="102">
        <v>16954000</v>
      </c>
      <c r="AQ238" s="100">
        <v>0</v>
      </c>
      <c r="AS238" s="118">
        <f t="shared" si="62"/>
        <v>0</v>
      </c>
    </row>
    <row r="239" spans="1:45" x14ac:dyDescent="0.25">
      <c r="A239" s="103">
        <v>217</v>
      </c>
      <c r="B239" s="104" t="s">
        <v>99</v>
      </c>
      <c r="C239" s="105">
        <f>+C240</f>
        <v>4366488983</v>
      </c>
      <c r="D239" s="105">
        <v>0</v>
      </c>
      <c r="E239" s="105">
        <v>0</v>
      </c>
      <c r="F239" s="105">
        <v>0</v>
      </c>
      <c r="G239" s="105">
        <f t="shared" si="63"/>
        <v>4366488983</v>
      </c>
      <c r="H239" s="105">
        <v>50509979</v>
      </c>
      <c r="I239" s="105">
        <v>4136906460</v>
      </c>
      <c r="J239" s="105">
        <f t="shared" si="65"/>
        <v>229582523</v>
      </c>
      <c r="K239" s="105">
        <v>57691478</v>
      </c>
      <c r="L239" s="105">
        <v>4136906460</v>
      </c>
      <c r="M239" s="105">
        <f t="shared" si="66"/>
        <v>0</v>
      </c>
      <c r="N239" s="105">
        <v>4136906460</v>
      </c>
      <c r="O239" s="105">
        <f t="shared" si="67"/>
        <v>0</v>
      </c>
      <c r="P239" s="105">
        <f t="shared" si="68"/>
        <v>229582523</v>
      </c>
      <c r="Q239" s="105">
        <f t="shared" si="69"/>
        <v>4136906460</v>
      </c>
      <c r="R239" s="100"/>
      <c r="S239" s="96">
        <v>217</v>
      </c>
      <c r="T239" s="117" t="s">
        <v>99</v>
      </c>
      <c r="U239" s="95">
        <v>4366488983</v>
      </c>
      <c r="V239" s="95">
        <v>0</v>
      </c>
      <c r="W239" s="95">
        <v>0</v>
      </c>
      <c r="X239" s="95">
        <v>0</v>
      </c>
      <c r="Y239" s="95">
        <v>4366488983</v>
      </c>
      <c r="Z239" s="95">
        <v>0</v>
      </c>
      <c r="AA239" s="95">
        <v>0</v>
      </c>
      <c r="AB239" s="120">
        <v>50509979</v>
      </c>
      <c r="AC239" s="95">
        <v>50509979</v>
      </c>
      <c r="AD239" s="95">
        <v>4136906460</v>
      </c>
      <c r="AE239" s="120">
        <v>4136906460</v>
      </c>
      <c r="AF239" s="95">
        <v>229582523</v>
      </c>
      <c r="AG239" s="95">
        <v>0</v>
      </c>
      <c r="AH239" s="120">
        <v>57691478</v>
      </c>
      <c r="AI239" s="120">
        <v>4136906460</v>
      </c>
      <c r="AJ239" s="84">
        <v>0</v>
      </c>
      <c r="AK239" s="84">
        <v>0</v>
      </c>
      <c r="AL239" s="84">
        <v>50509979</v>
      </c>
      <c r="AM239" s="84">
        <v>4136906460</v>
      </c>
      <c r="AN239" s="121">
        <v>4136906460</v>
      </c>
      <c r="AO239" s="84">
        <v>0</v>
      </c>
      <c r="AP239" s="95">
        <v>229582523</v>
      </c>
      <c r="AQ239" s="84">
        <v>0</v>
      </c>
      <c r="AS239" s="118">
        <f t="shared" si="62"/>
        <v>0</v>
      </c>
    </row>
    <row r="240" spans="1:45" s="100" customFormat="1" x14ac:dyDescent="0.25">
      <c r="A240" s="88">
        <v>2171</v>
      </c>
      <c r="B240" s="86" t="s">
        <v>615</v>
      </c>
      <c r="C240" s="91">
        <v>4366488983</v>
      </c>
      <c r="D240" s="91">
        <v>0</v>
      </c>
      <c r="E240" s="91">
        <v>0</v>
      </c>
      <c r="F240" s="91">
        <v>0</v>
      </c>
      <c r="G240" s="91">
        <f t="shared" si="63"/>
        <v>4366488983</v>
      </c>
      <c r="H240" s="91">
        <v>50509979</v>
      </c>
      <c r="I240" s="91">
        <v>4136906460</v>
      </c>
      <c r="J240" s="91">
        <f t="shared" si="65"/>
        <v>229582523</v>
      </c>
      <c r="K240" s="91">
        <v>57691478</v>
      </c>
      <c r="L240" s="91">
        <v>4136906460</v>
      </c>
      <c r="M240" s="91">
        <f t="shared" si="66"/>
        <v>0</v>
      </c>
      <c r="N240" s="91">
        <v>4136906460</v>
      </c>
      <c r="O240" s="91">
        <f t="shared" si="67"/>
        <v>0</v>
      </c>
      <c r="P240" s="91">
        <f t="shared" si="68"/>
        <v>229582523</v>
      </c>
      <c r="Q240" s="91">
        <f t="shared" si="69"/>
        <v>4136906460</v>
      </c>
      <c r="R240" s="84"/>
      <c r="S240" s="101">
        <v>2171</v>
      </c>
      <c r="T240" s="116" t="s">
        <v>767</v>
      </c>
      <c r="U240" s="102">
        <v>4366488983</v>
      </c>
      <c r="V240" s="102">
        <v>0</v>
      </c>
      <c r="W240" s="102">
        <v>0</v>
      </c>
      <c r="X240" s="102">
        <v>0</v>
      </c>
      <c r="Y240" s="102">
        <v>4366488983</v>
      </c>
      <c r="Z240" s="102">
        <v>0</v>
      </c>
      <c r="AA240" s="102">
        <v>0</v>
      </c>
      <c r="AB240" s="119">
        <v>50509979</v>
      </c>
      <c r="AC240" s="102">
        <v>50509979</v>
      </c>
      <c r="AD240" s="102">
        <v>4136906460</v>
      </c>
      <c r="AE240" s="119">
        <v>4136906460</v>
      </c>
      <c r="AF240" s="102">
        <v>229582523</v>
      </c>
      <c r="AG240" s="102">
        <v>0</v>
      </c>
      <c r="AH240" s="119">
        <v>57691478</v>
      </c>
      <c r="AI240" s="119">
        <v>4136906460</v>
      </c>
      <c r="AJ240" s="100">
        <v>0</v>
      </c>
      <c r="AK240" s="100">
        <v>0</v>
      </c>
      <c r="AL240" s="100">
        <v>50509979</v>
      </c>
      <c r="AM240" s="100">
        <v>4136906460</v>
      </c>
      <c r="AN240" s="122">
        <v>4136906460</v>
      </c>
      <c r="AO240" s="100">
        <v>0</v>
      </c>
      <c r="AP240" s="102">
        <v>229582523</v>
      </c>
      <c r="AQ240" s="100">
        <v>0</v>
      </c>
      <c r="AS240" s="118">
        <f t="shared" si="62"/>
        <v>0</v>
      </c>
    </row>
    <row r="241" spans="1:45" s="100" customFormat="1" x14ac:dyDescent="0.25">
      <c r="A241" s="103">
        <v>218</v>
      </c>
      <c r="B241" s="104" t="s">
        <v>100</v>
      </c>
      <c r="C241" s="105">
        <f>+C242</f>
        <v>748133878</v>
      </c>
      <c r="D241" s="105">
        <f t="shared" ref="D241:Q241" si="71">+D242</f>
        <v>20312351</v>
      </c>
      <c r="E241" s="105">
        <f t="shared" si="71"/>
        <v>0</v>
      </c>
      <c r="F241" s="105">
        <f t="shared" si="71"/>
        <v>0</v>
      </c>
      <c r="G241" s="105">
        <f t="shared" si="71"/>
        <v>768446229</v>
      </c>
      <c r="H241" s="105">
        <v>61755703</v>
      </c>
      <c r="I241" s="105">
        <v>146923255</v>
      </c>
      <c r="J241" s="105">
        <f t="shared" si="71"/>
        <v>621522974</v>
      </c>
      <c r="K241" s="105">
        <v>61755703</v>
      </c>
      <c r="L241" s="105">
        <v>146923255</v>
      </c>
      <c r="M241" s="105">
        <f t="shared" si="71"/>
        <v>0</v>
      </c>
      <c r="N241" s="105">
        <v>146923255</v>
      </c>
      <c r="O241" s="105">
        <f t="shared" si="71"/>
        <v>0</v>
      </c>
      <c r="P241" s="105">
        <f t="shared" si="71"/>
        <v>621522974</v>
      </c>
      <c r="Q241" s="105">
        <f t="shared" si="71"/>
        <v>146610904</v>
      </c>
      <c r="S241" s="101">
        <v>218</v>
      </c>
      <c r="T241" s="116" t="s">
        <v>100</v>
      </c>
      <c r="U241" s="102">
        <v>748133878</v>
      </c>
      <c r="V241" s="102">
        <v>20312351</v>
      </c>
      <c r="W241" s="102">
        <v>0</v>
      </c>
      <c r="X241" s="102">
        <v>0</v>
      </c>
      <c r="Y241" s="102">
        <v>768446229</v>
      </c>
      <c r="Z241" s="102">
        <v>0</v>
      </c>
      <c r="AA241" s="102">
        <v>0</v>
      </c>
      <c r="AB241" s="119">
        <v>61755703</v>
      </c>
      <c r="AC241" s="102">
        <v>61755703</v>
      </c>
      <c r="AD241" s="102">
        <v>146923255</v>
      </c>
      <c r="AE241" s="119">
        <v>146923255</v>
      </c>
      <c r="AF241" s="102">
        <v>621522974</v>
      </c>
      <c r="AG241" s="102">
        <v>0</v>
      </c>
      <c r="AH241" s="119">
        <v>61755703</v>
      </c>
      <c r="AI241" s="119">
        <v>146923255</v>
      </c>
      <c r="AJ241" s="100">
        <v>0</v>
      </c>
      <c r="AK241" s="100">
        <v>0</v>
      </c>
      <c r="AL241" s="100">
        <v>60755703</v>
      </c>
      <c r="AM241" s="100">
        <v>146923255</v>
      </c>
      <c r="AN241" s="122">
        <v>146923255</v>
      </c>
      <c r="AO241" s="100">
        <v>0</v>
      </c>
      <c r="AP241" s="102">
        <v>621522974</v>
      </c>
      <c r="AQ241" s="100">
        <v>0</v>
      </c>
      <c r="AS241" s="118">
        <f t="shared" si="62"/>
        <v>0</v>
      </c>
    </row>
    <row r="242" spans="1:45" s="100" customFormat="1" x14ac:dyDescent="0.25">
      <c r="A242" s="103">
        <v>2181</v>
      </c>
      <c r="B242" s="104" t="s">
        <v>101</v>
      </c>
      <c r="C242" s="105">
        <f>+C243+C245+C248</f>
        <v>748133878</v>
      </c>
      <c r="D242" s="105">
        <f t="shared" ref="D242:Q242" si="72">+D243+D245+D248</f>
        <v>20312351</v>
      </c>
      <c r="E242" s="105">
        <f t="shared" si="72"/>
        <v>0</v>
      </c>
      <c r="F242" s="105">
        <f t="shared" si="72"/>
        <v>0</v>
      </c>
      <c r="G242" s="105">
        <f t="shared" si="72"/>
        <v>768446229</v>
      </c>
      <c r="H242" s="105">
        <v>61755703</v>
      </c>
      <c r="I242" s="105">
        <v>146923255</v>
      </c>
      <c r="J242" s="105">
        <f t="shared" si="72"/>
        <v>621522974</v>
      </c>
      <c r="K242" s="105">
        <v>61755703</v>
      </c>
      <c r="L242" s="105">
        <v>146923255</v>
      </c>
      <c r="M242" s="105">
        <f t="shared" si="72"/>
        <v>0</v>
      </c>
      <c r="N242" s="105">
        <v>146923255</v>
      </c>
      <c r="O242" s="105">
        <f t="shared" si="72"/>
        <v>0</v>
      </c>
      <c r="P242" s="105">
        <f t="shared" si="72"/>
        <v>621522974</v>
      </c>
      <c r="Q242" s="105">
        <f t="shared" si="72"/>
        <v>146610904</v>
      </c>
      <c r="S242" s="101">
        <v>2181</v>
      </c>
      <c r="T242" s="116" t="s">
        <v>101</v>
      </c>
      <c r="U242" s="102">
        <v>748133878</v>
      </c>
      <c r="V242" s="102">
        <v>20312351</v>
      </c>
      <c r="W242" s="102">
        <v>0</v>
      </c>
      <c r="X242" s="102">
        <v>0</v>
      </c>
      <c r="Y242" s="102">
        <v>768446229</v>
      </c>
      <c r="Z242" s="102">
        <v>0</v>
      </c>
      <c r="AA242" s="102">
        <v>0</v>
      </c>
      <c r="AB242" s="119">
        <v>61755703</v>
      </c>
      <c r="AC242" s="102">
        <v>61755703</v>
      </c>
      <c r="AD242" s="102">
        <v>146923255</v>
      </c>
      <c r="AE242" s="119">
        <v>146923255</v>
      </c>
      <c r="AF242" s="102">
        <v>621522974</v>
      </c>
      <c r="AG242" s="102">
        <v>0</v>
      </c>
      <c r="AH242" s="119">
        <v>61755703</v>
      </c>
      <c r="AI242" s="119">
        <v>146923255</v>
      </c>
      <c r="AJ242" s="100">
        <v>0</v>
      </c>
      <c r="AK242" s="100">
        <v>0</v>
      </c>
      <c r="AL242" s="100">
        <v>60755703</v>
      </c>
      <c r="AM242" s="100">
        <v>146923255</v>
      </c>
      <c r="AN242" s="122">
        <v>146923255</v>
      </c>
      <c r="AO242" s="100">
        <v>0</v>
      </c>
      <c r="AP242" s="102">
        <v>621522974</v>
      </c>
      <c r="AQ242" s="100">
        <v>0</v>
      </c>
      <c r="AS242" s="118">
        <f t="shared" si="62"/>
        <v>0</v>
      </c>
    </row>
    <row r="243" spans="1:45" x14ac:dyDescent="0.25">
      <c r="A243" s="109">
        <v>21811</v>
      </c>
      <c r="B243" s="110" t="s">
        <v>102</v>
      </c>
      <c r="C243" s="111">
        <f>+C244</f>
        <v>384000000</v>
      </c>
      <c r="D243" s="111">
        <v>0</v>
      </c>
      <c r="E243" s="111">
        <v>0</v>
      </c>
      <c r="F243" s="111">
        <v>0</v>
      </c>
      <c r="G243" s="111">
        <f t="shared" si="63"/>
        <v>384000000</v>
      </c>
      <c r="H243" s="111">
        <v>500000</v>
      </c>
      <c r="I243" s="111">
        <v>25224200</v>
      </c>
      <c r="J243" s="111">
        <f t="shared" si="65"/>
        <v>358775800</v>
      </c>
      <c r="K243" s="111">
        <v>500000</v>
      </c>
      <c r="L243" s="111">
        <v>25224200</v>
      </c>
      <c r="M243" s="111">
        <f t="shared" si="66"/>
        <v>0</v>
      </c>
      <c r="N243" s="111">
        <v>25224200</v>
      </c>
      <c r="O243" s="111">
        <f t="shared" si="67"/>
        <v>0</v>
      </c>
      <c r="P243" s="111">
        <f t="shared" si="68"/>
        <v>358775800</v>
      </c>
      <c r="Q243" s="111">
        <f t="shared" si="69"/>
        <v>25224200</v>
      </c>
      <c r="R243" s="100"/>
      <c r="S243" s="96">
        <v>21811</v>
      </c>
      <c r="T243" s="117" t="s">
        <v>102</v>
      </c>
      <c r="U243" s="95">
        <v>384000000</v>
      </c>
      <c r="V243" s="95">
        <v>0</v>
      </c>
      <c r="W243" s="95">
        <v>0</v>
      </c>
      <c r="X243" s="95">
        <v>0</v>
      </c>
      <c r="Y243" s="95">
        <v>384000000</v>
      </c>
      <c r="Z243" s="95">
        <v>0</v>
      </c>
      <c r="AA243" s="95">
        <v>0</v>
      </c>
      <c r="AB243" s="120">
        <v>500000</v>
      </c>
      <c r="AC243" s="95">
        <v>500000</v>
      </c>
      <c r="AD243" s="95">
        <v>25224200</v>
      </c>
      <c r="AE243" s="120">
        <v>25224200</v>
      </c>
      <c r="AF243" s="95">
        <v>358775800</v>
      </c>
      <c r="AG243" s="95">
        <v>0</v>
      </c>
      <c r="AH243" s="120">
        <v>500000</v>
      </c>
      <c r="AI243" s="120">
        <v>25224200</v>
      </c>
      <c r="AJ243" s="84">
        <v>0</v>
      </c>
      <c r="AK243" s="84">
        <v>0</v>
      </c>
      <c r="AL243" s="84">
        <v>0</v>
      </c>
      <c r="AM243" s="84">
        <v>25224200</v>
      </c>
      <c r="AN243" s="121">
        <v>25224200</v>
      </c>
      <c r="AO243" s="84">
        <v>0</v>
      </c>
      <c r="AP243" s="95">
        <v>358775800</v>
      </c>
      <c r="AQ243" s="84">
        <v>0</v>
      </c>
      <c r="AS243" s="118">
        <f t="shared" si="62"/>
        <v>0</v>
      </c>
    </row>
    <row r="244" spans="1:45" s="100" customFormat="1" x14ac:dyDescent="0.25">
      <c r="A244" s="88">
        <v>218111</v>
      </c>
      <c r="B244" s="86" t="s">
        <v>616</v>
      </c>
      <c r="C244" s="91">
        <v>384000000</v>
      </c>
      <c r="D244" s="91">
        <v>0</v>
      </c>
      <c r="E244" s="91">
        <v>0</v>
      </c>
      <c r="F244" s="91">
        <v>0</v>
      </c>
      <c r="G244" s="91">
        <f t="shared" si="63"/>
        <v>384000000</v>
      </c>
      <c r="H244" s="91">
        <v>500000</v>
      </c>
      <c r="I244" s="91">
        <v>25224200</v>
      </c>
      <c r="J244" s="91">
        <f t="shared" si="65"/>
        <v>358775800</v>
      </c>
      <c r="K244" s="91">
        <v>500000</v>
      </c>
      <c r="L244" s="91">
        <v>25224200</v>
      </c>
      <c r="M244" s="91">
        <f t="shared" si="66"/>
        <v>0</v>
      </c>
      <c r="N244" s="91">
        <v>25224200</v>
      </c>
      <c r="O244" s="91">
        <f t="shared" si="67"/>
        <v>0</v>
      </c>
      <c r="P244" s="91">
        <f t="shared" si="68"/>
        <v>358775800</v>
      </c>
      <c r="Q244" s="91">
        <f t="shared" si="69"/>
        <v>25224200</v>
      </c>
      <c r="R244" s="84"/>
      <c r="S244" s="101">
        <v>218111</v>
      </c>
      <c r="T244" s="116" t="s">
        <v>769</v>
      </c>
      <c r="U244" s="102">
        <v>384000000</v>
      </c>
      <c r="V244" s="102">
        <v>0</v>
      </c>
      <c r="W244" s="102">
        <v>0</v>
      </c>
      <c r="X244" s="102">
        <v>0</v>
      </c>
      <c r="Y244" s="102">
        <v>384000000</v>
      </c>
      <c r="Z244" s="102">
        <v>0</v>
      </c>
      <c r="AA244" s="102">
        <v>0</v>
      </c>
      <c r="AB244" s="119">
        <v>500000</v>
      </c>
      <c r="AC244" s="102">
        <v>500000</v>
      </c>
      <c r="AD244" s="102">
        <v>25224200</v>
      </c>
      <c r="AE244" s="119">
        <v>25224200</v>
      </c>
      <c r="AF244" s="102">
        <v>358775800</v>
      </c>
      <c r="AG244" s="102">
        <v>0</v>
      </c>
      <c r="AH244" s="119">
        <v>500000</v>
      </c>
      <c r="AI244" s="119">
        <v>25224200</v>
      </c>
      <c r="AJ244" s="100">
        <v>0</v>
      </c>
      <c r="AK244" s="100">
        <v>0</v>
      </c>
      <c r="AL244" s="100">
        <v>0</v>
      </c>
      <c r="AM244" s="100">
        <v>25224200</v>
      </c>
      <c r="AN244" s="122">
        <v>25224200</v>
      </c>
      <c r="AO244" s="100">
        <v>0</v>
      </c>
      <c r="AP244" s="102">
        <v>358775800</v>
      </c>
      <c r="AQ244" s="100">
        <v>0</v>
      </c>
      <c r="AS244" s="118">
        <f t="shared" si="62"/>
        <v>0</v>
      </c>
    </row>
    <row r="245" spans="1:45" x14ac:dyDescent="0.25">
      <c r="A245" s="109">
        <v>21812</v>
      </c>
      <c r="B245" s="110" t="s">
        <v>103</v>
      </c>
      <c r="C245" s="111">
        <f>+C246+C247</f>
        <v>364133878</v>
      </c>
      <c r="D245" s="111">
        <v>20000000</v>
      </c>
      <c r="E245" s="111">
        <v>0</v>
      </c>
      <c r="F245" s="111">
        <v>0</v>
      </c>
      <c r="G245" s="111">
        <f t="shared" si="63"/>
        <v>384133878</v>
      </c>
      <c r="H245" s="111">
        <v>60943352</v>
      </c>
      <c r="I245" s="111">
        <v>121386704</v>
      </c>
      <c r="J245" s="111">
        <f t="shared" si="65"/>
        <v>262747174</v>
      </c>
      <c r="K245" s="111">
        <v>60943352</v>
      </c>
      <c r="L245" s="111">
        <v>121386704</v>
      </c>
      <c r="M245" s="111">
        <f t="shared" si="66"/>
        <v>0</v>
      </c>
      <c r="N245" s="111">
        <v>121386704</v>
      </c>
      <c r="O245" s="111">
        <f t="shared" si="67"/>
        <v>0</v>
      </c>
      <c r="P245" s="111">
        <f t="shared" si="68"/>
        <v>262747174</v>
      </c>
      <c r="Q245" s="111">
        <f t="shared" si="69"/>
        <v>121386704</v>
      </c>
      <c r="R245" s="100"/>
      <c r="S245" s="96">
        <v>21812</v>
      </c>
      <c r="T245" s="117" t="s">
        <v>103</v>
      </c>
      <c r="U245" s="95">
        <v>364133878</v>
      </c>
      <c r="V245" s="95">
        <v>20000000</v>
      </c>
      <c r="W245" s="95">
        <v>0</v>
      </c>
      <c r="X245" s="95">
        <v>0</v>
      </c>
      <c r="Y245" s="95">
        <v>384133878</v>
      </c>
      <c r="Z245" s="95">
        <v>0</v>
      </c>
      <c r="AA245" s="95">
        <v>0</v>
      </c>
      <c r="AB245" s="120">
        <v>60943352</v>
      </c>
      <c r="AC245" s="95">
        <v>60943352</v>
      </c>
      <c r="AD245" s="95">
        <v>121386704</v>
      </c>
      <c r="AE245" s="120">
        <v>121386704</v>
      </c>
      <c r="AF245" s="95">
        <v>262747174</v>
      </c>
      <c r="AG245" s="95">
        <v>0</v>
      </c>
      <c r="AH245" s="120">
        <v>60943352</v>
      </c>
      <c r="AI245" s="120">
        <v>121386704</v>
      </c>
      <c r="AJ245" s="84">
        <v>0</v>
      </c>
      <c r="AK245" s="84">
        <v>0</v>
      </c>
      <c r="AL245" s="84">
        <v>60443352</v>
      </c>
      <c r="AM245" s="84">
        <v>121386704</v>
      </c>
      <c r="AN245" s="121">
        <v>121386704</v>
      </c>
      <c r="AO245" s="84">
        <v>0</v>
      </c>
      <c r="AP245" s="95">
        <v>262747174</v>
      </c>
      <c r="AQ245" s="84">
        <v>0</v>
      </c>
      <c r="AS245" s="118">
        <f t="shared" si="62"/>
        <v>0</v>
      </c>
    </row>
    <row r="246" spans="1:45" x14ac:dyDescent="0.25">
      <c r="A246" s="88">
        <v>2181202</v>
      </c>
      <c r="B246" s="86" t="s">
        <v>828</v>
      </c>
      <c r="C246" s="91"/>
      <c r="D246" s="91">
        <v>20000000</v>
      </c>
      <c r="E246" s="91">
        <v>0</v>
      </c>
      <c r="F246" s="91">
        <v>0</v>
      </c>
      <c r="G246" s="91">
        <f t="shared" si="63"/>
        <v>20000000</v>
      </c>
      <c r="H246" s="91">
        <v>500000</v>
      </c>
      <c r="I246" s="91">
        <v>500000</v>
      </c>
      <c r="J246" s="91"/>
      <c r="K246" s="91">
        <v>500000</v>
      </c>
      <c r="L246" s="91">
        <v>500000</v>
      </c>
      <c r="M246" s="91"/>
      <c r="N246" s="91">
        <v>500000</v>
      </c>
      <c r="O246" s="91"/>
      <c r="P246" s="91"/>
      <c r="Q246" s="91"/>
      <c r="S246" s="96">
        <v>2181202</v>
      </c>
      <c r="T246" s="117" t="s">
        <v>828</v>
      </c>
      <c r="U246" s="95">
        <v>0</v>
      </c>
      <c r="V246" s="95">
        <v>20000000</v>
      </c>
      <c r="W246" s="95">
        <v>0</v>
      </c>
      <c r="X246" s="95">
        <v>0</v>
      </c>
      <c r="Y246" s="95">
        <v>20000000</v>
      </c>
      <c r="Z246" s="95">
        <v>0</v>
      </c>
      <c r="AA246" s="95">
        <v>0</v>
      </c>
      <c r="AB246" s="120">
        <v>500000</v>
      </c>
      <c r="AC246" s="95">
        <v>500000</v>
      </c>
      <c r="AD246" s="95">
        <v>500000</v>
      </c>
      <c r="AE246" s="120">
        <v>500000</v>
      </c>
      <c r="AF246" s="95">
        <v>19500000</v>
      </c>
      <c r="AG246" s="95">
        <v>0</v>
      </c>
      <c r="AH246" s="120">
        <v>500000</v>
      </c>
      <c r="AI246" s="120">
        <v>500000</v>
      </c>
      <c r="AJ246" s="84">
        <v>0</v>
      </c>
      <c r="AK246" s="84">
        <v>0</v>
      </c>
      <c r="AL246" s="84">
        <v>0</v>
      </c>
      <c r="AM246" s="84">
        <v>500000</v>
      </c>
      <c r="AN246" s="121">
        <v>500000</v>
      </c>
      <c r="AO246" s="84">
        <v>0</v>
      </c>
      <c r="AP246" s="95">
        <v>19500000</v>
      </c>
      <c r="AQ246" s="84">
        <v>0</v>
      </c>
      <c r="AS246" s="118">
        <f t="shared" si="62"/>
        <v>0</v>
      </c>
    </row>
    <row r="247" spans="1:45" s="100" customFormat="1" x14ac:dyDescent="0.25">
      <c r="A247" s="88">
        <v>218121</v>
      </c>
      <c r="B247" s="86" t="s">
        <v>617</v>
      </c>
      <c r="C247" s="91">
        <v>364133878</v>
      </c>
      <c r="D247" s="91">
        <v>0</v>
      </c>
      <c r="E247" s="91">
        <v>0</v>
      </c>
      <c r="F247" s="91">
        <v>0</v>
      </c>
      <c r="G247" s="91">
        <f t="shared" si="63"/>
        <v>364133878</v>
      </c>
      <c r="H247" s="91">
        <v>60443352</v>
      </c>
      <c r="I247" s="91">
        <v>120886704</v>
      </c>
      <c r="J247" s="91">
        <f t="shared" si="65"/>
        <v>243247174</v>
      </c>
      <c r="K247" s="91">
        <v>60443352</v>
      </c>
      <c r="L247" s="91">
        <v>120886704</v>
      </c>
      <c r="M247" s="91">
        <f t="shared" si="66"/>
        <v>0</v>
      </c>
      <c r="N247" s="91">
        <v>120886704</v>
      </c>
      <c r="O247" s="91">
        <f t="shared" si="67"/>
        <v>0</v>
      </c>
      <c r="P247" s="91">
        <f t="shared" si="68"/>
        <v>243247174</v>
      </c>
      <c r="Q247" s="91">
        <f t="shared" si="69"/>
        <v>120886704</v>
      </c>
      <c r="R247" s="84"/>
      <c r="S247" s="101">
        <v>218121</v>
      </c>
      <c r="T247" s="116" t="s">
        <v>770</v>
      </c>
      <c r="U247" s="102">
        <v>364133878</v>
      </c>
      <c r="V247" s="102">
        <v>0</v>
      </c>
      <c r="W247" s="102">
        <v>0</v>
      </c>
      <c r="X247" s="102">
        <v>0</v>
      </c>
      <c r="Y247" s="102">
        <v>364133878</v>
      </c>
      <c r="Z247" s="102">
        <v>0</v>
      </c>
      <c r="AA247" s="102">
        <v>0</v>
      </c>
      <c r="AB247" s="119">
        <v>60443352</v>
      </c>
      <c r="AC247" s="102">
        <v>60443352</v>
      </c>
      <c r="AD247" s="102">
        <v>120886704</v>
      </c>
      <c r="AE247" s="119">
        <v>120886704</v>
      </c>
      <c r="AF247" s="102">
        <v>243247174</v>
      </c>
      <c r="AG247" s="102">
        <v>0</v>
      </c>
      <c r="AH247" s="119">
        <v>60443352</v>
      </c>
      <c r="AI247" s="119">
        <v>120886704</v>
      </c>
      <c r="AJ247" s="100">
        <v>0</v>
      </c>
      <c r="AK247" s="100">
        <v>0</v>
      </c>
      <c r="AL247" s="100">
        <v>60443352</v>
      </c>
      <c r="AM247" s="100">
        <v>120886704</v>
      </c>
      <c r="AN247" s="122">
        <v>120886704</v>
      </c>
      <c r="AO247" s="100">
        <v>0</v>
      </c>
      <c r="AP247" s="102">
        <v>243247174</v>
      </c>
      <c r="AQ247" s="100">
        <v>0</v>
      </c>
      <c r="AS247" s="118">
        <f t="shared" si="62"/>
        <v>0</v>
      </c>
    </row>
    <row r="248" spans="1:45" s="100" customFormat="1" x14ac:dyDescent="0.25">
      <c r="A248" s="88">
        <v>21813</v>
      </c>
      <c r="B248" s="86" t="s">
        <v>856</v>
      </c>
      <c r="C248" s="91"/>
      <c r="D248" s="91">
        <f>+V248</f>
        <v>312351</v>
      </c>
      <c r="E248" s="91"/>
      <c r="F248" s="91"/>
      <c r="G248" s="91">
        <f t="shared" si="63"/>
        <v>312351</v>
      </c>
      <c r="H248" s="91">
        <v>312351</v>
      </c>
      <c r="I248" s="91">
        <v>312351</v>
      </c>
      <c r="J248" s="91"/>
      <c r="K248" s="91">
        <v>312351</v>
      </c>
      <c r="L248" s="91">
        <v>312351</v>
      </c>
      <c r="M248" s="91"/>
      <c r="N248" s="91">
        <v>312351</v>
      </c>
      <c r="O248" s="91"/>
      <c r="P248" s="91"/>
      <c r="Q248" s="91"/>
      <c r="R248" s="84"/>
      <c r="S248" s="101">
        <v>21813</v>
      </c>
      <c r="T248" s="116" t="s">
        <v>856</v>
      </c>
      <c r="U248" s="102">
        <v>0</v>
      </c>
      <c r="V248" s="102">
        <v>312351</v>
      </c>
      <c r="W248" s="102">
        <v>0</v>
      </c>
      <c r="X248" s="102">
        <v>0</v>
      </c>
      <c r="Y248" s="102">
        <v>312351</v>
      </c>
      <c r="Z248" s="102">
        <v>0</v>
      </c>
      <c r="AA248" s="102">
        <v>0</v>
      </c>
      <c r="AB248" s="119">
        <v>312351</v>
      </c>
      <c r="AC248" s="102">
        <v>312351</v>
      </c>
      <c r="AD248" s="102">
        <v>312351</v>
      </c>
      <c r="AE248" s="119">
        <v>312351</v>
      </c>
      <c r="AF248" s="102">
        <v>0</v>
      </c>
      <c r="AG248" s="102">
        <v>0</v>
      </c>
      <c r="AH248" s="119">
        <v>312351</v>
      </c>
      <c r="AI248" s="119">
        <v>312351</v>
      </c>
      <c r="AJ248" s="100">
        <v>0</v>
      </c>
      <c r="AK248" s="100">
        <v>0</v>
      </c>
      <c r="AL248" s="100">
        <v>312351</v>
      </c>
      <c r="AM248" s="100">
        <v>312351</v>
      </c>
      <c r="AN248" s="122">
        <v>312351</v>
      </c>
      <c r="AO248" s="100">
        <v>0</v>
      </c>
      <c r="AP248" s="102">
        <v>0</v>
      </c>
      <c r="AQ248" s="100">
        <v>0</v>
      </c>
      <c r="AS248" s="118">
        <f t="shared" si="62"/>
        <v>0</v>
      </c>
    </row>
    <row r="249" spans="1:45" s="100" customFormat="1" x14ac:dyDescent="0.25">
      <c r="A249" s="103">
        <v>23</v>
      </c>
      <c r="B249" s="104" t="s">
        <v>104</v>
      </c>
      <c r="C249" s="105">
        <f>+C250+C279+C313+C318+C326</f>
        <v>10950809240</v>
      </c>
      <c r="D249" s="105">
        <v>4866721446</v>
      </c>
      <c r="E249" s="105">
        <v>4866721446</v>
      </c>
      <c r="F249" s="105">
        <v>20069548853.469997</v>
      </c>
      <c r="G249" s="105">
        <f t="shared" si="63"/>
        <v>31020358093.469997</v>
      </c>
      <c r="H249" s="105">
        <v>1950533295.8399999</v>
      </c>
      <c r="I249" s="105">
        <v>3290597161.9400001</v>
      </c>
      <c r="J249" s="105">
        <f t="shared" si="65"/>
        <v>27729760931.529999</v>
      </c>
      <c r="K249" s="105">
        <v>691773384</v>
      </c>
      <c r="L249" s="105">
        <v>964191081</v>
      </c>
      <c r="M249" s="105">
        <f t="shared" si="66"/>
        <v>2326406080.9400001</v>
      </c>
      <c r="N249" s="105">
        <v>7851633754.1000004</v>
      </c>
      <c r="O249" s="105">
        <f t="shared" si="67"/>
        <v>4561036592.1599998</v>
      </c>
      <c r="P249" s="105">
        <f t="shared" si="68"/>
        <v>23168724339.369995</v>
      </c>
      <c r="Q249" s="105">
        <f t="shared" si="69"/>
        <v>964191081</v>
      </c>
      <c r="S249" s="101">
        <v>23</v>
      </c>
      <c r="T249" s="116" t="s">
        <v>104</v>
      </c>
      <c r="U249" s="102">
        <v>10950809240</v>
      </c>
      <c r="V249" s="102">
        <v>4866721446</v>
      </c>
      <c r="W249" s="102">
        <v>2182569021</v>
      </c>
      <c r="X249" s="102">
        <v>15170368339.470001</v>
      </c>
      <c r="Y249" s="102">
        <v>28805330004.470001</v>
      </c>
      <c r="Z249" s="102">
        <v>12389359</v>
      </c>
      <c r="AA249" s="102">
        <v>6018085</v>
      </c>
      <c r="AB249" s="119">
        <v>1950533295.8399999</v>
      </c>
      <c r="AC249" s="102">
        <v>1944515210.8399999</v>
      </c>
      <c r="AD249" s="102">
        <v>3302986520.9400001</v>
      </c>
      <c r="AE249" s="119">
        <v>3290597161.9400001</v>
      </c>
      <c r="AF249" s="102">
        <v>25514732842.530003</v>
      </c>
      <c r="AG249" s="102">
        <v>7748188</v>
      </c>
      <c r="AH249" s="119">
        <v>691773384</v>
      </c>
      <c r="AI249" s="119">
        <v>964191081</v>
      </c>
      <c r="AJ249" s="100">
        <v>2334154268.9400001</v>
      </c>
      <c r="AK249" s="100">
        <v>13302359</v>
      </c>
      <c r="AL249" s="100">
        <v>3033065741</v>
      </c>
      <c r="AM249" s="100">
        <v>7864936113.1000004</v>
      </c>
      <c r="AN249" s="122">
        <v>7851633754.1000004</v>
      </c>
      <c r="AO249" s="100">
        <v>4561036592.1599998</v>
      </c>
      <c r="AP249" s="102">
        <v>20953696250.370003</v>
      </c>
      <c r="AQ249" s="100">
        <v>0</v>
      </c>
      <c r="AS249" s="118">
        <f t="shared" si="62"/>
        <v>2684152425</v>
      </c>
    </row>
    <row r="250" spans="1:45" x14ac:dyDescent="0.25">
      <c r="A250" s="103">
        <v>231</v>
      </c>
      <c r="B250" s="104" t="s">
        <v>105</v>
      </c>
      <c r="C250" s="105">
        <f>+C251+C254+C258+C274+C277</f>
        <v>4085000000</v>
      </c>
      <c r="D250" s="105">
        <v>0</v>
      </c>
      <c r="E250" s="105">
        <v>0</v>
      </c>
      <c r="F250" s="105">
        <v>6344302256</v>
      </c>
      <c r="G250" s="105">
        <f t="shared" si="63"/>
        <v>10429302256</v>
      </c>
      <c r="H250" s="105">
        <v>895133110</v>
      </c>
      <c r="I250" s="105">
        <v>1166378599</v>
      </c>
      <c r="J250" s="105">
        <f t="shared" si="65"/>
        <v>9262923657</v>
      </c>
      <c r="K250" s="105">
        <v>365246182</v>
      </c>
      <c r="L250" s="105">
        <v>527534782</v>
      </c>
      <c r="M250" s="105">
        <f t="shared" si="66"/>
        <v>638843817</v>
      </c>
      <c r="N250" s="105">
        <v>3546155172</v>
      </c>
      <c r="O250" s="105">
        <f t="shared" si="67"/>
        <v>2379776573</v>
      </c>
      <c r="P250" s="105">
        <f t="shared" si="68"/>
        <v>6883147084</v>
      </c>
      <c r="Q250" s="105">
        <f t="shared" si="69"/>
        <v>527534782</v>
      </c>
      <c r="R250" s="100"/>
      <c r="S250" s="96">
        <v>231</v>
      </c>
      <c r="T250" s="117" t="s">
        <v>105</v>
      </c>
      <c r="U250" s="95">
        <v>4085000000</v>
      </c>
      <c r="V250" s="95">
        <v>0</v>
      </c>
      <c r="W250" s="95">
        <v>0</v>
      </c>
      <c r="X250" s="95">
        <v>6344302256</v>
      </c>
      <c r="Y250" s="95">
        <v>10429302256</v>
      </c>
      <c r="Z250" s="95">
        <v>7748188</v>
      </c>
      <c r="AA250" s="95">
        <v>1376914</v>
      </c>
      <c r="AB250" s="120">
        <v>895133110</v>
      </c>
      <c r="AC250" s="95">
        <v>893756196</v>
      </c>
      <c r="AD250" s="95">
        <v>1174126787</v>
      </c>
      <c r="AE250" s="120">
        <v>1166378599</v>
      </c>
      <c r="AF250" s="95">
        <v>9262923657</v>
      </c>
      <c r="AG250" s="95">
        <v>7748188</v>
      </c>
      <c r="AH250" s="120">
        <v>365246182</v>
      </c>
      <c r="AI250" s="120">
        <v>527534782</v>
      </c>
      <c r="AJ250" s="84">
        <v>646592005</v>
      </c>
      <c r="AK250" s="84">
        <v>7748188</v>
      </c>
      <c r="AL250" s="84">
        <v>1423592163</v>
      </c>
      <c r="AM250" s="84">
        <v>3553903360</v>
      </c>
      <c r="AN250" s="121">
        <v>3546155172</v>
      </c>
      <c r="AO250" s="84">
        <v>2379776573</v>
      </c>
      <c r="AP250" s="95">
        <v>6883147084</v>
      </c>
      <c r="AQ250" s="84">
        <v>0</v>
      </c>
      <c r="AS250" s="118">
        <f t="shared" si="62"/>
        <v>0</v>
      </c>
    </row>
    <row r="251" spans="1:45" x14ac:dyDescent="0.25">
      <c r="A251" s="103">
        <v>2311</v>
      </c>
      <c r="B251" s="104" t="s">
        <v>106</v>
      </c>
      <c r="C251" s="105">
        <f>+C252+C253</f>
        <v>515000000</v>
      </c>
      <c r="D251" s="105">
        <v>0</v>
      </c>
      <c r="E251" s="105">
        <v>0</v>
      </c>
      <c r="F251" s="105">
        <v>0</v>
      </c>
      <c r="G251" s="105">
        <f t="shared" si="63"/>
        <v>515000000</v>
      </c>
      <c r="H251" s="105">
        <v>0</v>
      </c>
      <c r="I251" s="105">
        <v>44605347</v>
      </c>
      <c r="J251" s="105">
        <f t="shared" si="65"/>
        <v>470394653</v>
      </c>
      <c r="K251" s="105">
        <v>0</v>
      </c>
      <c r="L251" s="105">
        <v>44605347</v>
      </c>
      <c r="M251" s="105">
        <f t="shared" si="66"/>
        <v>0</v>
      </c>
      <c r="N251" s="105">
        <v>84605347</v>
      </c>
      <c r="O251" s="105">
        <f t="shared" si="67"/>
        <v>40000000</v>
      </c>
      <c r="P251" s="105">
        <f t="shared" si="68"/>
        <v>430394653</v>
      </c>
      <c r="Q251" s="105">
        <f t="shared" si="69"/>
        <v>44605347</v>
      </c>
      <c r="R251" s="100"/>
      <c r="S251" s="96">
        <v>2311</v>
      </c>
      <c r="T251" s="117" t="s">
        <v>106</v>
      </c>
      <c r="U251" s="95">
        <v>515000000</v>
      </c>
      <c r="V251" s="95">
        <v>0</v>
      </c>
      <c r="W251" s="95">
        <v>0</v>
      </c>
      <c r="X251" s="95">
        <v>0</v>
      </c>
      <c r="Y251" s="95">
        <v>515000000</v>
      </c>
      <c r="Z251" s="95">
        <v>0</v>
      </c>
      <c r="AA251" s="95">
        <v>0</v>
      </c>
      <c r="AB251" s="120">
        <v>0</v>
      </c>
      <c r="AC251" s="95">
        <v>0</v>
      </c>
      <c r="AD251" s="95">
        <v>44605347</v>
      </c>
      <c r="AE251" s="120">
        <v>44605347</v>
      </c>
      <c r="AF251" s="95">
        <v>470394653</v>
      </c>
      <c r="AG251" s="95">
        <v>0</v>
      </c>
      <c r="AH251" s="120">
        <v>0</v>
      </c>
      <c r="AI251" s="120">
        <v>44605347</v>
      </c>
      <c r="AJ251" s="84">
        <v>0</v>
      </c>
      <c r="AK251" s="84">
        <v>0</v>
      </c>
      <c r="AL251" s="84">
        <v>40000000</v>
      </c>
      <c r="AM251" s="84">
        <v>84605347</v>
      </c>
      <c r="AN251" s="121">
        <v>84605347</v>
      </c>
      <c r="AO251" s="84">
        <v>40000000</v>
      </c>
      <c r="AP251" s="95">
        <v>430394653</v>
      </c>
      <c r="AQ251" s="84">
        <v>0</v>
      </c>
      <c r="AS251" s="118">
        <f t="shared" si="62"/>
        <v>0</v>
      </c>
    </row>
    <row r="252" spans="1:45" s="100" customFormat="1" x14ac:dyDescent="0.25">
      <c r="A252" s="129">
        <v>23112</v>
      </c>
      <c r="B252" s="86" t="s">
        <v>618</v>
      </c>
      <c r="C252" s="91">
        <v>190000000</v>
      </c>
      <c r="D252" s="91">
        <v>0</v>
      </c>
      <c r="E252" s="91">
        <v>0</v>
      </c>
      <c r="F252" s="91">
        <v>0</v>
      </c>
      <c r="G252" s="91">
        <f t="shared" si="63"/>
        <v>190000000</v>
      </c>
      <c r="H252" s="91">
        <v>0</v>
      </c>
      <c r="I252" s="91">
        <v>0</v>
      </c>
      <c r="J252" s="91">
        <f t="shared" si="65"/>
        <v>190000000</v>
      </c>
      <c r="K252" s="91">
        <v>0</v>
      </c>
      <c r="L252" s="91">
        <v>0</v>
      </c>
      <c r="M252" s="91">
        <f t="shared" si="66"/>
        <v>0</v>
      </c>
      <c r="N252" s="91">
        <v>0</v>
      </c>
      <c r="O252" s="91">
        <f t="shared" si="67"/>
        <v>0</v>
      </c>
      <c r="P252" s="91">
        <f t="shared" si="68"/>
        <v>190000000</v>
      </c>
      <c r="Q252" s="91">
        <f t="shared" si="69"/>
        <v>0</v>
      </c>
      <c r="R252" s="84"/>
      <c r="S252" s="101">
        <v>23112</v>
      </c>
      <c r="T252" s="116" t="s">
        <v>771</v>
      </c>
      <c r="U252" s="102">
        <v>190000000</v>
      </c>
      <c r="V252" s="102">
        <v>0</v>
      </c>
      <c r="W252" s="102">
        <v>0</v>
      </c>
      <c r="X252" s="102">
        <v>0</v>
      </c>
      <c r="Y252" s="102">
        <v>190000000</v>
      </c>
      <c r="Z252" s="102">
        <v>0</v>
      </c>
      <c r="AA252" s="102">
        <v>0</v>
      </c>
      <c r="AB252" s="119">
        <v>0</v>
      </c>
      <c r="AC252" s="102">
        <v>0</v>
      </c>
      <c r="AD252" s="102">
        <v>0</v>
      </c>
      <c r="AE252" s="119">
        <v>0</v>
      </c>
      <c r="AF252" s="102">
        <v>190000000</v>
      </c>
      <c r="AG252" s="102">
        <v>0</v>
      </c>
      <c r="AH252" s="119">
        <v>0</v>
      </c>
      <c r="AI252" s="119">
        <v>0</v>
      </c>
      <c r="AJ252" s="100">
        <v>0</v>
      </c>
      <c r="AK252" s="100">
        <v>0</v>
      </c>
      <c r="AL252" s="100">
        <v>0</v>
      </c>
      <c r="AM252" s="100">
        <v>0</v>
      </c>
      <c r="AN252" s="122">
        <v>0</v>
      </c>
      <c r="AO252" s="100">
        <v>0</v>
      </c>
      <c r="AP252" s="102">
        <v>190000000</v>
      </c>
      <c r="AQ252" s="100">
        <v>0</v>
      </c>
      <c r="AS252" s="118">
        <f t="shared" si="62"/>
        <v>0</v>
      </c>
    </row>
    <row r="253" spans="1:45" s="100" customFormat="1" x14ac:dyDescent="0.25">
      <c r="A253" s="129">
        <v>23113</v>
      </c>
      <c r="B253" s="86" t="s">
        <v>644</v>
      </c>
      <c r="C253" s="91">
        <v>325000000</v>
      </c>
      <c r="D253" s="91">
        <v>0</v>
      </c>
      <c r="E253" s="91">
        <v>0</v>
      </c>
      <c r="F253" s="91">
        <v>0</v>
      </c>
      <c r="G253" s="91">
        <f t="shared" si="63"/>
        <v>325000000</v>
      </c>
      <c r="H253" s="91">
        <v>0</v>
      </c>
      <c r="I253" s="91">
        <v>44605347</v>
      </c>
      <c r="J253" s="91">
        <f t="shared" si="65"/>
        <v>280394653</v>
      </c>
      <c r="K253" s="91">
        <v>0</v>
      </c>
      <c r="L253" s="91">
        <v>44605347</v>
      </c>
      <c r="M253" s="91">
        <f t="shared" si="66"/>
        <v>0</v>
      </c>
      <c r="N253" s="91">
        <v>84605347</v>
      </c>
      <c r="O253" s="91">
        <f t="shared" si="67"/>
        <v>40000000</v>
      </c>
      <c r="P253" s="91">
        <f t="shared" si="68"/>
        <v>240394653</v>
      </c>
      <c r="Q253" s="91">
        <f t="shared" si="69"/>
        <v>44605347</v>
      </c>
      <c r="R253" s="84"/>
      <c r="S253" s="101">
        <v>23113</v>
      </c>
      <c r="T253" s="116" t="s">
        <v>772</v>
      </c>
      <c r="U253" s="102">
        <v>325000000</v>
      </c>
      <c r="V253" s="102">
        <v>0</v>
      </c>
      <c r="W253" s="102">
        <v>0</v>
      </c>
      <c r="X253" s="102">
        <v>0</v>
      </c>
      <c r="Y253" s="102">
        <v>325000000</v>
      </c>
      <c r="Z253" s="102">
        <v>0</v>
      </c>
      <c r="AA253" s="102">
        <v>0</v>
      </c>
      <c r="AB253" s="119">
        <v>0</v>
      </c>
      <c r="AC253" s="102">
        <v>0</v>
      </c>
      <c r="AD253" s="102">
        <v>44605347</v>
      </c>
      <c r="AE253" s="119">
        <v>44605347</v>
      </c>
      <c r="AF253" s="102">
        <v>280394653</v>
      </c>
      <c r="AG253" s="102">
        <v>0</v>
      </c>
      <c r="AH253" s="119">
        <v>0</v>
      </c>
      <c r="AI253" s="119">
        <v>44605347</v>
      </c>
      <c r="AJ253" s="100">
        <v>0</v>
      </c>
      <c r="AK253" s="100">
        <v>0</v>
      </c>
      <c r="AL253" s="100">
        <v>40000000</v>
      </c>
      <c r="AM253" s="100">
        <v>84605347</v>
      </c>
      <c r="AN253" s="122">
        <v>84605347</v>
      </c>
      <c r="AO253" s="100">
        <v>40000000</v>
      </c>
      <c r="AP253" s="102">
        <v>240394653</v>
      </c>
      <c r="AQ253" s="100">
        <v>0</v>
      </c>
      <c r="AS253" s="118">
        <f t="shared" si="62"/>
        <v>0</v>
      </c>
    </row>
    <row r="254" spans="1:45" x14ac:dyDescent="0.25">
      <c r="A254" s="103">
        <v>2312</v>
      </c>
      <c r="B254" s="104" t="s">
        <v>107</v>
      </c>
      <c r="C254" s="105">
        <f>+C255+C257</f>
        <v>1850000000</v>
      </c>
      <c r="D254" s="105">
        <v>0</v>
      </c>
      <c r="E254" s="105">
        <v>0</v>
      </c>
      <c r="F254" s="105">
        <v>400000000</v>
      </c>
      <c r="G254" s="105">
        <f t="shared" si="63"/>
        <v>2250000000</v>
      </c>
      <c r="H254" s="105">
        <v>17366599</v>
      </c>
      <c r="I254" s="105">
        <v>41605245</v>
      </c>
      <c r="J254" s="105">
        <f t="shared" si="65"/>
        <v>2208394755</v>
      </c>
      <c r="K254" s="105">
        <v>1888989</v>
      </c>
      <c r="L254" s="105">
        <v>31283406</v>
      </c>
      <c r="M254" s="105">
        <f t="shared" si="66"/>
        <v>10321839</v>
      </c>
      <c r="N254" s="105">
        <v>372705245</v>
      </c>
      <c r="O254" s="105">
        <f t="shared" si="67"/>
        <v>331100000</v>
      </c>
      <c r="P254" s="105">
        <f t="shared" si="68"/>
        <v>1877294755</v>
      </c>
      <c r="Q254" s="105">
        <f t="shared" si="69"/>
        <v>31283406</v>
      </c>
      <c r="R254" s="100"/>
      <c r="S254" s="96">
        <v>2312</v>
      </c>
      <c r="T254" s="117" t="s">
        <v>107</v>
      </c>
      <c r="U254" s="95">
        <v>1850000000</v>
      </c>
      <c r="V254" s="95">
        <v>0</v>
      </c>
      <c r="W254" s="95">
        <v>0</v>
      </c>
      <c r="X254" s="95">
        <v>400000000</v>
      </c>
      <c r="Y254" s="95">
        <v>2250000000</v>
      </c>
      <c r="Z254" s="95">
        <v>6896184</v>
      </c>
      <c r="AA254" s="95">
        <v>931894</v>
      </c>
      <c r="AB254" s="120">
        <v>17366599</v>
      </c>
      <c r="AC254" s="95">
        <v>16434705</v>
      </c>
      <c r="AD254" s="95">
        <v>48501429</v>
      </c>
      <c r="AE254" s="120">
        <v>41605245</v>
      </c>
      <c r="AF254" s="95">
        <v>2208394755</v>
      </c>
      <c r="AG254" s="95">
        <v>6896184</v>
      </c>
      <c r="AH254" s="120">
        <v>1888989</v>
      </c>
      <c r="AI254" s="120">
        <v>31283406</v>
      </c>
      <c r="AJ254" s="84">
        <v>17218023</v>
      </c>
      <c r="AK254" s="84">
        <v>6896184</v>
      </c>
      <c r="AL254" s="84">
        <v>17366599</v>
      </c>
      <c r="AM254" s="84">
        <v>379601429</v>
      </c>
      <c r="AN254" s="121">
        <v>372705245</v>
      </c>
      <c r="AO254" s="84">
        <v>331100000</v>
      </c>
      <c r="AP254" s="95">
        <v>1877294755</v>
      </c>
      <c r="AQ254" s="84">
        <v>0</v>
      </c>
      <c r="AS254" s="118">
        <f t="shared" si="62"/>
        <v>0</v>
      </c>
    </row>
    <row r="255" spans="1:45" x14ac:dyDescent="0.25">
      <c r="A255" s="109">
        <v>23122</v>
      </c>
      <c r="B255" s="110" t="s">
        <v>108</v>
      </c>
      <c r="C255" s="111">
        <f>+C256</f>
        <v>1400000000</v>
      </c>
      <c r="D255" s="111">
        <v>0</v>
      </c>
      <c r="E255" s="111">
        <v>0</v>
      </c>
      <c r="F255" s="111">
        <v>400000000</v>
      </c>
      <c r="G255" s="111">
        <f t="shared" si="63"/>
        <v>1800000000</v>
      </c>
      <c r="H255" s="111">
        <v>17366599</v>
      </c>
      <c r="I255" s="111">
        <v>40593745</v>
      </c>
      <c r="J255" s="111">
        <f t="shared" si="65"/>
        <v>1759406255</v>
      </c>
      <c r="K255" s="111">
        <v>1888989</v>
      </c>
      <c r="L255" s="111">
        <v>30271906</v>
      </c>
      <c r="M255" s="111">
        <f t="shared" si="66"/>
        <v>10321839</v>
      </c>
      <c r="N255" s="111">
        <v>365593745</v>
      </c>
      <c r="O255" s="111">
        <f t="shared" si="67"/>
        <v>325000000</v>
      </c>
      <c r="P255" s="111">
        <f t="shared" si="68"/>
        <v>1434406255</v>
      </c>
      <c r="Q255" s="111">
        <f t="shared" si="69"/>
        <v>30271906</v>
      </c>
      <c r="R255" s="100"/>
      <c r="S255" s="96">
        <v>23122</v>
      </c>
      <c r="T255" s="117" t="s">
        <v>108</v>
      </c>
      <c r="U255" s="95">
        <v>1400000000</v>
      </c>
      <c r="V255" s="95">
        <v>0</v>
      </c>
      <c r="W255" s="95">
        <v>0</v>
      </c>
      <c r="X255" s="95">
        <v>400000000</v>
      </c>
      <c r="Y255" s="95">
        <v>1800000000</v>
      </c>
      <c r="Z255" s="95">
        <v>6896184</v>
      </c>
      <c r="AA255" s="95">
        <v>931894</v>
      </c>
      <c r="AB255" s="120">
        <v>17366599</v>
      </c>
      <c r="AC255" s="95">
        <v>16434705</v>
      </c>
      <c r="AD255" s="95">
        <v>47489929</v>
      </c>
      <c r="AE255" s="120">
        <v>40593745</v>
      </c>
      <c r="AF255" s="95">
        <v>1759406255</v>
      </c>
      <c r="AG255" s="95">
        <v>6896184</v>
      </c>
      <c r="AH255" s="120">
        <v>1888989</v>
      </c>
      <c r="AI255" s="120">
        <v>30271906</v>
      </c>
      <c r="AJ255" s="84">
        <v>17218023</v>
      </c>
      <c r="AK255" s="84">
        <v>6896184</v>
      </c>
      <c r="AL255" s="84">
        <v>17366599</v>
      </c>
      <c r="AM255" s="84">
        <v>372489929</v>
      </c>
      <c r="AN255" s="121">
        <v>365593745</v>
      </c>
      <c r="AO255" s="84">
        <v>325000000</v>
      </c>
      <c r="AP255" s="95">
        <v>1434406255</v>
      </c>
      <c r="AQ255" s="84">
        <v>0</v>
      </c>
      <c r="AS255" s="118">
        <f t="shared" si="62"/>
        <v>0</v>
      </c>
    </row>
    <row r="256" spans="1:45" s="100" customFormat="1" x14ac:dyDescent="0.25">
      <c r="A256" s="134">
        <v>231221</v>
      </c>
      <c r="B256" s="86" t="s">
        <v>109</v>
      </c>
      <c r="C256" s="91">
        <v>1400000000</v>
      </c>
      <c r="D256" s="91">
        <v>0</v>
      </c>
      <c r="E256" s="91">
        <v>0</v>
      </c>
      <c r="F256" s="91">
        <v>400000000</v>
      </c>
      <c r="G256" s="91">
        <f t="shared" si="63"/>
        <v>1800000000</v>
      </c>
      <c r="H256" s="91">
        <v>17366599</v>
      </c>
      <c r="I256" s="91">
        <v>40593745</v>
      </c>
      <c r="J256" s="91">
        <f t="shared" si="65"/>
        <v>1759406255</v>
      </c>
      <c r="K256" s="91">
        <v>1888989</v>
      </c>
      <c r="L256" s="91">
        <v>30271906</v>
      </c>
      <c r="M256" s="91">
        <f t="shared" si="66"/>
        <v>10321839</v>
      </c>
      <c r="N256" s="91">
        <v>365593745</v>
      </c>
      <c r="O256" s="91">
        <f t="shared" si="67"/>
        <v>325000000</v>
      </c>
      <c r="P256" s="91">
        <f t="shared" si="68"/>
        <v>1434406255</v>
      </c>
      <c r="Q256" s="91">
        <f t="shared" si="69"/>
        <v>30271906</v>
      </c>
      <c r="R256" s="84"/>
      <c r="S256" s="101">
        <v>231221</v>
      </c>
      <c r="T256" s="116" t="s">
        <v>109</v>
      </c>
      <c r="U256" s="102">
        <v>1400000000</v>
      </c>
      <c r="V256" s="102">
        <v>0</v>
      </c>
      <c r="W256" s="102">
        <v>0</v>
      </c>
      <c r="X256" s="102">
        <v>400000000</v>
      </c>
      <c r="Y256" s="102">
        <v>1800000000</v>
      </c>
      <c r="Z256" s="102">
        <v>6896184</v>
      </c>
      <c r="AA256" s="102">
        <v>931894</v>
      </c>
      <c r="AB256" s="119">
        <v>17366599</v>
      </c>
      <c r="AC256" s="102">
        <v>16434705</v>
      </c>
      <c r="AD256" s="102">
        <v>47489929</v>
      </c>
      <c r="AE256" s="119">
        <v>40593745</v>
      </c>
      <c r="AF256" s="102">
        <v>1759406255</v>
      </c>
      <c r="AG256" s="102">
        <v>6896184</v>
      </c>
      <c r="AH256" s="119">
        <v>1888989</v>
      </c>
      <c r="AI256" s="119">
        <v>30271906</v>
      </c>
      <c r="AJ256" s="100">
        <v>17218023</v>
      </c>
      <c r="AK256" s="100">
        <v>6896184</v>
      </c>
      <c r="AL256" s="100">
        <v>17366599</v>
      </c>
      <c r="AM256" s="100">
        <v>372489929</v>
      </c>
      <c r="AN256" s="122">
        <v>365593745</v>
      </c>
      <c r="AO256" s="100">
        <v>325000000</v>
      </c>
      <c r="AP256" s="102">
        <v>1434406255</v>
      </c>
      <c r="AQ256" s="100">
        <v>0</v>
      </c>
      <c r="AS256" s="118">
        <f t="shared" si="62"/>
        <v>0</v>
      </c>
    </row>
    <row r="257" spans="1:45" s="100" customFormat="1" x14ac:dyDescent="0.25">
      <c r="A257" s="129">
        <v>23123</v>
      </c>
      <c r="B257" s="86" t="s">
        <v>619</v>
      </c>
      <c r="C257" s="91">
        <v>450000000</v>
      </c>
      <c r="D257" s="91">
        <v>0</v>
      </c>
      <c r="E257" s="91">
        <v>0</v>
      </c>
      <c r="F257" s="91">
        <v>0</v>
      </c>
      <c r="G257" s="91">
        <f t="shared" si="63"/>
        <v>450000000</v>
      </c>
      <c r="H257" s="91">
        <v>0</v>
      </c>
      <c r="I257" s="91">
        <v>1011500</v>
      </c>
      <c r="J257" s="91">
        <f t="shared" si="65"/>
        <v>448988500</v>
      </c>
      <c r="K257" s="91">
        <v>0</v>
      </c>
      <c r="L257" s="91">
        <v>1011500</v>
      </c>
      <c r="M257" s="91">
        <f t="shared" si="66"/>
        <v>0</v>
      </c>
      <c r="N257" s="91">
        <v>7111500</v>
      </c>
      <c r="O257" s="91">
        <f t="shared" si="67"/>
        <v>6100000</v>
      </c>
      <c r="P257" s="91">
        <f t="shared" si="68"/>
        <v>442888500</v>
      </c>
      <c r="Q257" s="91">
        <f t="shared" si="69"/>
        <v>1011500</v>
      </c>
      <c r="R257" s="84"/>
      <c r="S257" s="101">
        <v>23123</v>
      </c>
      <c r="T257" s="116" t="s">
        <v>773</v>
      </c>
      <c r="U257" s="102">
        <v>450000000</v>
      </c>
      <c r="V257" s="102">
        <v>0</v>
      </c>
      <c r="W257" s="102">
        <v>0</v>
      </c>
      <c r="X257" s="102">
        <v>0</v>
      </c>
      <c r="Y257" s="102">
        <v>450000000</v>
      </c>
      <c r="Z257" s="102">
        <v>0</v>
      </c>
      <c r="AA257" s="102">
        <v>0</v>
      </c>
      <c r="AB257" s="119">
        <v>0</v>
      </c>
      <c r="AC257" s="102">
        <v>0</v>
      </c>
      <c r="AD257" s="102">
        <v>1011500</v>
      </c>
      <c r="AE257" s="119">
        <v>1011500</v>
      </c>
      <c r="AF257" s="102">
        <v>448988500</v>
      </c>
      <c r="AG257" s="102">
        <v>0</v>
      </c>
      <c r="AH257" s="119">
        <v>0</v>
      </c>
      <c r="AI257" s="119">
        <v>1011500</v>
      </c>
      <c r="AJ257" s="100">
        <v>0</v>
      </c>
      <c r="AK257" s="100">
        <v>0</v>
      </c>
      <c r="AL257" s="100">
        <v>0</v>
      </c>
      <c r="AM257" s="100">
        <v>7111500</v>
      </c>
      <c r="AN257" s="122">
        <v>7111500</v>
      </c>
      <c r="AO257" s="100">
        <v>6100000</v>
      </c>
      <c r="AP257" s="102">
        <v>442888500</v>
      </c>
      <c r="AQ257" s="100">
        <v>0</v>
      </c>
      <c r="AS257" s="118">
        <f t="shared" si="62"/>
        <v>0</v>
      </c>
    </row>
    <row r="258" spans="1:45" x14ac:dyDescent="0.25">
      <c r="A258" s="103">
        <v>2315</v>
      </c>
      <c r="B258" s="104" t="s">
        <v>774</v>
      </c>
      <c r="C258" s="105">
        <f>SUM(C259:C273)</f>
        <v>650000000</v>
      </c>
      <c r="D258" s="105">
        <v>0</v>
      </c>
      <c r="E258" s="105">
        <v>0</v>
      </c>
      <c r="F258" s="105">
        <v>5944302256</v>
      </c>
      <c r="G258" s="105">
        <f t="shared" si="63"/>
        <v>6594302256</v>
      </c>
      <c r="H258" s="105">
        <v>526380204</v>
      </c>
      <c r="I258" s="105">
        <v>681531285</v>
      </c>
      <c r="J258" s="105"/>
      <c r="K258" s="105">
        <v>358220193</v>
      </c>
      <c r="L258" s="105">
        <v>408188989</v>
      </c>
      <c r="M258" s="105"/>
      <c r="N258" s="105">
        <v>2289793269</v>
      </c>
      <c r="O258" s="105"/>
      <c r="P258" s="105"/>
      <c r="Q258" s="105"/>
      <c r="R258" s="100"/>
      <c r="S258" s="96">
        <v>2315</v>
      </c>
      <c r="T258" s="117" t="s">
        <v>774</v>
      </c>
      <c r="U258" s="95">
        <v>650000000</v>
      </c>
      <c r="V258" s="95">
        <v>0</v>
      </c>
      <c r="W258" s="95">
        <v>0</v>
      </c>
      <c r="X258" s="95">
        <v>5944302256</v>
      </c>
      <c r="Y258" s="95">
        <v>6594302256</v>
      </c>
      <c r="Z258" s="95">
        <v>852004</v>
      </c>
      <c r="AA258" s="95">
        <v>445020</v>
      </c>
      <c r="AB258" s="120">
        <v>526380204</v>
      </c>
      <c r="AC258" s="95">
        <v>525935184</v>
      </c>
      <c r="AD258" s="95">
        <v>682383289</v>
      </c>
      <c r="AE258" s="120">
        <v>681531285</v>
      </c>
      <c r="AF258" s="95">
        <v>5912770971</v>
      </c>
      <c r="AG258" s="95">
        <v>852004</v>
      </c>
      <c r="AH258" s="120">
        <v>358220193</v>
      </c>
      <c r="AI258" s="120">
        <v>408188989</v>
      </c>
      <c r="AJ258" s="84">
        <v>274194300</v>
      </c>
      <c r="AK258" s="84">
        <v>852004</v>
      </c>
      <c r="AL258" s="84">
        <v>1364125564</v>
      </c>
      <c r="AM258" s="84">
        <v>2290645273</v>
      </c>
      <c r="AN258" s="121">
        <v>2289793269</v>
      </c>
      <c r="AO258" s="84">
        <v>1608261984</v>
      </c>
      <c r="AP258" s="95">
        <v>4304508987</v>
      </c>
      <c r="AQ258" s="84">
        <v>0</v>
      </c>
      <c r="AS258" s="118">
        <f t="shared" si="62"/>
        <v>0</v>
      </c>
    </row>
    <row r="259" spans="1:45" ht="30" x14ac:dyDescent="0.25">
      <c r="A259" s="109">
        <v>23152</v>
      </c>
      <c r="B259" s="110" t="s">
        <v>110</v>
      </c>
      <c r="C259" s="111">
        <v>650000000</v>
      </c>
      <c r="D259" s="111">
        <v>0</v>
      </c>
      <c r="E259" s="111">
        <v>0</v>
      </c>
      <c r="F259" s="111">
        <v>5944302256</v>
      </c>
      <c r="G259" s="111">
        <f t="shared" si="63"/>
        <v>6594302256</v>
      </c>
      <c r="H259" s="111">
        <v>526380204</v>
      </c>
      <c r="I259" s="111">
        <v>681531285</v>
      </c>
      <c r="J259" s="111">
        <f t="shared" si="65"/>
        <v>5912770971</v>
      </c>
      <c r="K259" s="111">
        <v>358220193</v>
      </c>
      <c r="L259" s="111">
        <v>408188989</v>
      </c>
      <c r="M259" s="111">
        <f t="shared" si="66"/>
        <v>273342296</v>
      </c>
      <c r="N259" s="111">
        <v>2289793269</v>
      </c>
      <c r="O259" s="111">
        <f t="shared" si="67"/>
        <v>1608261984</v>
      </c>
      <c r="P259" s="111">
        <f t="shared" si="68"/>
        <v>4304508987</v>
      </c>
      <c r="Q259" s="111">
        <f t="shared" si="69"/>
        <v>408188989</v>
      </c>
      <c r="R259" s="100"/>
      <c r="S259" s="96">
        <v>23152</v>
      </c>
      <c r="T259" s="117" t="s">
        <v>110</v>
      </c>
      <c r="U259" s="95">
        <v>650000000</v>
      </c>
      <c r="V259" s="95">
        <v>0</v>
      </c>
      <c r="W259" s="95">
        <v>0</v>
      </c>
      <c r="X259" s="95">
        <v>5944302256</v>
      </c>
      <c r="Y259" s="95">
        <v>6594302256</v>
      </c>
      <c r="Z259" s="95">
        <v>852004</v>
      </c>
      <c r="AA259" s="95">
        <v>445020</v>
      </c>
      <c r="AB259" s="120">
        <v>526380204</v>
      </c>
      <c r="AC259" s="95">
        <v>525935184</v>
      </c>
      <c r="AD259" s="95">
        <v>682383289</v>
      </c>
      <c r="AE259" s="120">
        <v>681531285</v>
      </c>
      <c r="AF259" s="95">
        <v>5912770971</v>
      </c>
      <c r="AG259" s="95">
        <v>852004</v>
      </c>
      <c r="AH259" s="120">
        <v>358220193</v>
      </c>
      <c r="AI259" s="120">
        <v>408188989</v>
      </c>
      <c r="AJ259" s="84">
        <v>274194300</v>
      </c>
      <c r="AK259" s="84">
        <v>852004</v>
      </c>
      <c r="AL259" s="84">
        <v>1364125564</v>
      </c>
      <c r="AM259" s="84">
        <v>2290645273</v>
      </c>
      <c r="AN259" s="121">
        <v>2289793269</v>
      </c>
      <c r="AO259" s="84">
        <v>1608261984</v>
      </c>
      <c r="AP259" s="95">
        <v>4304508987</v>
      </c>
      <c r="AQ259" s="84">
        <v>0</v>
      </c>
      <c r="AS259" s="118">
        <f t="shared" si="62"/>
        <v>0</v>
      </c>
    </row>
    <row r="260" spans="1:45" x14ac:dyDescent="0.25">
      <c r="A260" s="133">
        <v>2315201</v>
      </c>
      <c r="B260" s="86" t="s">
        <v>111</v>
      </c>
      <c r="C260" s="91">
        <v>0</v>
      </c>
      <c r="D260" s="91">
        <v>0</v>
      </c>
      <c r="E260" s="91">
        <v>0</v>
      </c>
      <c r="F260" s="91">
        <v>455453475</v>
      </c>
      <c r="G260" s="91">
        <f t="shared" si="63"/>
        <v>455453475</v>
      </c>
      <c r="H260" s="91">
        <v>22977502</v>
      </c>
      <c r="I260" s="91">
        <v>24738502</v>
      </c>
      <c r="J260" s="91">
        <f t="shared" si="65"/>
        <v>430714973</v>
      </c>
      <c r="K260" s="91">
        <v>11882000</v>
      </c>
      <c r="L260" s="91">
        <v>11882000</v>
      </c>
      <c r="M260" s="91">
        <f t="shared" si="66"/>
        <v>12856502</v>
      </c>
      <c r="N260" s="91">
        <v>119254502</v>
      </c>
      <c r="O260" s="91">
        <f t="shared" si="67"/>
        <v>94516000</v>
      </c>
      <c r="P260" s="91">
        <f t="shared" si="68"/>
        <v>336198973</v>
      </c>
      <c r="Q260" s="91">
        <f t="shared" si="69"/>
        <v>11882000</v>
      </c>
      <c r="S260" s="96">
        <v>2315201</v>
      </c>
      <c r="T260" s="117" t="s">
        <v>111</v>
      </c>
      <c r="U260" s="95">
        <v>0</v>
      </c>
      <c r="V260" s="95">
        <v>0</v>
      </c>
      <c r="W260" s="95">
        <v>0</v>
      </c>
      <c r="X260" s="95">
        <v>455453475</v>
      </c>
      <c r="Y260" s="95">
        <v>455453475</v>
      </c>
      <c r="Z260" s="95">
        <v>0</v>
      </c>
      <c r="AA260" s="95">
        <v>0</v>
      </c>
      <c r="AB260" s="120">
        <v>22977502</v>
      </c>
      <c r="AC260" s="95">
        <v>22977502</v>
      </c>
      <c r="AD260" s="95">
        <v>24738502</v>
      </c>
      <c r="AE260" s="120">
        <v>24738502</v>
      </c>
      <c r="AF260" s="95">
        <v>430714973</v>
      </c>
      <c r="AG260" s="95">
        <v>0</v>
      </c>
      <c r="AH260" s="120">
        <v>11882000</v>
      </c>
      <c r="AI260" s="120">
        <v>11882000</v>
      </c>
      <c r="AJ260" s="84">
        <v>12856502</v>
      </c>
      <c r="AK260" s="84">
        <v>0</v>
      </c>
      <c r="AL260" s="84">
        <v>61637000</v>
      </c>
      <c r="AM260" s="84">
        <v>119254502</v>
      </c>
      <c r="AN260" s="121">
        <v>119254502</v>
      </c>
      <c r="AO260" s="84">
        <v>94516000</v>
      </c>
      <c r="AP260" s="95">
        <v>336198973</v>
      </c>
      <c r="AQ260" s="84">
        <v>0</v>
      </c>
      <c r="AS260" s="118">
        <f t="shared" si="62"/>
        <v>0</v>
      </c>
    </row>
    <row r="261" spans="1:45" x14ac:dyDescent="0.25">
      <c r="A261" s="133">
        <v>2315202</v>
      </c>
      <c r="B261" s="86" t="s">
        <v>620</v>
      </c>
      <c r="C261" s="91">
        <v>0</v>
      </c>
      <c r="D261" s="91">
        <v>0</v>
      </c>
      <c r="E261" s="91">
        <v>0</v>
      </c>
      <c r="F261" s="91">
        <v>493234219</v>
      </c>
      <c r="G261" s="91">
        <f t="shared" si="63"/>
        <v>493234219</v>
      </c>
      <c r="H261" s="91">
        <v>26497340</v>
      </c>
      <c r="I261" s="91">
        <v>26497340</v>
      </c>
      <c r="J261" s="91">
        <f t="shared" si="65"/>
        <v>466736879</v>
      </c>
      <c r="K261" s="91">
        <v>0</v>
      </c>
      <c r="L261" s="91">
        <v>0</v>
      </c>
      <c r="M261" s="91">
        <f t="shared" si="66"/>
        <v>26497340</v>
      </c>
      <c r="N261" s="91">
        <v>342610708</v>
      </c>
      <c r="O261" s="91">
        <f t="shared" si="67"/>
        <v>316113368</v>
      </c>
      <c r="P261" s="91">
        <f t="shared" si="68"/>
        <v>150623511</v>
      </c>
      <c r="Q261" s="91">
        <f t="shared" si="69"/>
        <v>0</v>
      </c>
      <c r="S261" s="96">
        <v>2315202</v>
      </c>
      <c r="T261" s="117" t="s">
        <v>776</v>
      </c>
      <c r="U261" s="95">
        <v>0</v>
      </c>
      <c r="V261" s="95">
        <v>0</v>
      </c>
      <c r="W261" s="95">
        <v>0</v>
      </c>
      <c r="X261" s="95">
        <v>493234219</v>
      </c>
      <c r="Y261" s="95">
        <v>493234219</v>
      </c>
      <c r="Z261" s="95">
        <v>0</v>
      </c>
      <c r="AA261" s="95">
        <v>0</v>
      </c>
      <c r="AB261" s="120">
        <v>26497340</v>
      </c>
      <c r="AC261" s="95">
        <v>26497340</v>
      </c>
      <c r="AD261" s="95">
        <v>26497340</v>
      </c>
      <c r="AE261" s="120">
        <v>26497340</v>
      </c>
      <c r="AF261" s="95">
        <v>466736879</v>
      </c>
      <c r="AG261" s="95">
        <v>0</v>
      </c>
      <c r="AH261" s="120">
        <v>0</v>
      </c>
      <c r="AI261" s="120">
        <v>0</v>
      </c>
      <c r="AJ261" s="84">
        <v>26497340</v>
      </c>
      <c r="AK261" s="84">
        <v>0</v>
      </c>
      <c r="AL261" s="84">
        <v>188910708</v>
      </c>
      <c r="AM261" s="84">
        <v>342610708</v>
      </c>
      <c r="AN261" s="121">
        <v>342610708</v>
      </c>
      <c r="AO261" s="84">
        <v>316113368</v>
      </c>
      <c r="AP261" s="95">
        <v>150623511</v>
      </c>
      <c r="AQ261" s="84">
        <v>0</v>
      </c>
      <c r="AS261" s="118">
        <f t="shared" si="62"/>
        <v>0</v>
      </c>
    </row>
    <row r="262" spans="1:45" x14ac:dyDescent="0.25">
      <c r="A262" s="133">
        <v>2315203</v>
      </c>
      <c r="B262" s="86" t="s">
        <v>112</v>
      </c>
      <c r="C262" s="91">
        <v>0</v>
      </c>
      <c r="D262" s="91">
        <v>0</v>
      </c>
      <c r="E262" s="91">
        <v>0</v>
      </c>
      <c r="F262" s="91">
        <v>454361096</v>
      </c>
      <c r="G262" s="91">
        <f t="shared" si="63"/>
        <v>454361096</v>
      </c>
      <c r="H262" s="91">
        <v>0</v>
      </c>
      <c r="I262" s="91">
        <v>0</v>
      </c>
      <c r="J262" s="91">
        <f t="shared" si="65"/>
        <v>454361096</v>
      </c>
      <c r="K262" s="91">
        <v>0</v>
      </c>
      <c r="L262" s="91">
        <v>0</v>
      </c>
      <c r="M262" s="91">
        <f t="shared" si="66"/>
        <v>0</v>
      </c>
      <c r="N262" s="91">
        <v>396000000</v>
      </c>
      <c r="O262" s="91">
        <f t="shared" si="67"/>
        <v>396000000</v>
      </c>
      <c r="P262" s="91">
        <f t="shared" si="68"/>
        <v>58361096</v>
      </c>
      <c r="Q262" s="91">
        <f t="shared" si="69"/>
        <v>0</v>
      </c>
      <c r="S262" s="96">
        <v>2315203</v>
      </c>
      <c r="T262" s="117" t="s">
        <v>112</v>
      </c>
      <c r="U262" s="95">
        <v>0</v>
      </c>
      <c r="V262" s="95">
        <v>0</v>
      </c>
      <c r="W262" s="95">
        <v>0</v>
      </c>
      <c r="X262" s="95">
        <v>454361096</v>
      </c>
      <c r="Y262" s="95">
        <v>454361096</v>
      </c>
      <c r="Z262" s="95">
        <v>0</v>
      </c>
      <c r="AA262" s="95">
        <v>0</v>
      </c>
      <c r="AB262" s="120">
        <v>0</v>
      </c>
      <c r="AC262" s="95">
        <v>0</v>
      </c>
      <c r="AD262" s="95">
        <v>0</v>
      </c>
      <c r="AE262" s="120">
        <v>0</v>
      </c>
      <c r="AF262" s="95">
        <v>454361096</v>
      </c>
      <c r="AG262" s="95">
        <v>0</v>
      </c>
      <c r="AH262" s="120">
        <v>0</v>
      </c>
      <c r="AI262" s="120">
        <v>0</v>
      </c>
      <c r="AJ262" s="84">
        <v>0</v>
      </c>
      <c r="AK262" s="84">
        <v>0</v>
      </c>
      <c r="AL262" s="84">
        <v>396000000</v>
      </c>
      <c r="AM262" s="84">
        <v>396000000</v>
      </c>
      <c r="AN262" s="121">
        <v>396000000</v>
      </c>
      <c r="AO262" s="84">
        <v>396000000</v>
      </c>
      <c r="AP262" s="95">
        <v>58361096</v>
      </c>
      <c r="AQ262" s="84">
        <v>0</v>
      </c>
      <c r="AS262" s="118">
        <f t="shared" si="62"/>
        <v>0</v>
      </c>
    </row>
    <row r="263" spans="1:45" x14ac:dyDescent="0.25">
      <c r="A263" s="133">
        <v>2315204</v>
      </c>
      <c r="B263" s="86" t="s">
        <v>621</v>
      </c>
      <c r="C263" s="91">
        <v>0</v>
      </c>
      <c r="D263" s="91">
        <v>0</v>
      </c>
      <c r="E263" s="91">
        <v>0</v>
      </c>
      <c r="F263" s="91">
        <v>1493910033</v>
      </c>
      <c r="G263" s="91">
        <f t="shared" si="63"/>
        <v>1493910033</v>
      </c>
      <c r="H263" s="91">
        <v>68287537</v>
      </c>
      <c r="I263" s="91">
        <v>170918153</v>
      </c>
      <c r="J263" s="91">
        <f t="shared" si="65"/>
        <v>1322991880</v>
      </c>
      <c r="K263" s="91">
        <v>65833390</v>
      </c>
      <c r="L263" s="91">
        <v>71213706</v>
      </c>
      <c r="M263" s="91">
        <f t="shared" si="66"/>
        <v>99704447</v>
      </c>
      <c r="N263" s="91">
        <v>438513822</v>
      </c>
      <c r="O263" s="91">
        <f t="shared" si="67"/>
        <v>267595669</v>
      </c>
      <c r="P263" s="91">
        <f t="shared" si="68"/>
        <v>1055396211</v>
      </c>
      <c r="Q263" s="91">
        <f t="shared" si="69"/>
        <v>71213706</v>
      </c>
      <c r="S263" s="96">
        <v>2315204</v>
      </c>
      <c r="T263" s="117" t="s">
        <v>777</v>
      </c>
      <c r="U263" s="95">
        <v>0</v>
      </c>
      <c r="V263" s="95">
        <v>0</v>
      </c>
      <c r="W263" s="95">
        <v>0</v>
      </c>
      <c r="X263" s="95">
        <v>1493910033</v>
      </c>
      <c r="Y263" s="95">
        <v>1493910033</v>
      </c>
      <c r="Z263" s="95">
        <v>0</v>
      </c>
      <c r="AA263" s="95">
        <v>0</v>
      </c>
      <c r="AB263" s="120">
        <v>68287537</v>
      </c>
      <c r="AC263" s="95">
        <v>68287537</v>
      </c>
      <c r="AD263" s="95">
        <v>170918153</v>
      </c>
      <c r="AE263" s="120">
        <v>170918153</v>
      </c>
      <c r="AF263" s="95">
        <v>1322991880</v>
      </c>
      <c r="AG263" s="95">
        <v>0</v>
      </c>
      <c r="AH263" s="120">
        <v>65833390</v>
      </c>
      <c r="AI263" s="120">
        <v>71213706</v>
      </c>
      <c r="AJ263" s="84">
        <v>99704447</v>
      </c>
      <c r="AK263" s="84">
        <v>0</v>
      </c>
      <c r="AL263" s="84">
        <v>45801206</v>
      </c>
      <c r="AM263" s="84">
        <v>438513822</v>
      </c>
      <c r="AN263" s="121">
        <v>438513822</v>
      </c>
      <c r="AO263" s="84">
        <v>267595669</v>
      </c>
      <c r="AP263" s="95">
        <v>1055396211</v>
      </c>
      <c r="AQ263" s="84">
        <v>0</v>
      </c>
      <c r="AS263" s="118">
        <f t="shared" ref="AS263:AS326" si="73">+E263-W263</f>
        <v>0</v>
      </c>
    </row>
    <row r="264" spans="1:45" x14ac:dyDescent="0.25">
      <c r="A264" s="133">
        <v>2315205</v>
      </c>
      <c r="B264" s="86" t="s">
        <v>622</v>
      </c>
      <c r="C264" s="91">
        <v>0</v>
      </c>
      <c r="D264" s="91">
        <v>0</v>
      </c>
      <c r="E264" s="91">
        <v>0</v>
      </c>
      <c r="F264" s="91">
        <v>283032384</v>
      </c>
      <c r="G264" s="91">
        <f t="shared" si="63"/>
        <v>283032384</v>
      </c>
      <c r="H264" s="91">
        <v>1593821</v>
      </c>
      <c r="I264" s="91">
        <v>10650723</v>
      </c>
      <c r="J264" s="91">
        <f t="shared" si="65"/>
        <v>272381661</v>
      </c>
      <c r="K264" s="91">
        <v>3075583</v>
      </c>
      <c r="L264" s="91">
        <v>3600583</v>
      </c>
      <c r="M264" s="91">
        <f t="shared" si="66"/>
        <v>7050140</v>
      </c>
      <c r="N264" s="91">
        <v>47384723</v>
      </c>
      <c r="O264" s="91">
        <f t="shared" si="67"/>
        <v>36734000</v>
      </c>
      <c r="P264" s="91">
        <f t="shared" si="68"/>
        <v>235647661</v>
      </c>
      <c r="Q264" s="91">
        <f t="shared" si="69"/>
        <v>3600583</v>
      </c>
      <c r="S264" s="96">
        <v>2315205</v>
      </c>
      <c r="T264" s="117" t="s">
        <v>779</v>
      </c>
      <c r="U264" s="95">
        <v>0</v>
      </c>
      <c r="V264" s="95">
        <v>0</v>
      </c>
      <c r="W264" s="95">
        <v>0</v>
      </c>
      <c r="X264" s="95">
        <v>283032384</v>
      </c>
      <c r="Y264" s="95">
        <v>283032384</v>
      </c>
      <c r="Z264" s="95">
        <v>0</v>
      </c>
      <c r="AA264" s="95">
        <v>0</v>
      </c>
      <c r="AB264" s="120">
        <v>1593821</v>
      </c>
      <c r="AC264" s="95">
        <v>1593821</v>
      </c>
      <c r="AD264" s="95">
        <v>10650723</v>
      </c>
      <c r="AE264" s="120">
        <v>10650723</v>
      </c>
      <c r="AF264" s="95">
        <v>272381661</v>
      </c>
      <c r="AG264" s="95">
        <v>0</v>
      </c>
      <c r="AH264" s="120">
        <v>3075583</v>
      </c>
      <c r="AI264" s="120">
        <v>3600583</v>
      </c>
      <c r="AJ264" s="84">
        <v>7050140</v>
      </c>
      <c r="AK264" s="84">
        <v>0</v>
      </c>
      <c r="AL264" s="84">
        <v>31093821</v>
      </c>
      <c r="AM264" s="84">
        <v>47384723</v>
      </c>
      <c r="AN264" s="121">
        <v>47384723</v>
      </c>
      <c r="AO264" s="84">
        <v>36734000</v>
      </c>
      <c r="AP264" s="95">
        <v>235647661</v>
      </c>
      <c r="AQ264" s="84">
        <v>0</v>
      </c>
      <c r="AS264" s="118">
        <f t="shared" si="73"/>
        <v>0</v>
      </c>
    </row>
    <row r="265" spans="1:45" x14ac:dyDescent="0.25">
      <c r="A265" s="133">
        <v>2315206</v>
      </c>
      <c r="B265" s="86" t="s">
        <v>623</v>
      </c>
      <c r="C265" s="91">
        <v>0</v>
      </c>
      <c r="D265" s="91">
        <v>0</v>
      </c>
      <c r="E265" s="91">
        <v>0</v>
      </c>
      <c r="F265" s="91">
        <v>90482087</v>
      </c>
      <c r="G265" s="91">
        <f t="shared" si="63"/>
        <v>90482087</v>
      </c>
      <c r="H265" s="91">
        <v>0</v>
      </c>
      <c r="I265" s="91">
        <v>0</v>
      </c>
      <c r="J265" s="91">
        <f t="shared" si="65"/>
        <v>90482087</v>
      </c>
      <c r="K265" s="91">
        <v>0</v>
      </c>
      <c r="L265" s="91">
        <v>0</v>
      </c>
      <c r="M265" s="91">
        <f t="shared" si="66"/>
        <v>0</v>
      </c>
      <c r="N265" s="91">
        <v>0</v>
      </c>
      <c r="O265" s="91">
        <f t="shared" si="67"/>
        <v>0</v>
      </c>
      <c r="P265" s="91">
        <f t="shared" si="68"/>
        <v>90482087</v>
      </c>
      <c r="Q265" s="91">
        <f t="shared" si="69"/>
        <v>0</v>
      </c>
      <c r="S265" s="96">
        <v>2315206</v>
      </c>
      <c r="T265" s="117" t="s">
        <v>780</v>
      </c>
      <c r="U265" s="95">
        <v>0</v>
      </c>
      <c r="V265" s="95">
        <v>0</v>
      </c>
      <c r="W265" s="95">
        <v>0</v>
      </c>
      <c r="X265" s="95">
        <v>90482087</v>
      </c>
      <c r="Y265" s="95">
        <v>90482087</v>
      </c>
      <c r="Z265" s="95">
        <v>0</v>
      </c>
      <c r="AA265" s="95">
        <v>0</v>
      </c>
      <c r="AB265" s="120">
        <v>0</v>
      </c>
      <c r="AC265" s="95">
        <v>0</v>
      </c>
      <c r="AD265" s="95">
        <v>0</v>
      </c>
      <c r="AE265" s="120">
        <v>0</v>
      </c>
      <c r="AF265" s="95">
        <v>90482087</v>
      </c>
      <c r="AG265" s="95">
        <v>0</v>
      </c>
      <c r="AH265" s="120">
        <v>0</v>
      </c>
      <c r="AI265" s="120">
        <v>0</v>
      </c>
      <c r="AJ265" s="84">
        <v>0</v>
      </c>
      <c r="AK265" s="84">
        <v>0</v>
      </c>
      <c r="AL265" s="84">
        <v>0</v>
      </c>
      <c r="AM265" s="84">
        <v>0</v>
      </c>
      <c r="AN265" s="121">
        <v>0</v>
      </c>
      <c r="AO265" s="84">
        <v>0</v>
      </c>
      <c r="AP265" s="95">
        <v>90482087</v>
      </c>
      <c r="AQ265" s="84">
        <v>0</v>
      </c>
      <c r="AS265" s="118">
        <f t="shared" si="73"/>
        <v>0</v>
      </c>
    </row>
    <row r="266" spans="1:45" x14ac:dyDescent="0.25">
      <c r="A266" s="133">
        <v>2315207</v>
      </c>
      <c r="B266" s="86" t="s">
        <v>624</v>
      </c>
      <c r="C266" s="91">
        <v>0</v>
      </c>
      <c r="D266" s="91">
        <v>0</v>
      </c>
      <c r="E266" s="91">
        <v>0</v>
      </c>
      <c r="F266" s="91">
        <v>995546166</v>
      </c>
      <c r="G266" s="91">
        <f t="shared" si="63"/>
        <v>995546166</v>
      </c>
      <c r="H266" s="91">
        <v>100692692</v>
      </c>
      <c r="I266" s="91">
        <v>118971927</v>
      </c>
      <c r="J266" s="91">
        <f t="shared" si="65"/>
        <v>876574239</v>
      </c>
      <c r="K266" s="91">
        <v>17838632</v>
      </c>
      <c r="L266" s="91">
        <v>23331187</v>
      </c>
      <c r="M266" s="91">
        <f t="shared" si="66"/>
        <v>95640740</v>
      </c>
      <c r="N266" s="91">
        <v>426021167</v>
      </c>
      <c r="O266" s="91">
        <f t="shared" si="67"/>
        <v>307049240</v>
      </c>
      <c r="P266" s="91">
        <f t="shared" si="68"/>
        <v>569524999</v>
      </c>
      <c r="Q266" s="91">
        <f t="shared" si="69"/>
        <v>23331187</v>
      </c>
      <c r="S266" s="96">
        <v>2315207</v>
      </c>
      <c r="T266" s="117" t="s">
        <v>781</v>
      </c>
      <c r="U266" s="95">
        <v>0</v>
      </c>
      <c r="V266" s="95">
        <v>0</v>
      </c>
      <c r="W266" s="95">
        <v>0</v>
      </c>
      <c r="X266" s="95">
        <v>995546166</v>
      </c>
      <c r="Y266" s="95">
        <v>995546166</v>
      </c>
      <c r="Z266" s="95">
        <v>400000</v>
      </c>
      <c r="AA266" s="95">
        <v>0</v>
      </c>
      <c r="AB266" s="120">
        <v>100692692</v>
      </c>
      <c r="AC266" s="95">
        <v>100692692</v>
      </c>
      <c r="AD266" s="95">
        <v>119371927</v>
      </c>
      <c r="AE266" s="120">
        <v>118971927</v>
      </c>
      <c r="AF266" s="95">
        <v>876574239</v>
      </c>
      <c r="AG266" s="95">
        <v>400000</v>
      </c>
      <c r="AH266" s="120">
        <v>17838632</v>
      </c>
      <c r="AI266" s="120">
        <v>23331187</v>
      </c>
      <c r="AJ266" s="84">
        <v>96040740</v>
      </c>
      <c r="AK266" s="84">
        <v>400000</v>
      </c>
      <c r="AL266" s="84">
        <v>312491932</v>
      </c>
      <c r="AM266" s="84">
        <v>426421167</v>
      </c>
      <c r="AN266" s="121">
        <v>426021167</v>
      </c>
      <c r="AO266" s="84">
        <v>307049240</v>
      </c>
      <c r="AP266" s="95">
        <v>569524999</v>
      </c>
      <c r="AQ266" s="84">
        <v>0</v>
      </c>
      <c r="AS266" s="118">
        <f t="shared" si="73"/>
        <v>0</v>
      </c>
    </row>
    <row r="267" spans="1:45" x14ac:dyDescent="0.25">
      <c r="A267" s="133">
        <v>2315208</v>
      </c>
      <c r="B267" s="86" t="s">
        <v>645</v>
      </c>
      <c r="C267" s="91">
        <v>0</v>
      </c>
      <c r="D267" s="91">
        <v>0</v>
      </c>
      <c r="E267" s="91">
        <v>0</v>
      </c>
      <c r="F267" s="91">
        <v>811381400</v>
      </c>
      <c r="G267" s="91">
        <f t="shared" si="63"/>
        <v>811381400</v>
      </c>
      <c r="H267" s="91">
        <v>5377384</v>
      </c>
      <c r="I267" s="91">
        <v>10750656</v>
      </c>
      <c r="J267" s="91">
        <f t="shared" si="65"/>
        <v>800630744</v>
      </c>
      <c r="K267" s="91">
        <v>2198150</v>
      </c>
      <c r="L267" s="91">
        <v>6823446</v>
      </c>
      <c r="M267" s="91">
        <f t="shared" si="66"/>
        <v>3927210</v>
      </c>
      <c r="N267" s="91">
        <v>57595373</v>
      </c>
      <c r="O267" s="91">
        <f t="shared" si="67"/>
        <v>46844717</v>
      </c>
      <c r="P267" s="91">
        <f t="shared" si="68"/>
        <v>753786027</v>
      </c>
      <c r="Q267" s="91">
        <f t="shared" si="69"/>
        <v>6823446</v>
      </c>
      <c r="S267" s="96">
        <v>2315208</v>
      </c>
      <c r="T267" s="117" t="s">
        <v>782</v>
      </c>
      <c r="U267" s="95">
        <v>0</v>
      </c>
      <c r="V267" s="95">
        <v>0</v>
      </c>
      <c r="W267" s="95">
        <v>0</v>
      </c>
      <c r="X267" s="95">
        <v>811381400</v>
      </c>
      <c r="Y267" s="95">
        <v>811381400</v>
      </c>
      <c r="Z267" s="95">
        <v>452004</v>
      </c>
      <c r="AA267" s="95">
        <v>445020</v>
      </c>
      <c r="AB267" s="120">
        <v>5377384</v>
      </c>
      <c r="AC267" s="95">
        <v>4932364</v>
      </c>
      <c r="AD267" s="95">
        <v>11202660</v>
      </c>
      <c r="AE267" s="120">
        <v>10750656</v>
      </c>
      <c r="AF267" s="95">
        <v>800630744</v>
      </c>
      <c r="AG267" s="95">
        <v>452004</v>
      </c>
      <c r="AH267" s="120">
        <v>2198150</v>
      </c>
      <c r="AI267" s="120">
        <v>6823446</v>
      </c>
      <c r="AJ267" s="84">
        <v>4379214</v>
      </c>
      <c r="AK267" s="84">
        <v>452004</v>
      </c>
      <c r="AL267" s="84">
        <v>31635793</v>
      </c>
      <c r="AM267" s="84">
        <v>58047377</v>
      </c>
      <c r="AN267" s="121">
        <v>57595373</v>
      </c>
      <c r="AO267" s="84">
        <v>46844717</v>
      </c>
      <c r="AP267" s="95">
        <v>753786027</v>
      </c>
      <c r="AQ267" s="84">
        <v>0</v>
      </c>
      <c r="AS267" s="118">
        <f t="shared" si="73"/>
        <v>0</v>
      </c>
    </row>
    <row r="268" spans="1:45" x14ac:dyDescent="0.25">
      <c r="A268" s="133">
        <v>2315209</v>
      </c>
      <c r="B268" s="86" t="s">
        <v>646</v>
      </c>
      <c r="C268" s="91">
        <v>0</v>
      </c>
      <c r="D268" s="91">
        <v>0</v>
      </c>
      <c r="E268" s="91">
        <v>0</v>
      </c>
      <c r="F268" s="91">
        <v>56198830</v>
      </c>
      <c r="G268" s="91">
        <f t="shared" si="63"/>
        <v>56198830</v>
      </c>
      <c r="H268" s="91">
        <v>0</v>
      </c>
      <c r="I268" s="91">
        <v>3260</v>
      </c>
      <c r="J268" s="91">
        <f t="shared" si="65"/>
        <v>56195570</v>
      </c>
      <c r="K268" s="91">
        <v>0</v>
      </c>
      <c r="L268" s="91">
        <v>3260</v>
      </c>
      <c r="M268" s="91">
        <f t="shared" si="66"/>
        <v>0</v>
      </c>
      <c r="N268" s="91">
        <v>3260</v>
      </c>
      <c r="O268" s="91">
        <f t="shared" si="67"/>
        <v>0</v>
      </c>
      <c r="P268" s="91">
        <f t="shared" si="68"/>
        <v>56195570</v>
      </c>
      <c r="Q268" s="91">
        <f t="shared" si="69"/>
        <v>3260</v>
      </c>
      <c r="S268" s="96">
        <v>2315209</v>
      </c>
      <c r="T268" s="117" t="s">
        <v>783</v>
      </c>
      <c r="U268" s="95">
        <v>0</v>
      </c>
      <c r="V268" s="95">
        <v>0</v>
      </c>
      <c r="W268" s="95">
        <v>0</v>
      </c>
      <c r="X268" s="95">
        <v>56198830</v>
      </c>
      <c r="Y268" s="95">
        <v>56198830</v>
      </c>
      <c r="Z268" s="95">
        <v>0</v>
      </c>
      <c r="AA268" s="95">
        <v>0</v>
      </c>
      <c r="AB268" s="120">
        <v>0</v>
      </c>
      <c r="AC268" s="95">
        <v>0</v>
      </c>
      <c r="AD268" s="95">
        <v>3260</v>
      </c>
      <c r="AE268" s="120">
        <v>3260</v>
      </c>
      <c r="AF268" s="95">
        <v>56195570</v>
      </c>
      <c r="AG268" s="95">
        <v>0</v>
      </c>
      <c r="AH268" s="120">
        <v>0</v>
      </c>
      <c r="AI268" s="120">
        <v>3260</v>
      </c>
      <c r="AJ268" s="84">
        <v>0</v>
      </c>
      <c r="AK268" s="84">
        <v>0</v>
      </c>
      <c r="AL268" s="84">
        <v>0</v>
      </c>
      <c r="AM268" s="84">
        <v>3260</v>
      </c>
      <c r="AN268" s="121">
        <v>3260</v>
      </c>
      <c r="AO268" s="84">
        <v>0</v>
      </c>
      <c r="AP268" s="95">
        <v>56195570</v>
      </c>
      <c r="AQ268" s="84">
        <v>0</v>
      </c>
      <c r="AS268" s="118">
        <f t="shared" si="73"/>
        <v>0</v>
      </c>
    </row>
    <row r="269" spans="1:45" x14ac:dyDescent="0.25">
      <c r="A269" s="133">
        <v>2315210</v>
      </c>
      <c r="B269" s="86" t="s">
        <v>647</v>
      </c>
      <c r="C269" s="91">
        <v>0</v>
      </c>
      <c r="D269" s="91">
        <v>0</v>
      </c>
      <c r="E269" s="91">
        <v>0</v>
      </c>
      <c r="F269" s="91">
        <v>268721099</v>
      </c>
      <c r="G269" s="91">
        <f t="shared" si="63"/>
        <v>268721099</v>
      </c>
      <c r="H269" s="91">
        <v>25202997</v>
      </c>
      <c r="I269" s="91">
        <v>26537793</v>
      </c>
      <c r="J269" s="91">
        <f t="shared" si="65"/>
        <v>242183306</v>
      </c>
      <c r="K269" s="91">
        <v>7322424</v>
      </c>
      <c r="L269" s="91">
        <v>24552793</v>
      </c>
      <c r="M269" s="91">
        <f t="shared" si="66"/>
        <v>1985000</v>
      </c>
      <c r="N269" s="91">
        <v>87530369</v>
      </c>
      <c r="O269" s="91">
        <f t="shared" si="67"/>
        <v>60992576</v>
      </c>
      <c r="P269" s="91">
        <f t="shared" si="68"/>
        <v>181190730</v>
      </c>
      <c r="Q269" s="91">
        <f t="shared" si="69"/>
        <v>24552793</v>
      </c>
      <c r="S269" s="96">
        <v>2315210</v>
      </c>
      <c r="T269" s="117" t="s">
        <v>784</v>
      </c>
      <c r="U269" s="95">
        <v>0</v>
      </c>
      <c r="V269" s="95">
        <v>0</v>
      </c>
      <c r="W269" s="95">
        <v>0</v>
      </c>
      <c r="X269" s="95">
        <v>268721099</v>
      </c>
      <c r="Y269" s="95">
        <v>268721099</v>
      </c>
      <c r="Z269" s="95">
        <v>0</v>
      </c>
      <c r="AA269" s="95">
        <v>0</v>
      </c>
      <c r="AB269" s="120">
        <v>25202997</v>
      </c>
      <c r="AC269" s="95">
        <v>25202997</v>
      </c>
      <c r="AD269" s="95">
        <v>26537793</v>
      </c>
      <c r="AE269" s="120">
        <v>26537793</v>
      </c>
      <c r="AF269" s="95">
        <v>242183306</v>
      </c>
      <c r="AG269" s="95">
        <v>0</v>
      </c>
      <c r="AH269" s="120">
        <v>7322424</v>
      </c>
      <c r="AI269" s="120">
        <v>24552793</v>
      </c>
      <c r="AJ269" s="84">
        <v>1985000</v>
      </c>
      <c r="AK269" s="84">
        <v>0</v>
      </c>
      <c r="AL269" s="84">
        <v>16195573</v>
      </c>
      <c r="AM269" s="84">
        <v>87530369</v>
      </c>
      <c r="AN269" s="121">
        <v>87530369</v>
      </c>
      <c r="AO269" s="84">
        <v>60992576</v>
      </c>
      <c r="AP269" s="95">
        <v>181190730</v>
      </c>
      <c r="AQ269" s="84">
        <v>0</v>
      </c>
      <c r="AS269" s="118">
        <f t="shared" si="73"/>
        <v>0</v>
      </c>
    </row>
    <row r="270" spans="1:45" x14ac:dyDescent="0.25">
      <c r="A270" s="133">
        <v>2315211</v>
      </c>
      <c r="B270" s="86" t="s">
        <v>648</v>
      </c>
      <c r="C270" s="91">
        <v>0</v>
      </c>
      <c r="D270" s="91">
        <v>0</v>
      </c>
      <c r="E270" s="91">
        <v>0</v>
      </c>
      <c r="F270" s="91">
        <v>142901583</v>
      </c>
      <c r="G270" s="91">
        <f t="shared" si="63"/>
        <v>142901583</v>
      </c>
      <c r="H270" s="91">
        <v>70014</v>
      </c>
      <c r="I270" s="91">
        <v>70014</v>
      </c>
      <c r="J270" s="91">
        <f t="shared" si="65"/>
        <v>142831569</v>
      </c>
      <c r="K270" s="91">
        <v>70014</v>
      </c>
      <c r="L270" s="91">
        <v>70014</v>
      </c>
      <c r="M270" s="91">
        <f t="shared" si="66"/>
        <v>0</v>
      </c>
      <c r="N270" s="91">
        <v>30070014</v>
      </c>
      <c r="O270" s="91">
        <f t="shared" si="67"/>
        <v>30000000</v>
      </c>
      <c r="P270" s="91">
        <f t="shared" si="68"/>
        <v>112831569</v>
      </c>
      <c r="Q270" s="91">
        <f t="shared" si="69"/>
        <v>70014</v>
      </c>
      <c r="S270" s="96">
        <v>2315211</v>
      </c>
      <c r="T270" s="117" t="s">
        <v>785</v>
      </c>
      <c r="U270" s="95">
        <v>0</v>
      </c>
      <c r="V270" s="95">
        <v>0</v>
      </c>
      <c r="W270" s="95">
        <v>0</v>
      </c>
      <c r="X270" s="95">
        <v>142901583</v>
      </c>
      <c r="Y270" s="95">
        <v>142901583</v>
      </c>
      <c r="Z270" s="95">
        <v>0</v>
      </c>
      <c r="AA270" s="95">
        <v>0</v>
      </c>
      <c r="AB270" s="120">
        <v>70014</v>
      </c>
      <c r="AC270" s="95">
        <v>70014</v>
      </c>
      <c r="AD270" s="95">
        <v>70014</v>
      </c>
      <c r="AE270" s="120">
        <v>70014</v>
      </c>
      <c r="AF270" s="95">
        <v>142831569</v>
      </c>
      <c r="AG270" s="95">
        <v>0</v>
      </c>
      <c r="AH270" s="120">
        <v>70014</v>
      </c>
      <c r="AI270" s="120">
        <v>70014</v>
      </c>
      <c r="AJ270" s="84">
        <v>0</v>
      </c>
      <c r="AK270" s="84">
        <v>0</v>
      </c>
      <c r="AL270" s="84">
        <v>70014</v>
      </c>
      <c r="AM270" s="84">
        <v>30070014</v>
      </c>
      <c r="AN270" s="121">
        <v>30070014</v>
      </c>
      <c r="AO270" s="84">
        <v>30000000</v>
      </c>
      <c r="AP270" s="95">
        <v>112831569</v>
      </c>
      <c r="AQ270" s="84">
        <v>0</v>
      </c>
      <c r="AS270" s="118">
        <f t="shared" si="73"/>
        <v>0</v>
      </c>
    </row>
    <row r="271" spans="1:45" x14ac:dyDescent="0.25">
      <c r="A271" s="133">
        <v>2315212</v>
      </c>
      <c r="B271" s="86" t="s">
        <v>113</v>
      </c>
      <c r="C271" s="91">
        <v>0</v>
      </c>
      <c r="D271" s="91">
        <v>0</v>
      </c>
      <c r="E271" s="91">
        <v>0</v>
      </c>
      <c r="F271" s="91">
        <v>269516545</v>
      </c>
      <c r="G271" s="91">
        <f t="shared" si="63"/>
        <v>269516545</v>
      </c>
      <c r="H271" s="91">
        <v>25680917</v>
      </c>
      <c r="I271" s="91">
        <v>42392917</v>
      </c>
      <c r="J271" s="91">
        <f t="shared" si="65"/>
        <v>227123628</v>
      </c>
      <c r="K271" s="91">
        <v>0</v>
      </c>
      <c r="L271" s="91">
        <v>16712000</v>
      </c>
      <c r="M271" s="91">
        <f t="shared" si="66"/>
        <v>25680917</v>
      </c>
      <c r="N271" s="91">
        <v>64809331</v>
      </c>
      <c r="O271" s="91">
        <f t="shared" si="67"/>
        <v>22416414</v>
      </c>
      <c r="P271" s="91">
        <f t="shared" si="68"/>
        <v>204707214</v>
      </c>
      <c r="Q271" s="91">
        <f t="shared" si="69"/>
        <v>16712000</v>
      </c>
      <c r="S271" s="96">
        <v>2315212</v>
      </c>
      <c r="T271" s="117" t="s">
        <v>113</v>
      </c>
      <c r="U271" s="95">
        <v>0</v>
      </c>
      <c r="V271" s="95">
        <v>0</v>
      </c>
      <c r="W271" s="95">
        <v>0</v>
      </c>
      <c r="X271" s="95">
        <v>269516545</v>
      </c>
      <c r="Y271" s="95">
        <v>269516545</v>
      </c>
      <c r="Z271" s="95">
        <v>0</v>
      </c>
      <c r="AA271" s="95">
        <v>0</v>
      </c>
      <c r="AB271" s="120">
        <v>25680917</v>
      </c>
      <c r="AC271" s="95">
        <v>25680917</v>
      </c>
      <c r="AD271" s="95">
        <v>42392917</v>
      </c>
      <c r="AE271" s="120">
        <v>42392917</v>
      </c>
      <c r="AF271" s="95">
        <v>227123628</v>
      </c>
      <c r="AG271" s="95">
        <v>0</v>
      </c>
      <c r="AH271" s="120">
        <v>0</v>
      </c>
      <c r="AI271" s="120">
        <v>16712000</v>
      </c>
      <c r="AJ271" s="84">
        <v>25680917</v>
      </c>
      <c r="AK271" s="84">
        <v>0</v>
      </c>
      <c r="AL271" s="84">
        <v>289517</v>
      </c>
      <c r="AM271" s="84">
        <v>64809331</v>
      </c>
      <c r="AN271" s="121">
        <v>64809331</v>
      </c>
      <c r="AO271" s="84">
        <v>22416414</v>
      </c>
      <c r="AP271" s="95">
        <v>204707214</v>
      </c>
      <c r="AQ271" s="84">
        <v>0</v>
      </c>
      <c r="AS271" s="118">
        <f t="shared" si="73"/>
        <v>0</v>
      </c>
    </row>
    <row r="272" spans="1:45" s="100" customFormat="1" x14ac:dyDescent="0.25">
      <c r="A272" s="133">
        <v>2315213</v>
      </c>
      <c r="B272" s="86" t="s">
        <v>649</v>
      </c>
      <c r="C272" s="91">
        <v>0</v>
      </c>
      <c r="D272" s="91">
        <v>0</v>
      </c>
      <c r="E272" s="91">
        <v>0</v>
      </c>
      <c r="F272" s="91">
        <v>108357039</v>
      </c>
      <c r="G272" s="91">
        <f t="shared" si="63"/>
        <v>108357039</v>
      </c>
      <c r="H272" s="91">
        <v>0</v>
      </c>
      <c r="I272" s="91">
        <v>0</v>
      </c>
      <c r="J272" s="91">
        <f t="shared" si="65"/>
        <v>108357039</v>
      </c>
      <c r="K272" s="91">
        <v>0</v>
      </c>
      <c r="L272" s="91">
        <v>0</v>
      </c>
      <c r="M272" s="91">
        <f t="shared" si="66"/>
        <v>0</v>
      </c>
      <c r="N272" s="91">
        <v>30000000</v>
      </c>
      <c r="O272" s="91">
        <f t="shared" si="67"/>
        <v>30000000</v>
      </c>
      <c r="P272" s="91">
        <f t="shared" si="68"/>
        <v>78357039</v>
      </c>
      <c r="Q272" s="91">
        <f t="shared" si="69"/>
        <v>0</v>
      </c>
      <c r="R272" s="84"/>
      <c r="S272" s="101">
        <v>2315213</v>
      </c>
      <c r="T272" s="116" t="s">
        <v>786</v>
      </c>
      <c r="U272" s="102">
        <v>0</v>
      </c>
      <c r="V272" s="102">
        <v>0</v>
      </c>
      <c r="W272" s="102">
        <v>0</v>
      </c>
      <c r="X272" s="102">
        <v>108357039</v>
      </c>
      <c r="Y272" s="102">
        <v>108357039</v>
      </c>
      <c r="Z272" s="102">
        <v>0</v>
      </c>
      <c r="AA272" s="102">
        <v>0</v>
      </c>
      <c r="AB272" s="119">
        <v>0</v>
      </c>
      <c r="AC272" s="102">
        <v>0</v>
      </c>
      <c r="AD272" s="102">
        <v>0</v>
      </c>
      <c r="AE272" s="119">
        <v>0</v>
      </c>
      <c r="AF272" s="102">
        <v>108357039</v>
      </c>
      <c r="AG272" s="102">
        <v>0</v>
      </c>
      <c r="AH272" s="119">
        <v>0</v>
      </c>
      <c r="AI272" s="119">
        <v>0</v>
      </c>
      <c r="AJ272" s="100">
        <v>0</v>
      </c>
      <c r="AK272" s="100">
        <v>0</v>
      </c>
      <c r="AL272" s="100">
        <v>30000000</v>
      </c>
      <c r="AM272" s="100">
        <v>30000000</v>
      </c>
      <c r="AN272" s="122">
        <v>30000000</v>
      </c>
      <c r="AO272" s="100">
        <v>30000000</v>
      </c>
      <c r="AP272" s="102">
        <v>78357039</v>
      </c>
      <c r="AQ272" s="100">
        <v>0</v>
      </c>
      <c r="AS272" s="118">
        <f t="shared" si="73"/>
        <v>0</v>
      </c>
    </row>
    <row r="273" spans="1:45" s="100" customFormat="1" x14ac:dyDescent="0.25">
      <c r="A273" s="133">
        <v>2315214</v>
      </c>
      <c r="B273" s="86" t="s">
        <v>114</v>
      </c>
      <c r="C273" s="91">
        <v>0</v>
      </c>
      <c r="D273" s="91">
        <v>0</v>
      </c>
      <c r="E273" s="91">
        <v>0</v>
      </c>
      <c r="F273" s="91">
        <v>21206300</v>
      </c>
      <c r="G273" s="91">
        <f t="shared" si="63"/>
        <v>21206300</v>
      </c>
      <c r="H273" s="91">
        <v>0</v>
      </c>
      <c r="I273" s="91">
        <v>0</v>
      </c>
      <c r="J273" s="91">
        <f t="shared" si="65"/>
        <v>21206300</v>
      </c>
      <c r="K273" s="91">
        <v>0</v>
      </c>
      <c r="L273" s="91">
        <v>0</v>
      </c>
      <c r="M273" s="91">
        <f t="shared" si="66"/>
        <v>0</v>
      </c>
      <c r="N273" s="91">
        <v>0</v>
      </c>
      <c r="O273" s="91">
        <f t="shared" si="67"/>
        <v>0</v>
      </c>
      <c r="P273" s="91">
        <f t="shared" si="68"/>
        <v>21206300</v>
      </c>
      <c r="Q273" s="91">
        <f t="shared" si="69"/>
        <v>0</v>
      </c>
      <c r="R273" s="84"/>
      <c r="S273" s="101">
        <v>2315214</v>
      </c>
      <c r="T273" s="116" t="s">
        <v>114</v>
      </c>
      <c r="U273" s="102">
        <v>0</v>
      </c>
      <c r="V273" s="102">
        <v>0</v>
      </c>
      <c r="W273" s="102">
        <v>0</v>
      </c>
      <c r="X273" s="102">
        <v>21206300</v>
      </c>
      <c r="Y273" s="102">
        <v>21206300</v>
      </c>
      <c r="Z273" s="102">
        <v>0</v>
      </c>
      <c r="AA273" s="102">
        <v>0</v>
      </c>
      <c r="AB273" s="119">
        <v>0</v>
      </c>
      <c r="AC273" s="102">
        <v>0</v>
      </c>
      <c r="AD273" s="102">
        <v>0</v>
      </c>
      <c r="AE273" s="119">
        <v>0</v>
      </c>
      <c r="AF273" s="102">
        <v>21206300</v>
      </c>
      <c r="AG273" s="102">
        <v>0</v>
      </c>
      <c r="AH273" s="119">
        <v>0</v>
      </c>
      <c r="AI273" s="119">
        <v>0</v>
      </c>
      <c r="AJ273" s="100">
        <v>0</v>
      </c>
      <c r="AK273" s="100">
        <v>0</v>
      </c>
      <c r="AL273" s="100">
        <v>0</v>
      </c>
      <c r="AM273" s="100">
        <v>0</v>
      </c>
      <c r="AN273" s="122">
        <v>0</v>
      </c>
      <c r="AO273" s="100">
        <v>0</v>
      </c>
      <c r="AP273" s="102">
        <v>21206300</v>
      </c>
      <c r="AQ273" s="100">
        <v>0</v>
      </c>
      <c r="AS273" s="118">
        <f t="shared" si="73"/>
        <v>0</v>
      </c>
    </row>
    <row r="274" spans="1:45" ht="30" x14ac:dyDescent="0.25">
      <c r="A274" s="103">
        <v>2316</v>
      </c>
      <c r="B274" s="104" t="s">
        <v>115</v>
      </c>
      <c r="C274" s="105">
        <f>+C275</f>
        <v>670000000</v>
      </c>
      <c r="D274" s="105">
        <v>0</v>
      </c>
      <c r="E274" s="105">
        <v>0</v>
      </c>
      <c r="F274" s="105">
        <v>0</v>
      </c>
      <c r="G274" s="105">
        <f t="shared" ref="G274:G337" si="74">+C274+D274-E274+F274</f>
        <v>670000000</v>
      </c>
      <c r="H274" s="105">
        <v>339749307</v>
      </c>
      <c r="I274" s="105">
        <v>344879682</v>
      </c>
      <c r="J274" s="105">
        <f t="shared" si="65"/>
        <v>325120318</v>
      </c>
      <c r="K274" s="105">
        <v>0</v>
      </c>
      <c r="L274" s="105">
        <v>0</v>
      </c>
      <c r="M274" s="105">
        <f t="shared" si="66"/>
        <v>344879682</v>
      </c>
      <c r="N274" s="105">
        <v>664951311</v>
      </c>
      <c r="O274" s="105">
        <f t="shared" si="67"/>
        <v>320071629</v>
      </c>
      <c r="P274" s="105">
        <f t="shared" si="68"/>
        <v>5048689</v>
      </c>
      <c r="Q274" s="105">
        <f t="shared" si="69"/>
        <v>0</v>
      </c>
      <c r="R274" s="100"/>
      <c r="S274" s="96">
        <v>2316</v>
      </c>
      <c r="T274" s="117" t="s">
        <v>115</v>
      </c>
      <c r="U274" s="95">
        <v>670000000</v>
      </c>
      <c r="V274" s="95">
        <v>0</v>
      </c>
      <c r="W274" s="95">
        <v>0</v>
      </c>
      <c r="X274" s="95">
        <v>0</v>
      </c>
      <c r="Y274" s="95">
        <v>670000000</v>
      </c>
      <c r="Z274" s="95">
        <v>0</v>
      </c>
      <c r="AA274" s="95">
        <v>0</v>
      </c>
      <c r="AB274" s="120">
        <v>339749307</v>
      </c>
      <c r="AC274" s="95">
        <v>339749307</v>
      </c>
      <c r="AD274" s="95">
        <v>344879682</v>
      </c>
      <c r="AE274" s="120">
        <v>344879682</v>
      </c>
      <c r="AF274" s="95">
        <v>325120318</v>
      </c>
      <c r="AG274" s="95">
        <v>0</v>
      </c>
      <c r="AH274" s="120">
        <v>0</v>
      </c>
      <c r="AI274" s="120">
        <v>0</v>
      </c>
      <c r="AJ274" s="84">
        <v>344879682</v>
      </c>
      <c r="AK274" s="84">
        <v>0</v>
      </c>
      <c r="AL274" s="84">
        <v>0</v>
      </c>
      <c r="AM274" s="84">
        <v>664951311</v>
      </c>
      <c r="AN274" s="121">
        <v>664951311</v>
      </c>
      <c r="AO274" s="84">
        <v>320071629</v>
      </c>
      <c r="AP274" s="95">
        <v>5048689</v>
      </c>
      <c r="AQ274" s="84">
        <v>0</v>
      </c>
      <c r="AS274" s="118">
        <f t="shared" si="73"/>
        <v>0</v>
      </c>
    </row>
    <row r="275" spans="1:45" s="100" customFormat="1" x14ac:dyDescent="0.25">
      <c r="A275" s="109">
        <v>23161</v>
      </c>
      <c r="B275" s="110" t="s">
        <v>116</v>
      </c>
      <c r="C275" s="111">
        <f>+C276</f>
        <v>670000000</v>
      </c>
      <c r="D275" s="111">
        <v>0</v>
      </c>
      <c r="E275" s="111">
        <v>0</v>
      </c>
      <c r="F275" s="111">
        <v>0</v>
      </c>
      <c r="G275" s="111">
        <f t="shared" si="74"/>
        <v>670000000</v>
      </c>
      <c r="H275" s="111">
        <v>339749307</v>
      </c>
      <c r="I275" s="111">
        <v>344879682</v>
      </c>
      <c r="J275" s="111">
        <f t="shared" si="65"/>
        <v>325120318</v>
      </c>
      <c r="K275" s="111">
        <v>0</v>
      </c>
      <c r="L275" s="111">
        <v>0</v>
      </c>
      <c r="M275" s="111">
        <f t="shared" si="66"/>
        <v>344879682</v>
      </c>
      <c r="N275" s="111">
        <v>664951311</v>
      </c>
      <c r="O275" s="111">
        <f t="shared" si="67"/>
        <v>320071629</v>
      </c>
      <c r="P275" s="111">
        <f t="shared" si="68"/>
        <v>5048689</v>
      </c>
      <c r="Q275" s="111">
        <f t="shared" si="69"/>
        <v>0</v>
      </c>
      <c r="S275" s="101">
        <v>23161</v>
      </c>
      <c r="T275" s="116" t="s">
        <v>116</v>
      </c>
      <c r="U275" s="102">
        <v>670000000</v>
      </c>
      <c r="V275" s="102">
        <v>0</v>
      </c>
      <c r="W275" s="102">
        <v>0</v>
      </c>
      <c r="X275" s="102">
        <v>0</v>
      </c>
      <c r="Y275" s="102">
        <v>670000000</v>
      </c>
      <c r="Z275" s="102">
        <v>0</v>
      </c>
      <c r="AA275" s="102">
        <v>0</v>
      </c>
      <c r="AB275" s="119">
        <v>339749307</v>
      </c>
      <c r="AC275" s="102">
        <v>339749307</v>
      </c>
      <c r="AD275" s="102">
        <v>344879682</v>
      </c>
      <c r="AE275" s="119">
        <v>344879682</v>
      </c>
      <c r="AF275" s="102">
        <v>325120318</v>
      </c>
      <c r="AG275" s="102">
        <v>0</v>
      </c>
      <c r="AH275" s="119">
        <v>0</v>
      </c>
      <c r="AI275" s="119">
        <v>0</v>
      </c>
      <c r="AJ275" s="100">
        <v>344879682</v>
      </c>
      <c r="AK275" s="100">
        <v>0</v>
      </c>
      <c r="AL275" s="100">
        <v>0</v>
      </c>
      <c r="AM275" s="100">
        <v>664951311</v>
      </c>
      <c r="AN275" s="122">
        <v>664951311</v>
      </c>
      <c r="AO275" s="100">
        <v>320071629</v>
      </c>
      <c r="AP275" s="102">
        <v>5048689</v>
      </c>
      <c r="AQ275" s="100">
        <v>0</v>
      </c>
      <c r="AS275" s="118">
        <f t="shared" si="73"/>
        <v>0</v>
      </c>
    </row>
    <row r="276" spans="1:45" x14ac:dyDescent="0.25">
      <c r="A276" s="131">
        <v>231614</v>
      </c>
      <c r="B276" s="86" t="s">
        <v>117</v>
      </c>
      <c r="C276" s="91">
        <v>670000000</v>
      </c>
      <c r="D276" s="91">
        <v>0</v>
      </c>
      <c r="E276" s="91">
        <v>0</v>
      </c>
      <c r="F276" s="91">
        <v>0</v>
      </c>
      <c r="G276" s="91">
        <f t="shared" si="74"/>
        <v>670000000</v>
      </c>
      <c r="H276" s="91">
        <v>339749307</v>
      </c>
      <c r="I276" s="91">
        <v>344879682</v>
      </c>
      <c r="J276" s="91">
        <f t="shared" si="65"/>
        <v>325120318</v>
      </c>
      <c r="K276" s="91">
        <v>0</v>
      </c>
      <c r="L276" s="91">
        <v>0</v>
      </c>
      <c r="M276" s="91">
        <f t="shared" si="66"/>
        <v>344879682</v>
      </c>
      <c r="N276" s="91">
        <v>664951311</v>
      </c>
      <c r="O276" s="91">
        <f t="shared" si="67"/>
        <v>320071629</v>
      </c>
      <c r="P276" s="91">
        <f t="shared" si="68"/>
        <v>5048689</v>
      </c>
      <c r="Q276" s="91">
        <f t="shared" si="69"/>
        <v>0</v>
      </c>
      <c r="S276" s="96">
        <v>231614</v>
      </c>
      <c r="T276" s="117" t="s">
        <v>117</v>
      </c>
      <c r="U276" s="95">
        <v>670000000</v>
      </c>
      <c r="V276" s="95">
        <v>0</v>
      </c>
      <c r="W276" s="95">
        <v>0</v>
      </c>
      <c r="X276" s="95">
        <v>0</v>
      </c>
      <c r="Y276" s="95">
        <v>670000000</v>
      </c>
      <c r="Z276" s="95">
        <v>0</v>
      </c>
      <c r="AA276" s="95">
        <v>0</v>
      </c>
      <c r="AB276" s="120">
        <v>339749307</v>
      </c>
      <c r="AC276" s="95">
        <v>339749307</v>
      </c>
      <c r="AD276" s="95">
        <v>344879682</v>
      </c>
      <c r="AE276" s="120">
        <v>344879682</v>
      </c>
      <c r="AF276" s="95">
        <v>325120318</v>
      </c>
      <c r="AG276" s="95">
        <v>0</v>
      </c>
      <c r="AH276" s="120">
        <v>0</v>
      </c>
      <c r="AI276" s="120">
        <v>0</v>
      </c>
      <c r="AJ276" s="84">
        <v>344879682</v>
      </c>
      <c r="AK276" s="84">
        <v>0</v>
      </c>
      <c r="AL276" s="84">
        <v>0</v>
      </c>
      <c r="AM276" s="84">
        <v>664951311</v>
      </c>
      <c r="AN276" s="121">
        <v>664951311</v>
      </c>
      <c r="AO276" s="84">
        <v>320071629</v>
      </c>
      <c r="AP276" s="95">
        <v>5048689</v>
      </c>
      <c r="AQ276" s="84">
        <v>0</v>
      </c>
      <c r="AS276" s="118">
        <f t="shared" si="73"/>
        <v>0</v>
      </c>
    </row>
    <row r="277" spans="1:45" s="100" customFormat="1" x14ac:dyDescent="0.25">
      <c r="A277" s="103">
        <v>2319</v>
      </c>
      <c r="B277" s="104" t="s">
        <v>118</v>
      </c>
      <c r="C277" s="105">
        <f>+C278</f>
        <v>400000000</v>
      </c>
      <c r="D277" s="105">
        <v>0</v>
      </c>
      <c r="E277" s="105">
        <v>0</v>
      </c>
      <c r="F277" s="105">
        <v>0</v>
      </c>
      <c r="G277" s="105">
        <f t="shared" si="74"/>
        <v>400000000</v>
      </c>
      <c r="H277" s="105">
        <v>11637000</v>
      </c>
      <c r="I277" s="105">
        <v>53757040</v>
      </c>
      <c r="J277" s="105">
        <f t="shared" si="65"/>
        <v>346242960</v>
      </c>
      <c r="K277" s="105">
        <v>5137000</v>
      </c>
      <c r="L277" s="105">
        <v>43457040</v>
      </c>
      <c r="M277" s="105">
        <f t="shared" si="66"/>
        <v>10300000</v>
      </c>
      <c r="N277" s="105">
        <v>134100000</v>
      </c>
      <c r="O277" s="105">
        <f t="shared" si="67"/>
        <v>80342960</v>
      </c>
      <c r="P277" s="105">
        <f t="shared" si="68"/>
        <v>265900000</v>
      </c>
      <c r="Q277" s="105">
        <f t="shared" si="69"/>
        <v>43457040</v>
      </c>
      <c r="S277" s="101">
        <v>2319</v>
      </c>
      <c r="T277" s="116" t="s">
        <v>118</v>
      </c>
      <c r="U277" s="102">
        <v>400000000</v>
      </c>
      <c r="V277" s="102">
        <v>0</v>
      </c>
      <c r="W277" s="102">
        <v>0</v>
      </c>
      <c r="X277" s="102">
        <v>0</v>
      </c>
      <c r="Y277" s="102">
        <v>400000000</v>
      </c>
      <c r="Z277" s="102">
        <v>0</v>
      </c>
      <c r="AA277" s="102">
        <v>0</v>
      </c>
      <c r="AB277" s="119">
        <v>11637000</v>
      </c>
      <c r="AC277" s="102">
        <v>11637000</v>
      </c>
      <c r="AD277" s="102">
        <v>53757040</v>
      </c>
      <c r="AE277" s="119">
        <v>53757040</v>
      </c>
      <c r="AF277" s="102">
        <v>346242960</v>
      </c>
      <c r="AG277" s="102">
        <v>0</v>
      </c>
      <c r="AH277" s="119">
        <v>5137000</v>
      </c>
      <c r="AI277" s="119">
        <v>43457040</v>
      </c>
      <c r="AJ277" s="100">
        <v>10300000</v>
      </c>
      <c r="AK277" s="100">
        <v>0</v>
      </c>
      <c r="AL277" s="100">
        <v>2100000</v>
      </c>
      <c r="AM277" s="100">
        <v>134100000</v>
      </c>
      <c r="AN277" s="122">
        <v>134100000</v>
      </c>
      <c r="AO277" s="100">
        <v>80342960</v>
      </c>
      <c r="AP277" s="102">
        <v>265900000</v>
      </c>
      <c r="AQ277" s="100">
        <v>0</v>
      </c>
      <c r="AS277" s="118">
        <f t="shared" si="73"/>
        <v>0</v>
      </c>
    </row>
    <row r="278" spans="1:45" s="100" customFormat="1" x14ac:dyDescent="0.25">
      <c r="A278" s="129">
        <v>23191</v>
      </c>
      <c r="B278" s="86" t="s">
        <v>625</v>
      </c>
      <c r="C278" s="91">
        <v>400000000</v>
      </c>
      <c r="D278" s="91">
        <v>0</v>
      </c>
      <c r="E278" s="91">
        <v>0</v>
      </c>
      <c r="F278" s="91">
        <v>0</v>
      </c>
      <c r="G278" s="91">
        <f t="shared" si="74"/>
        <v>400000000</v>
      </c>
      <c r="H278" s="91">
        <v>11637000</v>
      </c>
      <c r="I278" s="91">
        <v>53757040</v>
      </c>
      <c r="J278" s="91">
        <f t="shared" si="65"/>
        <v>346242960</v>
      </c>
      <c r="K278" s="91">
        <v>5137000</v>
      </c>
      <c r="L278" s="91">
        <v>43457040</v>
      </c>
      <c r="M278" s="91">
        <f t="shared" si="66"/>
        <v>10300000</v>
      </c>
      <c r="N278" s="91">
        <v>134100000</v>
      </c>
      <c r="O278" s="91">
        <f t="shared" si="67"/>
        <v>80342960</v>
      </c>
      <c r="P278" s="91">
        <f t="shared" si="68"/>
        <v>265900000</v>
      </c>
      <c r="Q278" s="91">
        <f t="shared" si="69"/>
        <v>43457040</v>
      </c>
      <c r="R278" s="84"/>
      <c r="S278" s="101">
        <v>23191</v>
      </c>
      <c r="T278" s="116" t="s">
        <v>778</v>
      </c>
      <c r="U278" s="102">
        <v>400000000</v>
      </c>
      <c r="V278" s="102">
        <v>0</v>
      </c>
      <c r="W278" s="102">
        <v>0</v>
      </c>
      <c r="X278" s="102">
        <v>0</v>
      </c>
      <c r="Y278" s="102">
        <v>400000000</v>
      </c>
      <c r="Z278" s="102">
        <v>0</v>
      </c>
      <c r="AA278" s="102">
        <v>0</v>
      </c>
      <c r="AB278" s="119">
        <v>11637000</v>
      </c>
      <c r="AC278" s="102">
        <v>11637000</v>
      </c>
      <c r="AD278" s="102">
        <v>53757040</v>
      </c>
      <c r="AE278" s="119">
        <v>53757040</v>
      </c>
      <c r="AF278" s="102">
        <v>346242960</v>
      </c>
      <c r="AG278" s="102">
        <v>0</v>
      </c>
      <c r="AH278" s="119">
        <v>5137000</v>
      </c>
      <c r="AI278" s="119">
        <v>43457040</v>
      </c>
      <c r="AJ278" s="100">
        <v>10300000</v>
      </c>
      <c r="AK278" s="100">
        <v>0</v>
      </c>
      <c r="AL278" s="100">
        <v>2100000</v>
      </c>
      <c r="AM278" s="100">
        <v>134100000</v>
      </c>
      <c r="AN278" s="122">
        <v>134100000</v>
      </c>
      <c r="AO278" s="100">
        <v>80342960</v>
      </c>
      <c r="AP278" s="102">
        <v>265900000</v>
      </c>
      <c r="AQ278" s="100">
        <v>0</v>
      </c>
      <c r="AS278" s="118">
        <f t="shared" si="73"/>
        <v>0</v>
      </c>
    </row>
    <row r="279" spans="1:45" s="100" customFormat="1" x14ac:dyDescent="0.25">
      <c r="A279" s="103">
        <v>232</v>
      </c>
      <c r="B279" s="104" t="s">
        <v>119</v>
      </c>
      <c r="C279" s="105">
        <f>+C280+C308+C311</f>
        <v>4651804202</v>
      </c>
      <c r="D279" s="105">
        <v>0</v>
      </c>
      <c r="E279" s="105">
        <v>0</v>
      </c>
      <c r="F279" s="105">
        <v>754000000</v>
      </c>
      <c r="G279" s="105">
        <f t="shared" si="74"/>
        <v>5405804202</v>
      </c>
      <c r="H279" s="105">
        <v>304801643</v>
      </c>
      <c r="I279" s="105">
        <v>977246736</v>
      </c>
      <c r="J279" s="105">
        <f t="shared" si="65"/>
        <v>4428557466</v>
      </c>
      <c r="K279" s="105">
        <v>182622043</v>
      </c>
      <c r="L279" s="105">
        <v>195163311</v>
      </c>
      <c r="M279" s="105">
        <f t="shared" si="66"/>
        <v>782083425</v>
      </c>
      <c r="N279" s="105">
        <v>2611920373</v>
      </c>
      <c r="O279" s="105">
        <f t="shared" si="67"/>
        <v>1634673637</v>
      </c>
      <c r="P279" s="105">
        <f t="shared" si="68"/>
        <v>2793883829</v>
      </c>
      <c r="Q279" s="105">
        <f t="shared" si="69"/>
        <v>195163311</v>
      </c>
      <c r="S279" s="101">
        <v>232</v>
      </c>
      <c r="T279" s="116" t="s">
        <v>119</v>
      </c>
      <c r="U279" s="102">
        <v>4651804202</v>
      </c>
      <c r="V279" s="102">
        <v>0</v>
      </c>
      <c r="W279" s="102">
        <v>0</v>
      </c>
      <c r="X279" s="102">
        <v>754000000</v>
      </c>
      <c r="Y279" s="102">
        <v>5405804202</v>
      </c>
      <c r="Z279" s="102">
        <v>0</v>
      </c>
      <c r="AA279" s="102">
        <v>0</v>
      </c>
      <c r="AB279" s="119">
        <v>304801643</v>
      </c>
      <c r="AC279" s="102">
        <v>304801643</v>
      </c>
      <c r="AD279" s="102">
        <v>977246736</v>
      </c>
      <c r="AE279" s="119">
        <v>977246736</v>
      </c>
      <c r="AF279" s="102">
        <v>4428557466</v>
      </c>
      <c r="AG279" s="102">
        <v>0</v>
      </c>
      <c r="AH279" s="119">
        <v>182622043</v>
      </c>
      <c r="AI279" s="119">
        <v>195163311</v>
      </c>
      <c r="AJ279" s="100">
        <v>782083425</v>
      </c>
      <c r="AK279" s="100">
        <v>0</v>
      </c>
      <c r="AL279" s="100">
        <v>1241592805</v>
      </c>
      <c r="AM279" s="100">
        <v>2611920373</v>
      </c>
      <c r="AN279" s="122">
        <v>2611920373</v>
      </c>
      <c r="AO279" s="100">
        <v>1634673637</v>
      </c>
      <c r="AP279" s="102">
        <v>2793883829</v>
      </c>
      <c r="AQ279" s="100">
        <v>0</v>
      </c>
      <c r="AS279" s="118">
        <f t="shared" si="73"/>
        <v>0</v>
      </c>
    </row>
    <row r="280" spans="1:45" x14ac:dyDescent="0.25">
      <c r="A280" s="103">
        <v>2321</v>
      </c>
      <c r="B280" s="104" t="s">
        <v>120</v>
      </c>
      <c r="C280" s="105">
        <f>+C281+C294+C298+C303</f>
        <v>4431804202</v>
      </c>
      <c r="D280" s="105">
        <v>0</v>
      </c>
      <c r="E280" s="105">
        <v>0</v>
      </c>
      <c r="F280" s="105">
        <v>754000000</v>
      </c>
      <c r="G280" s="105">
        <f t="shared" si="74"/>
        <v>5185804202</v>
      </c>
      <c r="H280" s="105">
        <v>304468510</v>
      </c>
      <c r="I280" s="105">
        <v>975810109</v>
      </c>
      <c r="J280" s="105">
        <f t="shared" si="65"/>
        <v>4209994093</v>
      </c>
      <c r="K280" s="105">
        <v>182494332</v>
      </c>
      <c r="L280" s="105">
        <v>194830178</v>
      </c>
      <c r="M280" s="105">
        <f t="shared" si="66"/>
        <v>780979931</v>
      </c>
      <c r="N280" s="105">
        <v>2593383746</v>
      </c>
      <c r="O280" s="105">
        <f t="shared" si="67"/>
        <v>1617573637</v>
      </c>
      <c r="P280" s="105">
        <f t="shared" si="68"/>
        <v>2592420456</v>
      </c>
      <c r="Q280" s="105">
        <f t="shared" si="69"/>
        <v>194830178</v>
      </c>
      <c r="R280" s="100"/>
      <c r="S280" s="96">
        <v>2321</v>
      </c>
      <c r="T280" s="117" t="s">
        <v>120</v>
      </c>
      <c r="U280" s="95">
        <v>4431804202</v>
      </c>
      <c r="V280" s="95">
        <v>0</v>
      </c>
      <c r="W280" s="95">
        <v>0</v>
      </c>
      <c r="X280" s="95">
        <v>754000000</v>
      </c>
      <c r="Y280" s="95">
        <v>5185804202</v>
      </c>
      <c r="Z280" s="95">
        <v>0</v>
      </c>
      <c r="AA280" s="95">
        <v>0</v>
      </c>
      <c r="AB280" s="120">
        <v>304468510</v>
      </c>
      <c r="AC280" s="95">
        <v>304468510</v>
      </c>
      <c r="AD280" s="95">
        <v>975810109</v>
      </c>
      <c r="AE280" s="120">
        <v>975810109</v>
      </c>
      <c r="AF280" s="95">
        <v>4209994093</v>
      </c>
      <c r="AG280" s="95">
        <v>0</v>
      </c>
      <c r="AH280" s="120">
        <v>182494332</v>
      </c>
      <c r="AI280" s="120">
        <v>194830178</v>
      </c>
      <c r="AJ280" s="84">
        <v>780979931</v>
      </c>
      <c r="AK280" s="84">
        <v>0</v>
      </c>
      <c r="AL280" s="84">
        <v>1240609672</v>
      </c>
      <c r="AM280" s="84">
        <v>2593383746</v>
      </c>
      <c r="AN280" s="121">
        <v>2593383746</v>
      </c>
      <c r="AO280" s="84">
        <v>1617573637</v>
      </c>
      <c r="AP280" s="95">
        <v>2592420456</v>
      </c>
      <c r="AQ280" s="84">
        <v>0</v>
      </c>
      <c r="AS280" s="118">
        <f t="shared" si="73"/>
        <v>0</v>
      </c>
    </row>
    <row r="281" spans="1:45" x14ac:dyDescent="0.25">
      <c r="A281" s="109">
        <v>23211</v>
      </c>
      <c r="B281" s="110" t="s">
        <v>121</v>
      </c>
      <c r="C281" s="111">
        <f>SUM(C282:C293)</f>
        <v>3603810000</v>
      </c>
      <c r="D281" s="111">
        <v>0</v>
      </c>
      <c r="E281" s="111">
        <v>0</v>
      </c>
      <c r="F281" s="111">
        <v>581000000</v>
      </c>
      <c r="G281" s="111">
        <f t="shared" si="74"/>
        <v>4184810000</v>
      </c>
      <c r="H281" s="111">
        <v>275747556</v>
      </c>
      <c r="I281" s="111">
        <v>782540261</v>
      </c>
      <c r="J281" s="111">
        <f t="shared" si="65"/>
        <v>3402269739</v>
      </c>
      <c r="K281" s="111">
        <v>92326473</v>
      </c>
      <c r="L281" s="111">
        <v>104662319</v>
      </c>
      <c r="M281" s="111">
        <f t="shared" si="66"/>
        <v>677877942</v>
      </c>
      <c r="N281" s="111">
        <v>2062902572</v>
      </c>
      <c r="O281" s="111">
        <f t="shared" si="67"/>
        <v>1280362311</v>
      </c>
      <c r="P281" s="111">
        <f t="shared" si="68"/>
        <v>2121907428</v>
      </c>
      <c r="Q281" s="111">
        <f t="shared" si="69"/>
        <v>104662319</v>
      </c>
      <c r="R281" s="100"/>
      <c r="S281" s="96">
        <v>23211</v>
      </c>
      <c r="T281" s="117" t="s">
        <v>121</v>
      </c>
      <c r="U281" s="95">
        <v>3603810000</v>
      </c>
      <c r="V281" s="95">
        <v>0</v>
      </c>
      <c r="W281" s="95">
        <v>0</v>
      </c>
      <c r="X281" s="95">
        <v>581000000</v>
      </c>
      <c r="Y281" s="95">
        <v>4184810000</v>
      </c>
      <c r="Z281" s="95">
        <v>0</v>
      </c>
      <c r="AA281" s="95">
        <v>0</v>
      </c>
      <c r="AB281" s="120">
        <v>275747556</v>
      </c>
      <c r="AC281" s="95">
        <v>275747556</v>
      </c>
      <c r="AD281" s="95">
        <v>782540261</v>
      </c>
      <c r="AE281" s="120">
        <v>782540261</v>
      </c>
      <c r="AF281" s="95">
        <v>3402269739</v>
      </c>
      <c r="AG281" s="95">
        <v>0</v>
      </c>
      <c r="AH281" s="120">
        <v>92326473</v>
      </c>
      <c r="AI281" s="120">
        <v>104662319</v>
      </c>
      <c r="AJ281" s="84">
        <v>677877942</v>
      </c>
      <c r="AK281" s="84">
        <v>0</v>
      </c>
      <c r="AL281" s="84">
        <v>1204377456</v>
      </c>
      <c r="AM281" s="84">
        <v>2062902572</v>
      </c>
      <c r="AN281" s="121">
        <v>2062902572</v>
      </c>
      <c r="AO281" s="84">
        <v>1280362311</v>
      </c>
      <c r="AP281" s="95">
        <v>2121907428</v>
      </c>
      <c r="AQ281" s="84">
        <v>0</v>
      </c>
      <c r="AS281" s="118">
        <f t="shared" si="73"/>
        <v>0</v>
      </c>
    </row>
    <row r="282" spans="1:45" x14ac:dyDescent="0.25">
      <c r="A282" s="134">
        <v>2321101</v>
      </c>
      <c r="B282" s="86" t="s">
        <v>122</v>
      </c>
      <c r="C282" s="91">
        <v>90000000</v>
      </c>
      <c r="D282" s="91">
        <v>0</v>
      </c>
      <c r="E282" s="91">
        <v>0</v>
      </c>
      <c r="F282" s="91">
        <v>0</v>
      </c>
      <c r="G282" s="91">
        <f t="shared" si="74"/>
        <v>90000000</v>
      </c>
      <c r="H282" s="91">
        <v>61657592</v>
      </c>
      <c r="I282" s="91">
        <v>61657592</v>
      </c>
      <c r="J282" s="91">
        <f t="shared" si="65"/>
        <v>28342408</v>
      </c>
      <c r="K282" s="91">
        <v>56450000</v>
      </c>
      <c r="L282" s="91">
        <v>56450000</v>
      </c>
      <c r="M282" s="91">
        <f t="shared" si="66"/>
        <v>5207592</v>
      </c>
      <c r="N282" s="91">
        <v>61858000</v>
      </c>
      <c r="O282" s="91">
        <f t="shared" si="67"/>
        <v>200408</v>
      </c>
      <c r="P282" s="91">
        <f t="shared" si="68"/>
        <v>28142000</v>
      </c>
      <c r="Q282" s="91">
        <f t="shared" si="69"/>
        <v>56450000</v>
      </c>
      <c r="S282" s="96">
        <v>2321101</v>
      </c>
      <c r="T282" s="117" t="s">
        <v>122</v>
      </c>
      <c r="U282" s="95">
        <v>90000000</v>
      </c>
      <c r="V282" s="95">
        <v>0</v>
      </c>
      <c r="W282" s="95">
        <v>0</v>
      </c>
      <c r="X282" s="95">
        <v>0</v>
      </c>
      <c r="Y282" s="95">
        <v>90000000</v>
      </c>
      <c r="Z282" s="95">
        <v>0</v>
      </c>
      <c r="AA282" s="95">
        <v>0</v>
      </c>
      <c r="AB282" s="120">
        <v>61657592</v>
      </c>
      <c r="AC282" s="95">
        <v>61657592</v>
      </c>
      <c r="AD282" s="95">
        <v>61657592</v>
      </c>
      <c r="AE282" s="120">
        <v>61657592</v>
      </c>
      <c r="AF282" s="95">
        <v>28342408</v>
      </c>
      <c r="AG282" s="95">
        <v>0</v>
      </c>
      <c r="AH282" s="120">
        <v>56450000</v>
      </c>
      <c r="AI282" s="120">
        <v>56450000</v>
      </c>
      <c r="AJ282" s="84">
        <v>5207592</v>
      </c>
      <c r="AK282" s="84">
        <v>0</v>
      </c>
      <c r="AL282" s="84">
        <v>56450000</v>
      </c>
      <c r="AM282" s="84">
        <v>61858000</v>
      </c>
      <c r="AN282" s="121">
        <v>61858000</v>
      </c>
      <c r="AO282" s="84">
        <v>200408</v>
      </c>
      <c r="AP282" s="95">
        <v>28142000</v>
      </c>
      <c r="AQ282" s="84">
        <v>0</v>
      </c>
      <c r="AS282" s="118">
        <f t="shared" si="73"/>
        <v>0</v>
      </c>
    </row>
    <row r="283" spans="1:45" x14ac:dyDescent="0.25">
      <c r="A283" s="134">
        <v>2321102</v>
      </c>
      <c r="B283" s="86" t="s">
        <v>123</v>
      </c>
      <c r="C283" s="91">
        <v>190000000</v>
      </c>
      <c r="D283" s="91">
        <v>0</v>
      </c>
      <c r="E283" s="91">
        <v>0</v>
      </c>
      <c r="F283" s="91">
        <v>50000000</v>
      </c>
      <c r="G283" s="91">
        <f t="shared" si="74"/>
        <v>240000000</v>
      </c>
      <c r="H283" s="91">
        <v>120840000</v>
      </c>
      <c r="I283" s="91">
        <v>120840000</v>
      </c>
      <c r="J283" s="91">
        <f t="shared" si="65"/>
        <v>119160000</v>
      </c>
      <c r="K283" s="91">
        <v>0</v>
      </c>
      <c r="L283" s="91">
        <v>0</v>
      </c>
      <c r="M283" s="91">
        <f t="shared" si="66"/>
        <v>120840000</v>
      </c>
      <c r="N283" s="91">
        <v>203756000</v>
      </c>
      <c r="O283" s="91">
        <f t="shared" si="67"/>
        <v>82916000</v>
      </c>
      <c r="P283" s="91">
        <f t="shared" si="68"/>
        <v>36244000</v>
      </c>
      <c r="Q283" s="91">
        <f t="shared" si="69"/>
        <v>0</v>
      </c>
      <c r="S283" s="96">
        <v>2321102</v>
      </c>
      <c r="T283" s="117" t="s">
        <v>123</v>
      </c>
      <c r="U283" s="95">
        <v>190000000</v>
      </c>
      <c r="V283" s="95">
        <v>0</v>
      </c>
      <c r="W283" s="95">
        <v>0</v>
      </c>
      <c r="X283" s="95">
        <v>50000000</v>
      </c>
      <c r="Y283" s="95">
        <v>240000000</v>
      </c>
      <c r="Z283" s="95">
        <v>0</v>
      </c>
      <c r="AA283" s="95">
        <v>0</v>
      </c>
      <c r="AB283" s="120">
        <v>120840000</v>
      </c>
      <c r="AC283" s="95">
        <v>120840000</v>
      </c>
      <c r="AD283" s="95">
        <v>120840000</v>
      </c>
      <c r="AE283" s="120">
        <v>120840000</v>
      </c>
      <c r="AF283" s="95">
        <v>119160000</v>
      </c>
      <c r="AG283" s="95">
        <v>0</v>
      </c>
      <c r="AH283" s="120">
        <v>0</v>
      </c>
      <c r="AI283" s="120">
        <v>0</v>
      </c>
      <c r="AJ283" s="84">
        <v>120840000</v>
      </c>
      <c r="AK283" s="84">
        <v>0</v>
      </c>
      <c r="AL283" s="84">
        <v>0</v>
      </c>
      <c r="AM283" s="84">
        <v>203756000</v>
      </c>
      <c r="AN283" s="121">
        <v>203756000</v>
      </c>
      <c r="AO283" s="84">
        <v>82916000</v>
      </c>
      <c r="AP283" s="95">
        <v>36244000</v>
      </c>
      <c r="AQ283" s="84">
        <v>0</v>
      </c>
      <c r="AS283" s="118">
        <f t="shared" si="73"/>
        <v>0</v>
      </c>
    </row>
    <row r="284" spans="1:45" x14ac:dyDescent="0.25">
      <c r="A284" s="134">
        <v>2321103</v>
      </c>
      <c r="B284" s="86" t="s">
        <v>124</v>
      </c>
      <c r="C284" s="91">
        <v>1780000000</v>
      </c>
      <c r="D284" s="91">
        <v>0</v>
      </c>
      <c r="E284" s="91">
        <v>0</v>
      </c>
      <c r="F284" s="91">
        <v>120000000</v>
      </c>
      <c r="G284" s="91">
        <f t="shared" si="74"/>
        <v>1900000000</v>
      </c>
      <c r="H284" s="91">
        <v>26729600</v>
      </c>
      <c r="I284" s="91">
        <v>399412664</v>
      </c>
      <c r="J284" s="91">
        <f t="shared" ref="J284:J347" si="75">+G284-I284</f>
        <v>1500587336</v>
      </c>
      <c r="K284" s="91">
        <v>4563300</v>
      </c>
      <c r="L284" s="91">
        <v>4563300</v>
      </c>
      <c r="M284" s="91">
        <f t="shared" ref="M284:M347" si="76">+I284-L284</f>
        <v>394849364</v>
      </c>
      <c r="N284" s="91">
        <v>1577521045</v>
      </c>
      <c r="O284" s="91">
        <f t="shared" ref="O284:O347" si="77">+N284-I284</f>
        <v>1178108381</v>
      </c>
      <c r="P284" s="91">
        <f t="shared" ref="P284:P347" si="78">+G284-N284</f>
        <v>322478955</v>
      </c>
      <c r="Q284" s="91">
        <f t="shared" ref="Q284:Q347" si="79">+L284</f>
        <v>4563300</v>
      </c>
      <c r="S284" s="96">
        <v>2321103</v>
      </c>
      <c r="T284" s="117" t="s">
        <v>124</v>
      </c>
      <c r="U284" s="95">
        <v>1780000000</v>
      </c>
      <c r="V284" s="95">
        <v>0</v>
      </c>
      <c r="W284" s="95">
        <v>0</v>
      </c>
      <c r="X284" s="95">
        <v>120000000</v>
      </c>
      <c r="Y284" s="95">
        <v>1900000000</v>
      </c>
      <c r="Z284" s="95">
        <v>0</v>
      </c>
      <c r="AA284" s="95">
        <v>0</v>
      </c>
      <c r="AB284" s="120">
        <v>26729600</v>
      </c>
      <c r="AC284" s="95">
        <v>26729600</v>
      </c>
      <c r="AD284" s="95">
        <v>399412664</v>
      </c>
      <c r="AE284" s="120">
        <v>399412664</v>
      </c>
      <c r="AF284" s="95">
        <v>1500587336</v>
      </c>
      <c r="AG284" s="95">
        <v>0</v>
      </c>
      <c r="AH284" s="120">
        <v>4563300</v>
      </c>
      <c r="AI284" s="120">
        <v>4563300</v>
      </c>
      <c r="AJ284" s="84">
        <v>394849364</v>
      </c>
      <c r="AK284" s="84">
        <v>0</v>
      </c>
      <c r="AL284" s="84">
        <v>1127823121</v>
      </c>
      <c r="AM284" s="84">
        <v>1577521045</v>
      </c>
      <c r="AN284" s="121">
        <v>1577521045</v>
      </c>
      <c r="AO284" s="84">
        <v>1178108381</v>
      </c>
      <c r="AP284" s="95">
        <v>322478955</v>
      </c>
      <c r="AQ284" s="84">
        <v>0</v>
      </c>
      <c r="AS284" s="118">
        <f t="shared" si="73"/>
        <v>0</v>
      </c>
    </row>
    <row r="285" spans="1:45" x14ac:dyDescent="0.25">
      <c r="A285" s="134">
        <v>2321104</v>
      </c>
      <c r="B285" s="86" t="s">
        <v>125</v>
      </c>
      <c r="C285" s="91">
        <v>30000000</v>
      </c>
      <c r="D285" s="91">
        <v>0</v>
      </c>
      <c r="E285" s="91">
        <v>0</v>
      </c>
      <c r="F285" s="91">
        <v>45000000</v>
      </c>
      <c r="G285" s="91">
        <f t="shared" si="74"/>
        <v>75000000</v>
      </c>
      <c r="H285" s="91">
        <v>0</v>
      </c>
      <c r="I285" s="91">
        <v>8450022</v>
      </c>
      <c r="J285" s="91">
        <f t="shared" si="75"/>
        <v>66549978</v>
      </c>
      <c r="K285" s="91">
        <v>0</v>
      </c>
      <c r="L285" s="91">
        <v>8450011</v>
      </c>
      <c r="M285" s="91">
        <f t="shared" si="76"/>
        <v>11</v>
      </c>
      <c r="N285" s="91">
        <v>12675033</v>
      </c>
      <c r="O285" s="91">
        <f t="shared" si="77"/>
        <v>4225011</v>
      </c>
      <c r="P285" s="91">
        <f t="shared" si="78"/>
        <v>62324967</v>
      </c>
      <c r="Q285" s="91">
        <f t="shared" si="79"/>
        <v>8450011</v>
      </c>
      <c r="S285" s="96">
        <v>2321104</v>
      </c>
      <c r="T285" s="117" t="s">
        <v>125</v>
      </c>
      <c r="U285" s="95">
        <v>30000000</v>
      </c>
      <c r="V285" s="95">
        <v>0</v>
      </c>
      <c r="W285" s="95">
        <v>0</v>
      </c>
      <c r="X285" s="95">
        <v>45000000</v>
      </c>
      <c r="Y285" s="95">
        <v>75000000</v>
      </c>
      <c r="Z285" s="95">
        <v>0</v>
      </c>
      <c r="AA285" s="95">
        <v>0</v>
      </c>
      <c r="AB285" s="120">
        <v>0</v>
      </c>
      <c r="AC285" s="95">
        <v>0</v>
      </c>
      <c r="AD285" s="95">
        <v>8450022</v>
      </c>
      <c r="AE285" s="120">
        <v>8450022</v>
      </c>
      <c r="AF285" s="95">
        <v>66549978</v>
      </c>
      <c r="AG285" s="95">
        <v>0</v>
      </c>
      <c r="AH285" s="120">
        <v>0</v>
      </c>
      <c r="AI285" s="120">
        <v>8450011</v>
      </c>
      <c r="AJ285" s="84">
        <v>11</v>
      </c>
      <c r="AK285" s="84">
        <v>0</v>
      </c>
      <c r="AL285" s="84">
        <v>4225011</v>
      </c>
      <c r="AM285" s="84">
        <v>12675033</v>
      </c>
      <c r="AN285" s="121">
        <v>12675033</v>
      </c>
      <c r="AO285" s="84">
        <v>4225011</v>
      </c>
      <c r="AP285" s="95">
        <v>62324967</v>
      </c>
      <c r="AQ285" s="84">
        <v>0</v>
      </c>
      <c r="AS285" s="118">
        <f t="shared" si="73"/>
        <v>0</v>
      </c>
    </row>
    <row r="286" spans="1:45" x14ac:dyDescent="0.25">
      <c r="A286" s="134">
        <v>2321105</v>
      </c>
      <c r="B286" s="86" t="s">
        <v>126</v>
      </c>
      <c r="C286" s="91">
        <v>128000000</v>
      </c>
      <c r="D286" s="91">
        <v>0</v>
      </c>
      <c r="E286" s="91">
        <v>0</v>
      </c>
      <c r="F286" s="91">
        <v>0</v>
      </c>
      <c r="G286" s="91">
        <f t="shared" si="74"/>
        <v>128000000</v>
      </c>
      <c r="H286" s="91">
        <v>0</v>
      </c>
      <c r="I286" s="91">
        <v>0</v>
      </c>
      <c r="J286" s="91">
        <f t="shared" si="75"/>
        <v>128000000</v>
      </c>
      <c r="K286" s="91">
        <v>0</v>
      </c>
      <c r="L286" s="91">
        <v>0</v>
      </c>
      <c r="M286" s="91">
        <f t="shared" si="76"/>
        <v>0</v>
      </c>
      <c r="N286" s="91">
        <v>0</v>
      </c>
      <c r="O286" s="91">
        <f t="shared" si="77"/>
        <v>0</v>
      </c>
      <c r="P286" s="91">
        <f t="shared" si="78"/>
        <v>128000000</v>
      </c>
      <c r="Q286" s="91">
        <f t="shared" si="79"/>
        <v>0</v>
      </c>
      <c r="S286" s="96">
        <v>2321105</v>
      </c>
      <c r="T286" s="117" t="s">
        <v>126</v>
      </c>
      <c r="U286" s="95">
        <v>128000000</v>
      </c>
      <c r="V286" s="95">
        <v>0</v>
      </c>
      <c r="W286" s="95">
        <v>0</v>
      </c>
      <c r="X286" s="95">
        <v>0</v>
      </c>
      <c r="Y286" s="95">
        <v>128000000</v>
      </c>
      <c r="Z286" s="95">
        <v>0</v>
      </c>
      <c r="AA286" s="95">
        <v>0</v>
      </c>
      <c r="AB286" s="120">
        <v>0</v>
      </c>
      <c r="AC286" s="95">
        <v>0</v>
      </c>
      <c r="AD286" s="95">
        <v>0</v>
      </c>
      <c r="AE286" s="120">
        <v>0</v>
      </c>
      <c r="AF286" s="95">
        <v>128000000</v>
      </c>
      <c r="AG286" s="95">
        <v>0</v>
      </c>
      <c r="AH286" s="120">
        <v>0</v>
      </c>
      <c r="AI286" s="120">
        <v>0</v>
      </c>
      <c r="AJ286" s="84">
        <v>0</v>
      </c>
      <c r="AK286" s="84">
        <v>0</v>
      </c>
      <c r="AL286" s="84">
        <v>0</v>
      </c>
      <c r="AM286" s="84">
        <v>0</v>
      </c>
      <c r="AN286" s="121">
        <v>0</v>
      </c>
      <c r="AO286" s="84">
        <v>0</v>
      </c>
      <c r="AP286" s="95">
        <v>128000000</v>
      </c>
      <c r="AQ286" s="84">
        <v>0</v>
      </c>
      <c r="AS286" s="118">
        <f t="shared" si="73"/>
        <v>0</v>
      </c>
    </row>
    <row r="287" spans="1:45" x14ac:dyDescent="0.25">
      <c r="A287" s="134">
        <v>2321106</v>
      </c>
      <c r="B287" s="86" t="s">
        <v>127</v>
      </c>
      <c r="C287" s="91">
        <v>90000000</v>
      </c>
      <c r="D287" s="91">
        <v>0</v>
      </c>
      <c r="E287" s="91">
        <v>0</v>
      </c>
      <c r="F287" s="91">
        <v>20000000</v>
      </c>
      <c r="G287" s="91">
        <f t="shared" si="74"/>
        <v>110000000</v>
      </c>
      <c r="H287" s="91">
        <v>175560</v>
      </c>
      <c r="I287" s="91">
        <v>351120</v>
      </c>
      <c r="J287" s="91">
        <f t="shared" si="75"/>
        <v>109648880</v>
      </c>
      <c r="K287" s="91">
        <v>175560</v>
      </c>
      <c r="L287" s="91">
        <v>351120</v>
      </c>
      <c r="M287" s="91">
        <f t="shared" si="76"/>
        <v>0</v>
      </c>
      <c r="N287" s="91">
        <v>351120</v>
      </c>
      <c r="O287" s="91">
        <f t="shared" si="77"/>
        <v>0</v>
      </c>
      <c r="P287" s="91">
        <f t="shared" si="78"/>
        <v>109648880</v>
      </c>
      <c r="Q287" s="91">
        <f t="shared" si="79"/>
        <v>351120</v>
      </c>
      <c r="S287" s="96">
        <v>2321106</v>
      </c>
      <c r="T287" s="117" t="s">
        <v>127</v>
      </c>
      <c r="U287" s="95">
        <v>90000000</v>
      </c>
      <c r="V287" s="95">
        <v>0</v>
      </c>
      <c r="W287" s="95">
        <v>0</v>
      </c>
      <c r="X287" s="95">
        <v>20000000</v>
      </c>
      <c r="Y287" s="95">
        <v>110000000</v>
      </c>
      <c r="Z287" s="95">
        <v>0</v>
      </c>
      <c r="AA287" s="95">
        <v>0</v>
      </c>
      <c r="AB287" s="120">
        <v>175560</v>
      </c>
      <c r="AC287" s="95">
        <v>175560</v>
      </c>
      <c r="AD287" s="95">
        <v>351120</v>
      </c>
      <c r="AE287" s="120">
        <v>351120</v>
      </c>
      <c r="AF287" s="95">
        <v>109648880</v>
      </c>
      <c r="AG287" s="95">
        <v>0</v>
      </c>
      <c r="AH287" s="120">
        <v>175560</v>
      </c>
      <c r="AI287" s="120">
        <v>351120</v>
      </c>
      <c r="AJ287" s="84">
        <v>0</v>
      </c>
      <c r="AK287" s="84">
        <v>0</v>
      </c>
      <c r="AL287" s="84">
        <v>175560</v>
      </c>
      <c r="AM287" s="84">
        <v>351120</v>
      </c>
      <c r="AN287" s="121">
        <v>351120</v>
      </c>
      <c r="AO287" s="84">
        <v>0</v>
      </c>
      <c r="AP287" s="95">
        <v>109648880</v>
      </c>
      <c r="AQ287" s="84">
        <v>0</v>
      </c>
      <c r="AS287" s="118">
        <f t="shared" si="73"/>
        <v>0</v>
      </c>
    </row>
    <row r="288" spans="1:45" x14ac:dyDescent="0.25">
      <c r="A288" s="134">
        <v>2321107</v>
      </c>
      <c r="B288" s="86" t="s">
        <v>128</v>
      </c>
      <c r="C288" s="91">
        <v>320000000</v>
      </c>
      <c r="D288" s="91">
        <v>0</v>
      </c>
      <c r="E288" s="91">
        <v>0</v>
      </c>
      <c r="F288" s="91">
        <v>150000000</v>
      </c>
      <c r="G288" s="91">
        <f t="shared" si="74"/>
        <v>470000000</v>
      </c>
      <c r="H288" s="91">
        <v>0</v>
      </c>
      <c r="I288" s="91">
        <v>87447035</v>
      </c>
      <c r="J288" s="91">
        <f t="shared" si="75"/>
        <v>382552965</v>
      </c>
      <c r="K288" s="91">
        <v>0</v>
      </c>
      <c r="L288" s="91">
        <v>0</v>
      </c>
      <c r="M288" s="91">
        <f t="shared" si="76"/>
        <v>87447035</v>
      </c>
      <c r="N288" s="91">
        <v>87447035</v>
      </c>
      <c r="O288" s="91">
        <f t="shared" si="77"/>
        <v>0</v>
      </c>
      <c r="P288" s="91">
        <f t="shared" si="78"/>
        <v>382552965</v>
      </c>
      <c r="Q288" s="91">
        <f t="shared" si="79"/>
        <v>0</v>
      </c>
      <c r="S288" s="96">
        <v>2321107</v>
      </c>
      <c r="T288" s="117" t="s">
        <v>128</v>
      </c>
      <c r="U288" s="95">
        <v>320000000</v>
      </c>
      <c r="V288" s="95">
        <v>0</v>
      </c>
      <c r="W288" s="95">
        <v>0</v>
      </c>
      <c r="X288" s="95">
        <v>150000000</v>
      </c>
      <c r="Y288" s="95">
        <v>470000000</v>
      </c>
      <c r="Z288" s="95">
        <v>0</v>
      </c>
      <c r="AA288" s="95">
        <v>0</v>
      </c>
      <c r="AB288" s="120">
        <v>0</v>
      </c>
      <c r="AC288" s="95">
        <v>0</v>
      </c>
      <c r="AD288" s="95">
        <v>87447035</v>
      </c>
      <c r="AE288" s="120">
        <v>87447035</v>
      </c>
      <c r="AF288" s="95">
        <v>382552965</v>
      </c>
      <c r="AG288" s="95">
        <v>0</v>
      </c>
      <c r="AH288" s="120">
        <v>0</v>
      </c>
      <c r="AI288" s="120">
        <v>0</v>
      </c>
      <c r="AJ288" s="84">
        <v>87447035</v>
      </c>
      <c r="AK288" s="84">
        <v>0</v>
      </c>
      <c r="AL288" s="84">
        <v>0</v>
      </c>
      <c r="AM288" s="84">
        <v>87447035</v>
      </c>
      <c r="AN288" s="121">
        <v>87447035</v>
      </c>
      <c r="AO288" s="84">
        <v>0</v>
      </c>
      <c r="AP288" s="95">
        <v>382552965</v>
      </c>
      <c r="AQ288" s="84">
        <v>0</v>
      </c>
      <c r="AS288" s="118">
        <f t="shared" si="73"/>
        <v>0</v>
      </c>
    </row>
    <row r="289" spans="1:45" x14ac:dyDescent="0.25">
      <c r="A289" s="134">
        <v>2321108</v>
      </c>
      <c r="B289" s="86" t="s">
        <v>129</v>
      </c>
      <c r="C289" s="91">
        <v>16588404</v>
      </c>
      <c r="D289" s="91">
        <v>0</v>
      </c>
      <c r="E289" s="91">
        <v>0</v>
      </c>
      <c r="F289" s="91">
        <v>0</v>
      </c>
      <c r="G289" s="91">
        <f t="shared" si="74"/>
        <v>16588404</v>
      </c>
      <c r="H289" s="91">
        <v>0</v>
      </c>
      <c r="I289" s="91">
        <v>0</v>
      </c>
      <c r="J289" s="91">
        <f t="shared" si="75"/>
        <v>16588404</v>
      </c>
      <c r="K289" s="91">
        <v>0</v>
      </c>
      <c r="L289" s="91">
        <v>0</v>
      </c>
      <c r="M289" s="91">
        <f t="shared" si="76"/>
        <v>0</v>
      </c>
      <c r="N289" s="91">
        <v>0</v>
      </c>
      <c r="O289" s="91">
        <f t="shared" si="77"/>
        <v>0</v>
      </c>
      <c r="P289" s="91">
        <f t="shared" si="78"/>
        <v>16588404</v>
      </c>
      <c r="Q289" s="91">
        <f t="shared" si="79"/>
        <v>0</v>
      </c>
      <c r="S289" s="96">
        <v>2321108</v>
      </c>
      <c r="T289" s="117" t="s">
        <v>129</v>
      </c>
      <c r="U289" s="95">
        <v>16588404</v>
      </c>
      <c r="V289" s="95">
        <v>0</v>
      </c>
      <c r="W289" s="95">
        <v>0</v>
      </c>
      <c r="X289" s="95">
        <v>0</v>
      </c>
      <c r="Y289" s="95">
        <v>16588404</v>
      </c>
      <c r="Z289" s="95">
        <v>0</v>
      </c>
      <c r="AA289" s="95">
        <v>0</v>
      </c>
      <c r="AB289" s="120">
        <v>0</v>
      </c>
      <c r="AC289" s="95">
        <v>0</v>
      </c>
      <c r="AD289" s="95">
        <v>0</v>
      </c>
      <c r="AE289" s="120">
        <v>0</v>
      </c>
      <c r="AF289" s="95">
        <v>16588404</v>
      </c>
      <c r="AG289" s="95">
        <v>0</v>
      </c>
      <c r="AH289" s="120">
        <v>0</v>
      </c>
      <c r="AI289" s="120">
        <v>0</v>
      </c>
      <c r="AJ289" s="84">
        <v>0</v>
      </c>
      <c r="AK289" s="84">
        <v>0</v>
      </c>
      <c r="AL289" s="84">
        <v>0</v>
      </c>
      <c r="AM289" s="84">
        <v>0</v>
      </c>
      <c r="AN289" s="121">
        <v>0</v>
      </c>
      <c r="AO289" s="84">
        <v>0</v>
      </c>
      <c r="AP289" s="95">
        <v>16588404</v>
      </c>
      <c r="AQ289" s="84">
        <v>0</v>
      </c>
      <c r="AS289" s="118">
        <f t="shared" si="73"/>
        <v>0</v>
      </c>
    </row>
    <row r="290" spans="1:45" x14ac:dyDescent="0.25">
      <c r="A290" s="134">
        <v>2321109</v>
      </c>
      <c r="B290" s="86" t="s">
        <v>130</v>
      </c>
      <c r="C290" s="91">
        <v>29005798</v>
      </c>
      <c r="D290" s="91">
        <v>0</v>
      </c>
      <c r="E290" s="91">
        <v>0</v>
      </c>
      <c r="F290" s="91">
        <v>0</v>
      </c>
      <c r="G290" s="91">
        <f t="shared" si="74"/>
        <v>29005798</v>
      </c>
      <c r="H290" s="91">
        <v>0</v>
      </c>
      <c r="I290" s="91">
        <v>0</v>
      </c>
      <c r="J290" s="91">
        <f t="shared" si="75"/>
        <v>29005798</v>
      </c>
      <c r="K290" s="91">
        <v>0</v>
      </c>
      <c r="L290" s="91">
        <v>0</v>
      </c>
      <c r="M290" s="91">
        <f t="shared" si="76"/>
        <v>0</v>
      </c>
      <c r="N290" s="91">
        <v>0</v>
      </c>
      <c r="O290" s="91">
        <f t="shared" si="77"/>
        <v>0</v>
      </c>
      <c r="P290" s="91">
        <f t="shared" si="78"/>
        <v>29005798</v>
      </c>
      <c r="Q290" s="91">
        <f t="shared" si="79"/>
        <v>0</v>
      </c>
      <c r="S290" s="96">
        <v>2321109</v>
      </c>
      <c r="T290" s="117" t="s">
        <v>130</v>
      </c>
      <c r="U290" s="95">
        <v>29005798</v>
      </c>
      <c r="V290" s="95">
        <v>0</v>
      </c>
      <c r="W290" s="95">
        <v>0</v>
      </c>
      <c r="X290" s="95">
        <v>0</v>
      </c>
      <c r="Y290" s="95">
        <v>29005798</v>
      </c>
      <c r="Z290" s="95">
        <v>0</v>
      </c>
      <c r="AA290" s="95">
        <v>0</v>
      </c>
      <c r="AB290" s="120">
        <v>0</v>
      </c>
      <c r="AC290" s="95">
        <v>0</v>
      </c>
      <c r="AD290" s="95">
        <v>0</v>
      </c>
      <c r="AE290" s="120">
        <v>0</v>
      </c>
      <c r="AF290" s="95">
        <v>29005798</v>
      </c>
      <c r="AG290" s="95">
        <v>0</v>
      </c>
      <c r="AH290" s="120">
        <v>0</v>
      </c>
      <c r="AI290" s="120">
        <v>0</v>
      </c>
      <c r="AJ290" s="84">
        <v>0</v>
      </c>
      <c r="AK290" s="84">
        <v>0</v>
      </c>
      <c r="AL290" s="84">
        <v>0</v>
      </c>
      <c r="AM290" s="84">
        <v>0</v>
      </c>
      <c r="AN290" s="121">
        <v>0</v>
      </c>
      <c r="AO290" s="84">
        <v>0</v>
      </c>
      <c r="AP290" s="95">
        <v>29005798</v>
      </c>
      <c r="AQ290" s="84">
        <v>0</v>
      </c>
      <c r="AS290" s="118">
        <f t="shared" si="73"/>
        <v>0</v>
      </c>
    </row>
    <row r="291" spans="1:45" x14ac:dyDescent="0.25">
      <c r="A291" s="134">
        <v>2321110</v>
      </c>
      <c r="B291" s="86" t="s">
        <v>131</v>
      </c>
      <c r="C291" s="91">
        <v>25000000</v>
      </c>
      <c r="D291" s="91">
        <v>0</v>
      </c>
      <c r="E291" s="91">
        <v>0</v>
      </c>
      <c r="F291" s="91">
        <v>0</v>
      </c>
      <c r="G291" s="91">
        <f t="shared" si="74"/>
        <v>25000000</v>
      </c>
      <c r="H291" s="91">
        <v>0</v>
      </c>
      <c r="I291" s="91">
        <v>0</v>
      </c>
      <c r="J291" s="91">
        <f t="shared" si="75"/>
        <v>25000000</v>
      </c>
      <c r="K291" s="91">
        <v>0</v>
      </c>
      <c r="L291" s="91">
        <v>0</v>
      </c>
      <c r="M291" s="91">
        <f t="shared" si="76"/>
        <v>0</v>
      </c>
      <c r="N291" s="91">
        <v>0</v>
      </c>
      <c r="O291" s="91">
        <f t="shared" si="77"/>
        <v>0</v>
      </c>
      <c r="P291" s="91">
        <f t="shared" si="78"/>
        <v>25000000</v>
      </c>
      <c r="Q291" s="91">
        <f t="shared" si="79"/>
        <v>0</v>
      </c>
      <c r="S291" s="96">
        <v>2321110</v>
      </c>
      <c r="T291" s="117" t="s">
        <v>131</v>
      </c>
      <c r="U291" s="95">
        <v>25000000</v>
      </c>
      <c r="V291" s="95">
        <v>0</v>
      </c>
      <c r="W291" s="95">
        <v>0</v>
      </c>
      <c r="X291" s="95">
        <v>0</v>
      </c>
      <c r="Y291" s="95">
        <v>25000000</v>
      </c>
      <c r="Z291" s="95">
        <v>0</v>
      </c>
      <c r="AA291" s="95">
        <v>0</v>
      </c>
      <c r="AB291" s="120">
        <v>0</v>
      </c>
      <c r="AC291" s="95">
        <v>0</v>
      </c>
      <c r="AD291" s="95">
        <v>0</v>
      </c>
      <c r="AE291" s="120">
        <v>0</v>
      </c>
      <c r="AF291" s="95">
        <v>25000000</v>
      </c>
      <c r="AG291" s="95">
        <v>0</v>
      </c>
      <c r="AH291" s="120">
        <v>0</v>
      </c>
      <c r="AI291" s="120">
        <v>0</v>
      </c>
      <c r="AJ291" s="84">
        <v>0</v>
      </c>
      <c r="AK291" s="84">
        <v>0</v>
      </c>
      <c r="AL291" s="84">
        <v>0</v>
      </c>
      <c r="AM291" s="84">
        <v>0</v>
      </c>
      <c r="AN291" s="121">
        <v>0</v>
      </c>
      <c r="AO291" s="84">
        <v>0</v>
      </c>
      <c r="AP291" s="95">
        <v>25000000</v>
      </c>
      <c r="AQ291" s="84">
        <v>0</v>
      </c>
      <c r="AS291" s="118">
        <f t="shared" si="73"/>
        <v>0</v>
      </c>
    </row>
    <row r="292" spans="1:45" s="100" customFormat="1" x14ac:dyDescent="0.25">
      <c r="A292" s="134">
        <v>2321112</v>
      </c>
      <c r="B292" s="86" t="s">
        <v>132</v>
      </c>
      <c r="C292" s="91">
        <v>650000000</v>
      </c>
      <c r="D292" s="91">
        <v>0</v>
      </c>
      <c r="E292" s="91">
        <v>0</v>
      </c>
      <c r="F292" s="91">
        <v>181000000</v>
      </c>
      <c r="G292" s="91">
        <f t="shared" si="74"/>
        <v>831000000</v>
      </c>
      <c r="H292" s="91">
        <v>27287940</v>
      </c>
      <c r="I292" s="91">
        <v>29239365</v>
      </c>
      <c r="J292" s="91">
        <f t="shared" si="75"/>
        <v>801760635</v>
      </c>
      <c r="K292" s="91">
        <v>8329000</v>
      </c>
      <c r="L292" s="91">
        <v>9098575</v>
      </c>
      <c r="M292" s="91">
        <f t="shared" si="76"/>
        <v>20140790</v>
      </c>
      <c r="N292" s="91">
        <v>35358575</v>
      </c>
      <c r="O292" s="91">
        <f t="shared" si="77"/>
        <v>6119210</v>
      </c>
      <c r="P292" s="91">
        <f t="shared" si="78"/>
        <v>795641425</v>
      </c>
      <c r="Q292" s="91">
        <f t="shared" si="79"/>
        <v>9098575</v>
      </c>
      <c r="R292" s="84"/>
      <c r="S292" s="101">
        <v>2321112</v>
      </c>
      <c r="T292" s="116" t="s">
        <v>132</v>
      </c>
      <c r="U292" s="102">
        <v>650000000</v>
      </c>
      <c r="V292" s="102">
        <v>0</v>
      </c>
      <c r="W292" s="102">
        <v>0</v>
      </c>
      <c r="X292" s="102">
        <v>181000000</v>
      </c>
      <c r="Y292" s="102">
        <v>831000000</v>
      </c>
      <c r="Z292" s="102">
        <v>0</v>
      </c>
      <c r="AA292" s="102">
        <v>0</v>
      </c>
      <c r="AB292" s="119">
        <v>27287940</v>
      </c>
      <c r="AC292" s="102">
        <v>27287940</v>
      </c>
      <c r="AD292" s="102">
        <v>29239365</v>
      </c>
      <c r="AE292" s="119">
        <v>29239365</v>
      </c>
      <c r="AF292" s="102">
        <v>801760635</v>
      </c>
      <c r="AG292" s="102">
        <v>0</v>
      </c>
      <c r="AH292" s="119">
        <v>8329000</v>
      </c>
      <c r="AI292" s="119">
        <v>9098575</v>
      </c>
      <c r="AJ292" s="100">
        <v>20140790</v>
      </c>
      <c r="AK292" s="100">
        <v>0</v>
      </c>
      <c r="AL292" s="100">
        <v>8329000</v>
      </c>
      <c r="AM292" s="100">
        <v>35358575</v>
      </c>
      <c r="AN292" s="122">
        <v>35358575</v>
      </c>
      <c r="AO292" s="100">
        <v>6119210</v>
      </c>
      <c r="AP292" s="102">
        <v>795641425</v>
      </c>
      <c r="AQ292" s="100">
        <v>0</v>
      </c>
      <c r="AS292" s="118">
        <f t="shared" si="73"/>
        <v>0</v>
      </c>
    </row>
    <row r="293" spans="1:45" x14ac:dyDescent="0.25">
      <c r="A293" s="134">
        <v>2321113</v>
      </c>
      <c r="B293" s="86" t="s">
        <v>133</v>
      </c>
      <c r="C293" s="91">
        <v>255215798</v>
      </c>
      <c r="D293" s="91">
        <v>0</v>
      </c>
      <c r="E293" s="91">
        <v>0</v>
      </c>
      <c r="F293" s="91">
        <v>15000000</v>
      </c>
      <c r="G293" s="91">
        <f t="shared" si="74"/>
        <v>270215798</v>
      </c>
      <c r="H293" s="91">
        <v>39056864</v>
      </c>
      <c r="I293" s="91">
        <v>75142463</v>
      </c>
      <c r="J293" s="91">
        <f t="shared" si="75"/>
        <v>195073335</v>
      </c>
      <c r="K293" s="91">
        <v>22808613</v>
      </c>
      <c r="L293" s="91">
        <v>25749313</v>
      </c>
      <c r="M293" s="91">
        <f t="shared" si="76"/>
        <v>49393150</v>
      </c>
      <c r="N293" s="91">
        <v>83935764</v>
      </c>
      <c r="O293" s="91">
        <f t="shared" si="77"/>
        <v>8793301</v>
      </c>
      <c r="P293" s="91">
        <f t="shared" si="78"/>
        <v>186280034</v>
      </c>
      <c r="Q293" s="91">
        <f t="shared" si="79"/>
        <v>25749313</v>
      </c>
      <c r="S293" s="96">
        <v>2321113</v>
      </c>
      <c r="T293" s="117" t="s">
        <v>133</v>
      </c>
      <c r="U293" s="95">
        <v>255215798</v>
      </c>
      <c r="V293" s="95">
        <v>0</v>
      </c>
      <c r="W293" s="95">
        <v>0</v>
      </c>
      <c r="X293" s="95">
        <v>15000000</v>
      </c>
      <c r="Y293" s="95">
        <v>270215798</v>
      </c>
      <c r="Z293" s="95">
        <v>0</v>
      </c>
      <c r="AA293" s="95">
        <v>0</v>
      </c>
      <c r="AB293" s="120">
        <v>39056864</v>
      </c>
      <c r="AC293" s="95">
        <v>39056864</v>
      </c>
      <c r="AD293" s="95">
        <v>75142463</v>
      </c>
      <c r="AE293" s="120">
        <v>75142463</v>
      </c>
      <c r="AF293" s="95">
        <v>195073335</v>
      </c>
      <c r="AG293" s="95">
        <v>0</v>
      </c>
      <c r="AH293" s="120">
        <v>22808613</v>
      </c>
      <c r="AI293" s="120">
        <v>25749313</v>
      </c>
      <c r="AJ293" s="84">
        <v>49393150</v>
      </c>
      <c r="AK293" s="84">
        <v>0</v>
      </c>
      <c r="AL293" s="84">
        <v>7374764</v>
      </c>
      <c r="AM293" s="84">
        <v>83935764</v>
      </c>
      <c r="AN293" s="121">
        <v>83935764</v>
      </c>
      <c r="AO293" s="84">
        <v>8793301</v>
      </c>
      <c r="AP293" s="95">
        <v>186280034</v>
      </c>
      <c r="AQ293" s="84">
        <v>0</v>
      </c>
      <c r="AS293" s="118">
        <f t="shared" si="73"/>
        <v>0</v>
      </c>
    </row>
    <row r="294" spans="1:45" x14ac:dyDescent="0.25">
      <c r="A294" s="109">
        <v>23212</v>
      </c>
      <c r="B294" s="110" t="s">
        <v>134</v>
      </c>
      <c r="C294" s="111">
        <f>SUM(C295:C297)</f>
        <v>495000000</v>
      </c>
      <c r="D294" s="111">
        <v>0</v>
      </c>
      <c r="E294" s="111">
        <v>0</v>
      </c>
      <c r="F294" s="111">
        <v>93000000</v>
      </c>
      <c r="G294" s="111">
        <f t="shared" si="74"/>
        <v>588000000</v>
      </c>
      <c r="H294" s="111">
        <v>28720954</v>
      </c>
      <c r="I294" s="111">
        <v>122103123</v>
      </c>
      <c r="J294" s="111">
        <f t="shared" si="75"/>
        <v>465896877</v>
      </c>
      <c r="K294" s="111">
        <v>90167859</v>
      </c>
      <c r="L294" s="111">
        <v>90167859</v>
      </c>
      <c r="M294" s="111">
        <f t="shared" si="76"/>
        <v>31935264</v>
      </c>
      <c r="N294" s="111">
        <v>366232216</v>
      </c>
      <c r="O294" s="111">
        <f t="shared" si="77"/>
        <v>244129093</v>
      </c>
      <c r="P294" s="111">
        <f t="shared" si="78"/>
        <v>221767784</v>
      </c>
      <c r="Q294" s="111">
        <f t="shared" si="79"/>
        <v>90167859</v>
      </c>
      <c r="R294" s="100"/>
      <c r="S294" s="96">
        <v>23212</v>
      </c>
      <c r="T294" s="117" t="s">
        <v>134</v>
      </c>
      <c r="U294" s="95">
        <v>495000000</v>
      </c>
      <c r="V294" s="95">
        <v>0</v>
      </c>
      <c r="W294" s="95">
        <v>0</v>
      </c>
      <c r="X294" s="95">
        <v>93000000</v>
      </c>
      <c r="Y294" s="95">
        <v>588000000</v>
      </c>
      <c r="Z294" s="95">
        <v>0</v>
      </c>
      <c r="AA294" s="95">
        <v>0</v>
      </c>
      <c r="AB294" s="120">
        <v>28720954</v>
      </c>
      <c r="AC294" s="95">
        <v>28720954</v>
      </c>
      <c r="AD294" s="95">
        <v>122103123</v>
      </c>
      <c r="AE294" s="120">
        <v>122103123</v>
      </c>
      <c r="AF294" s="95">
        <v>465896877</v>
      </c>
      <c r="AG294" s="95">
        <v>0</v>
      </c>
      <c r="AH294" s="120">
        <v>90167859</v>
      </c>
      <c r="AI294" s="120">
        <v>90167859</v>
      </c>
      <c r="AJ294" s="84">
        <v>31935264</v>
      </c>
      <c r="AK294" s="84">
        <v>0</v>
      </c>
      <c r="AL294" s="84">
        <v>36232216</v>
      </c>
      <c r="AM294" s="84">
        <v>366232216</v>
      </c>
      <c r="AN294" s="121">
        <v>366232216</v>
      </c>
      <c r="AO294" s="84">
        <v>244129093</v>
      </c>
      <c r="AP294" s="95">
        <v>221767784</v>
      </c>
      <c r="AQ294" s="84">
        <v>0</v>
      </c>
      <c r="AS294" s="118">
        <f t="shared" si="73"/>
        <v>0</v>
      </c>
    </row>
    <row r="295" spans="1:45" x14ac:dyDescent="0.25">
      <c r="A295" s="134">
        <v>232121</v>
      </c>
      <c r="B295" s="86" t="s">
        <v>135</v>
      </c>
      <c r="C295" s="91">
        <v>380000000</v>
      </c>
      <c r="D295" s="91">
        <v>0</v>
      </c>
      <c r="E295" s="91">
        <v>0</v>
      </c>
      <c r="F295" s="91">
        <v>93000000</v>
      </c>
      <c r="G295" s="91">
        <f t="shared" si="74"/>
        <v>473000000</v>
      </c>
      <c r="H295" s="91">
        <v>28702626</v>
      </c>
      <c r="I295" s="91">
        <v>122084795</v>
      </c>
      <c r="J295" s="91">
        <f t="shared" si="75"/>
        <v>350915205</v>
      </c>
      <c r="K295" s="91">
        <v>90167859</v>
      </c>
      <c r="L295" s="91">
        <v>90167859</v>
      </c>
      <c r="M295" s="91">
        <f t="shared" si="76"/>
        <v>31916936</v>
      </c>
      <c r="N295" s="91">
        <v>330000000</v>
      </c>
      <c r="O295" s="91">
        <f t="shared" si="77"/>
        <v>207915205</v>
      </c>
      <c r="P295" s="91">
        <f t="shared" si="78"/>
        <v>143000000</v>
      </c>
      <c r="Q295" s="91">
        <f t="shared" si="79"/>
        <v>90167859</v>
      </c>
      <c r="S295" s="96">
        <v>232121</v>
      </c>
      <c r="T295" s="117" t="s">
        <v>135</v>
      </c>
      <c r="U295" s="95">
        <v>380000000</v>
      </c>
      <c r="V295" s="95">
        <v>0</v>
      </c>
      <c r="W295" s="95">
        <v>0</v>
      </c>
      <c r="X295" s="95">
        <v>93000000</v>
      </c>
      <c r="Y295" s="95">
        <v>473000000</v>
      </c>
      <c r="Z295" s="95">
        <v>0</v>
      </c>
      <c r="AA295" s="95">
        <v>0</v>
      </c>
      <c r="AB295" s="120">
        <v>28702626</v>
      </c>
      <c r="AC295" s="95">
        <v>28702626</v>
      </c>
      <c r="AD295" s="95">
        <v>122084795</v>
      </c>
      <c r="AE295" s="120">
        <v>122084795</v>
      </c>
      <c r="AF295" s="95">
        <v>350915205</v>
      </c>
      <c r="AG295" s="95">
        <v>0</v>
      </c>
      <c r="AH295" s="120">
        <v>90167859</v>
      </c>
      <c r="AI295" s="120">
        <v>90167859</v>
      </c>
      <c r="AJ295" s="84">
        <v>31916936</v>
      </c>
      <c r="AK295" s="84">
        <v>0</v>
      </c>
      <c r="AL295" s="84">
        <v>0</v>
      </c>
      <c r="AM295" s="84">
        <v>330000000</v>
      </c>
      <c r="AN295" s="121">
        <v>330000000</v>
      </c>
      <c r="AO295" s="84">
        <v>207915205</v>
      </c>
      <c r="AP295" s="95">
        <v>143000000</v>
      </c>
      <c r="AQ295" s="84">
        <v>0</v>
      </c>
      <c r="AS295" s="118">
        <f t="shared" si="73"/>
        <v>0</v>
      </c>
    </row>
    <row r="296" spans="1:45" s="100" customFormat="1" x14ac:dyDescent="0.25">
      <c r="A296" s="134">
        <v>232122</v>
      </c>
      <c r="B296" s="86" t="s">
        <v>136</v>
      </c>
      <c r="C296" s="91">
        <v>100000000</v>
      </c>
      <c r="D296" s="91">
        <v>0</v>
      </c>
      <c r="E296" s="91">
        <v>0</v>
      </c>
      <c r="F296" s="91">
        <v>0</v>
      </c>
      <c r="G296" s="91">
        <f t="shared" si="74"/>
        <v>100000000</v>
      </c>
      <c r="H296" s="91">
        <v>0</v>
      </c>
      <c r="I296" s="91">
        <v>0</v>
      </c>
      <c r="J296" s="91">
        <f t="shared" si="75"/>
        <v>100000000</v>
      </c>
      <c r="K296" s="91">
        <v>0</v>
      </c>
      <c r="L296" s="91">
        <v>0</v>
      </c>
      <c r="M296" s="91">
        <f t="shared" si="76"/>
        <v>0</v>
      </c>
      <c r="N296" s="91">
        <v>35013888</v>
      </c>
      <c r="O296" s="91">
        <f t="shared" si="77"/>
        <v>35013888</v>
      </c>
      <c r="P296" s="91">
        <f t="shared" si="78"/>
        <v>64986112</v>
      </c>
      <c r="Q296" s="91">
        <f t="shared" si="79"/>
        <v>0</v>
      </c>
      <c r="R296" s="84"/>
      <c r="S296" s="101">
        <v>232122</v>
      </c>
      <c r="T296" s="116" t="s">
        <v>136</v>
      </c>
      <c r="U296" s="102">
        <v>100000000</v>
      </c>
      <c r="V296" s="102">
        <v>0</v>
      </c>
      <c r="W296" s="102">
        <v>0</v>
      </c>
      <c r="X296" s="102">
        <v>0</v>
      </c>
      <c r="Y296" s="102">
        <v>100000000</v>
      </c>
      <c r="Z296" s="102">
        <v>0</v>
      </c>
      <c r="AA296" s="102">
        <v>0</v>
      </c>
      <c r="AB296" s="119">
        <v>0</v>
      </c>
      <c r="AC296" s="102">
        <v>0</v>
      </c>
      <c r="AD296" s="102">
        <v>0</v>
      </c>
      <c r="AE296" s="119">
        <v>0</v>
      </c>
      <c r="AF296" s="102">
        <v>100000000</v>
      </c>
      <c r="AG296" s="102">
        <v>0</v>
      </c>
      <c r="AH296" s="119">
        <v>0</v>
      </c>
      <c r="AI296" s="119">
        <v>0</v>
      </c>
      <c r="AJ296" s="100">
        <v>0</v>
      </c>
      <c r="AK296" s="100">
        <v>0</v>
      </c>
      <c r="AL296" s="100">
        <v>35013888</v>
      </c>
      <c r="AM296" s="100">
        <v>35013888</v>
      </c>
      <c r="AN296" s="122">
        <v>35013888</v>
      </c>
      <c r="AO296" s="100">
        <v>35013888</v>
      </c>
      <c r="AP296" s="102">
        <v>64986112</v>
      </c>
      <c r="AQ296" s="100">
        <v>0</v>
      </c>
      <c r="AS296" s="118">
        <f t="shared" si="73"/>
        <v>0</v>
      </c>
    </row>
    <row r="297" spans="1:45" x14ac:dyDescent="0.25">
      <c r="A297" s="134">
        <v>232123</v>
      </c>
      <c r="B297" s="86" t="s">
        <v>137</v>
      </c>
      <c r="C297" s="91">
        <v>15000000</v>
      </c>
      <c r="D297" s="91">
        <v>0</v>
      </c>
      <c r="E297" s="91">
        <v>0</v>
      </c>
      <c r="F297" s="91">
        <v>0</v>
      </c>
      <c r="G297" s="91">
        <f t="shared" si="74"/>
        <v>15000000</v>
      </c>
      <c r="H297" s="91">
        <v>18328</v>
      </c>
      <c r="I297" s="91">
        <v>18328</v>
      </c>
      <c r="J297" s="91">
        <f t="shared" si="75"/>
        <v>14981672</v>
      </c>
      <c r="K297" s="91">
        <v>0</v>
      </c>
      <c r="L297" s="91">
        <v>0</v>
      </c>
      <c r="M297" s="91">
        <f t="shared" si="76"/>
        <v>18328</v>
      </c>
      <c r="N297" s="91">
        <v>1218328</v>
      </c>
      <c r="O297" s="91">
        <f t="shared" si="77"/>
        <v>1200000</v>
      </c>
      <c r="P297" s="91">
        <f t="shared" si="78"/>
        <v>13781672</v>
      </c>
      <c r="Q297" s="91">
        <f t="shared" si="79"/>
        <v>0</v>
      </c>
      <c r="S297" s="96">
        <v>232123</v>
      </c>
      <c r="T297" s="117" t="s">
        <v>137</v>
      </c>
      <c r="U297" s="95">
        <v>15000000</v>
      </c>
      <c r="V297" s="95">
        <v>0</v>
      </c>
      <c r="W297" s="95">
        <v>0</v>
      </c>
      <c r="X297" s="95">
        <v>0</v>
      </c>
      <c r="Y297" s="95">
        <v>15000000</v>
      </c>
      <c r="Z297" s="95">
        <v>0</v>
      </c>
      <c r="AA297" s="95">
        <v>0</v>
      </c>
      <c r="AB297" s="120">
        <v>18328</v>
      </c>
      <c r="AC297" s="95">
        <v>18328</v>
      </c>
      <c r="AD297" s="95">
        <v>18328</v>
      </c>
      <c r="AE297" s="120">
        <v>18328</v>
      </c>
      <c r="AF297" s="95">
        <v>14981672</v>
      </c>
      <c r="AG297" s="95">
        <v>0</v>
      </c>
      <c r="AH297" s="120">
        <v>0</v>
      </c>
      <c r="AI297" s="120">
        <v>0</v>
      </c>
      <c r="AJ297" s="84">
        <v>18328</v>
      </c>
      <c r="AK297" s="84">
        <v>0</v>
      </c>
      <c r="AL297" s="84">
        <v>1218328</v>
      </c>
      <c r="AM297" s="84">
        <v>1218328</v>
      </c>
      <c r="AN297" s="121">
        <v>1218328</v>
      </c>
      <c r="AO297" s="84">
        <v>1200000</v>
      </c>
      <c r="AP297" s="95">
        <v>13781672</v>
      </c>
      <c r="AQ297" s="84">
        <v>0</v>
      </c>
      <c r="AS297" s="118">
        <f t="shared" si="73"/>
        <v>0</v>
      </c>
    </row>
    <row r="298" spans="1:45" x14ac:dyDescent="0.25">
      <c r="A298" s="109">
        <v>23213</v>
      </c>
      <c r="B298" s="110" t="s">
        <v>138</v>
      </c>
      <c r="C298" s="111">
        <f>SUM(C299:C302)</f>
        <v>60000000</v>
      </c>
      <c r="D298" s="111">
        <v>0</v>
      </c>
      <c r="E298" s="111">
        <v>0</v>
      </c>
      <c r="F298" s="111">
        <v>0</v>
      </c>
      <c r="G298" s="111">
        <f t="shared" si="74"/>
        <v>60000000</v>
      </c>
      <c r="H298" s="111">
        <v>0</v>
      </c>
      <c r="I298" s="111">
        <v>0</v>
      </c>
      <c r="J298" s="111">
        <f t="shared" si="75"/>
        <v>60000000</v>
      </c>
      <c r="K298" s="111">
        <v>0</v>
      </c>
      <c r="L298" s="111">
        <v>0</v>
      </c>
      <c r="M298" s="111">
        <f t="shared" si="76"/>
        <v>0</v>
      </c>
      <c r="N298" s="111">
        <v>0</v>
      </c>
      <c r="O298" s="111">
        <f t="shared" si="77"/>
        <v>0</v>
      </c>
      <c r="P298" s="111">
        <f t="shared" si="78"/>
        <v>60000000</v>
      </c>
      <c r="Q298" s="111">
        <f t="shared" si="79"/>
        <v>0</v>
      </c>
      <c r="R298" s="100"/>
      <c r="S298" s="96">
        <v>23213</v>
      </c>
      <c r="T298" s="117" t="s">
        <v>138</v>
      </c>
      <c r="U298" s="95">
        <v>60000000</v>
      </c>
      <c r="V298" s="95">
        <v>0</v>
      </c>
      <c r="W298" s="95">
        <v>0</v>
      </c>
      <c r="X298" s="95">
        <v>0</v>
      </c>
      <c r="Y298" s="95">
        <v>60000000</v>
      </c>
      <c r="Z298" s="95">
        <v>0</v>
      </c>
      <c r="AA298" s="95">
        <v>0</v>
      </c>
      <c r="AB298" s="120">
        <v>0</v>
      </c>
      <c r="AC298" s="95">
        <v>0</v>
      </c>
      <c r="AD298" s="95">
        <v>0</v>
      </c>
      <c r="AE298" s="120">
        <v>0</v>
      </c>
      <c r="AF298" s="95">
        <v>60000000</v>
      </c>
      <c r="AG298" s="95">
        <v>0</v>
      </c>
      <c r="AH298" s="120">
        <v>0</v>
      </c>
      <c r="AI298" s="120">
        <v>0</v>
      </c>
      <c r="AJ298" s="84">
        <v>0</v>
      </c>
      <c r="AK298" s="84">
        <v>0</v>
      </c>
      <c r="AL298" s="84">
        <v>0</v>
      </c>
      <c r="AM298" s="84">
        <v>0</v>
      </c>
      <c r="AN298" s="121">
        <v>0</v>
      </c>
      <c r="AO298" s="84">
        <v>0</v>
      </c>
      <c r="AP298" s="95">
        <v>60000000</v>
      </c>
      <c r="AQ298" s="84">
        <v>0</v>
      </c>
      <c r="AS298" s="118">
        <f t="shared" si="73"/>
        <v>0</v>
      </c>
    </row>
    <row r="299" spans="1:45" x14ac:dyDescent="0.25">
      <c r="A299" s="134">
        <v>232131</v>
      </c>
      <c r="B299" s="86" t="s">
        <v>139</v>
      </c>
      <c r="C299" s="91">
        <v>17000000</v>
      </c>
      <c r="D299" s="91">
        <v>0</v>
      </c>
      <c r="E299" s="91">
        <v>0</v>
      </c>
      <c r="F299" s="91">
        <v>0</v>
      </c>
      <c r="G299" s="91">
        <f t="shared" si="74"/>
        <v>17000000</v>
      </c>
      <c r="H299" s="91">
        <v>0</v>
      </c>
      <c r="I299" s="91">
        <v>0</v>
      </c>
      <c r="J299" s="91">
        <f t="shared" si="75"/>
        <v>17000000</v>
      </c>
      <c r="K299" s="91">
        <v>0</v>
      </c>
      <c r="L299" s="91">
        <v>0</v>
      </c>
      <c r="M299" s="91">
        <f t="shared" si="76"/>
        <v>0</v>
      </c>
      <c r="N299" s="91">
        <v>0</v>
      </c>
      <c r="O299" s="91">
        <f t="shared" si="77"/>
        <v>0</v>
      </c>
      <c r="P299" s="91">
        <f t="shared" si="78"/>
        <v>17000000</v>
      </c>
      <c r="Q299" s="91">
        <f t="shared" si="79"/>
        <v>0</v>
      </c>
      <c r="S299" s="96">
        <v>232131</v>
      </c>
      <c r="T299" s="117" t="s">
        <v>139</v>
      </c>
      <c r="U299" s="95">
        <v>17000000</v>
      </c>
      <c r="V299" s="95">
        <v>0</v>
      </c>
      <c r="W299" s="95">
        <v>0</v>
      </c>
      <c r="X299" s="95">
        <v>0</v>
      </c>
      <c r="Y299" s="95">
        <v>17000000</v>
      </c>
      <c r="Z299" s="95">
        <v>0</v>
      </c>
      <c r="AA299" s="95">
        <v>0</v>
      </c>
      <c r="AB299" s="120">
        <v>0</v>
      </c>
      <c r="AC299" s="95">
        <v>0</v>
      </c>
      <c r="AD299" s="95">
        <v>0</v>
      </c>
      <c r="AE299" s="120">
        <v>0</v>
      </c>
      <c r="AF299" s="95">
        <v>17000000</v>
      </c>
      <c r="AG299" s="95">
        <v>0</v>
      </c>
      <c r="AH299" s="120">
        <v>0</v>
      </c>
      <c r="AI299" s="120">
        <v>0</v>
      </c>
      <c r="AJ299" s="84">
        <v>0</v>
      </c>
      <c r="AK299" s="84">
        <v>0</v>
      </c>
      <c r="AL299" s="84">
        <v>0</v>
      </c>
      <c r="AM299" s="84">
        <v>0</v>
      </c>
      <c r="AN299" s="121">
        <v>0</v>
      </c>
      <c r="AO299" s="84">
        <v>0</v>
      </c>
      <c r="AP299" s="95">
        <v>17000000</v>
      </c>
      <c r="AQ299" s="84">
        <v>0</v>
      </c>
      <c r="AS299" s="118">
        <f t="shared" si="73"/>
        <v>0</v>
      </c>
    </row>
    <row r="300" spans="1:45" x14ac:dyDescent="0.25">
      <c r="A300" s="134">
        <v>232132</v>
      </c>
      <c r="B300" s="86" t="s">
        <v>140</v>
      </c>
      <c r="C300" s="91">
        <v>15000000</v>
      </c>
      <c r="D300" s="91">
        <v>0</v>
      </c>
      <c r="E300" s="91">
        <v>0</v>
      </c>
      <c r="F300" s="91">
        <v>0</v>
      </c>
      <c r="G300" s="91">
        <f t="shared" si="74"/>
        <v>15000000</v>
      </c>
      <c r="H300" s="91">
        <v>0</v>
      </c>
      <c r="I300" s="91">
        <v>0</v>
      </c>
      <c r="J300" s="91">
        <f t="shared" si="75"/>
        <v>15000000</v>
      </c>
      <c r="K300" s="91">
        <v>0</v>
      </c>
      <c r="L300" s="91">
        <v>0</v>
      </c>
      <c r="M300" s="91">
        <f t="shared" si="76"/>
        <v>0</v>
      </c>
      <c r="N300" s="91">
        <v>0</v>
      </c>
      <c r="O300" s="91">
        <f t="shared" si="77"/>
        <v>0</v>
      </c>
      <c r="P300" s="91">
        <f t="shared" si="78"/>
        <v>15000000</v>
      </c>
      <c r="Q300" s="91">
        <f t="shared" si="79"/>
        <v>0</v>
      </c>
      <c r="S300" s="96">
        <v>232132</v>
      </c>
      <c r="T300" s="117" t="s">
        <v>140</v>
      </c>
      <c r="U300" s="95">
        <v>15000000</v>
      </c>
      <c r="V300" s="95">
        <v>0</v>
      </c>
      <c r="W300" s="95">
        <v>0</v>
      </c>
      <c r="X300" s="95">
        <v>0</v>
      </c>
      <c r="Y300" s="95">
        <v>15000000</v>
      </c>
      <c r="Z300" s="95">
        <v>0</v>
      </c>
      <c r="AA300" s="95">
        <v>0</v>
      </c>
      <c r="AB300" s="120">
        <v>0</v>
      </c>
      <c r="AC300" s="95">
        <v>0</v>
      </c>
      <c r="AD300" s="95">
        <v>0</v>
      </c>
      <c r="AE300" s="120">
        <v>0</v>
      </c>
      <c r="AF300" s="95">
        <v>15000000</v>
      </c>
      <c r="AG300" s="95">
        <v>0</v>
      </c>
      <c r="AH300" s="120">
        <v>0</v>
      </c>
      <c r="AI300" s="120">
        <v>0</v>
      </c>
      <c r="AJ300" s="84">
        <v>0</v>
      </c>
      <c r="AK300" s="84">
        <v>0</v>
      </c>
      <c r="AL300" s="84">
        <v>0</v>
      </c>
      <c r="AM300" s="84">
        <v>0</v>
      </c>
      <c r="AN300" s="121">
        <v>0</v>
      </c>
      <c r="AO300" s="84">
        <v>0</v>
      </c>
      <c r="AP300" s="95">
        <v>15000000</v>
      </c>
      <c r="AQ300" s="84">
        <v>0</v>
      </c>
      <c r="AS300" s="118">
        <f t="shared" si="73"/>
        <v>0</v>
      </c>
    </row>
    <row r="301" spans="1:45" s="100" customFormat="1" x14ac:dyDescent="0.25">
      <c r="A301" s="134">
        <v>232133</v>
      </c>
      <c r="B301" s="86" t="s">
        <v>141</v>
      </c>
      <c r="C301" s="91">
        <v>18000000</v>
      </c>
      <c r="D301" s="91">
        <v>0</v>
      </c>
      <c r="E301" s="91">
        <v>0</v>
      </c>
      <c r="F301" s="91">
        <v>0</v>
      </c>
      <c r="G301" s="91">
        <f t="shared" si="74"/>
        <v>18000000</v>
      </c>
      <c r="H301" s="91">
        <v>0</v>
      </c>
      <c r="I301" s="91">
        <v>0</v>
      </c>
      <c r="J301" s="91">
        <f t="shared" si="75"/>
        <v>18000000</v>
      </c>
      <c r="K301" s="91">
        <v>0</v>
      </c>
      <c r="L301" s="91">
        <v>0</v>
      </c>
      <c r="M301" s="91">
        <f t="shared" si="76"/>
        <v>0</v>
      </c>
      <c r="N301" s="91">
        <v>0</v>
      </c>
      <c r="O301" s="91">
        <f t="shared" si="77"/>
        <v>0</v>
      </c>
      <c r="P301" s="91">
        <f t="shared" si="78"/>
        <v>18000000</v>
      </c>
      <c r="Q301" s="91">
        <f t="shared" si="79"/>
        <v>0</v>
      </c>
      <c r="R301" s="84"/>
      <c r="S301" s="101">
        <v>232133</v>
      </c>
      <c r="T301" s="116" t="s">
        <v>141</v>
      </c>
      <c r="U301" s="102">
        <v>18000000</v>
      </c>
      <c r="V301" s="102">
        <v>0</v>
      </c>
      <c r="W301" s="102">
        <v>0</v>
      </c>
      <c r="X301" s="102">
        <v>0</v>
      </c>
      <c r="Y301" s="102">
        <v>18000000</v>
      </c>
      <c r="Z301" s="102">
        <v>0</v>
      </c>
      <c r="AA301" s="102">
        <v>0</v>
      </c>
      <c r="AB301" s="119">
        <v>0</v>
      </c>
      <c r="AC301" s="102">
        <v>0</v>
      </c>
      <c r="AD301" s="102">
        <v>0</v>
      </c>
      <c r="AE301" s="119">
        <v>0</v>
      </c>
      <c r="AF301" s="102">
        <v>18000000</v>
      </c>
      <c r="AG301" s="102">
        <v>0</v>
      </c>
      <c r="AH301" s="119">
        <v>0</v>
      </c>
      <c r="AI301" s="119">
        <v>0</v>
      </c>
      <c r="AJ301" s="100">
        <v>0</v>
      </c>
      <c r="AK301" s="100">
        <v>0</v>
      </c>
      <c r="AL301" s="100">
        <v>0</v>
      </c>
      <c r="AM301" s="100">
        <v>0</v>
      </c>
      <c r="AN301" s="122">
        <v>0</v>
      </c>
      <c r="AO301" s="100">
        <v>0</v>
      </c>
      <c r="AP301" s="102">
        <v>18000000</v>
      </c>
      <c r="AQ301" s="100">
        <v>0</v>
      </c>
      <c r="AS301" s="118">
        <f t="shared" si="73"/>
        <v>0</v>
      </c>
    </row>
    <row r="302" spans="1:45" x14ac:dyDescent="0.25">
      <c r="A302" s="134">
        <v>232134</v>
      </c>
      <c r="B302" s="86" t="s">
        <v>142</v>
      </c>
      <c r="C302" s="91">
        <v>10000000</v>
      </c>
      <c r="D302" s="91">
        <v>0</v>
      </c>
      <c r="E302" s="91">
        <v>0</v>
      </c>
      <c r="F302" s="91">
        <v>0</v>
      </c>
      <c r="G302" s="91">
        <f t="shared" si="74"/>
        <v>10000000</v>
      </c>
      <c r="H302" s="91">
        <v>0</v>
      </c>
      <c r="I302" s="91">
        <v>0</v>
      </c>
      <c r="J302" s="91">
        <f t="shared" si="75"/>
        <v>10000000</v>
      </c>
      <c r="K302" s="91">
        <v>0</v>
      </c>
      <c r="L302" s="91">
        <v>0</v>
      </c>
      <c r="M302" s="91">
        <f t="shared" si="76"/>
        <v>0</v>
      </c>
      <c r="N302" s="91">
        <v>0</v>
      </c>
      <c r="O302" s="91">
        <f t="shared" si="77"/>
        <v>0</v>
      </c>
      <c r="P302" s="91">
        <f t="shared" si="78"/>
        <v>10000000</v>
      </c>
      <c r="Q302" s="91">
        <f t="shared" si="79"/>
        <v>0</v>
      </c>
      <c r="S302" s="96">
        <v>232134</v>
      </c>
      <c r="T302" s="117" t="s">
        <v>142</v>
      </c>
      <c r="U302" s="95">
        <v>10000000</v>
      </c>
      <c r="V302" s="95">
        <v>0</v>
      </c>
      <c r="W302" s="95">
        <v>0</v>
      </c>
      <c r="X302" s="95">
        <v>0</v>
      </c>
      <c r="Y302" s="95">
        <v>10000000</v>
      </c>
      <c r="Z302" s="95">
        <v>0</v>
      </c>
      <c r="AA302" s="95">
        <v>0</v>
      </c>
      <c r="AB302" s="120">
        <v>0</v>
      </c>
      <c r="AC302" s="95">
        <v>0</v>
      </c>
      <c r="AD302" s="95">
        <v>0</v>
      </c>
      <c r="AE302" s="120">
        <v>0</v>
      </c>
      <c r="AF302" s="95">
        <v>10000000</v>
      </c>
      <c r="AG302" s="95">
        <v>0</v>
      </c>
      <c r="AH302" s="120">
        <v>0</v>
      </c>
      <c r="AI302" s="120">
        <v>0</v>
      </c>
      <c r="AJ302" s="84">
        <v>0</v>
      </c>
      <c r="AK302" s="84">
        <v>0</v>
      </c>
      <c r="AL302" s="84">
        <v>0</v>
      </c>
      <c r="AM302" s="84">
        <v>0</v>
      </c>
      <c r="AN302" s="121">
        <v>0</v>
      </c>
      <c r="AO302" s="84">
        <v>0</v>
      </c>
      <c r="AP302" s="95">
        <v>10000000</v>
      </c>
      <c r="AQ302" s="84">
        <v>0</v>
      </c>
      <c r="AS302" s="118">
        <f t="shared" si="73"/>
        <v>0</v>
      </c>
    </row>
    <row r="303" spans="1:45" x14ac:dyDescent="0.25">
      <c r="A303" s="109">
        <v>23214</v>
      </c>
      <c r="B303" s="110" t="s">
        <v>143</v>
      </c>
      <c r="C303" s="111">
        <f>SUM(C304:C307)</f>
        <v>272994202</v>
      </c>
      <c r="D303" s="111">
        <v>0</v>
      </c>
      <c r="E303" s="111">
        <v>0</v>
      </c>
      <c r="F303" s="111">
        <v>80000000</v>
      </c>
      <c r="G303" s="111">
        <f t="shared" si="74"/>
        <v>352994202</v>
      </c>
      <c r="H303" s="111">
        <v>0</v>
      </c>
      <c r="I303" s="111">
        <v>71166725</v>
      </c>
      <c r="J303" s="111">
        <f t="shared" si="75"/>
        <v>281827477</v>
      </c>
      <c r="K303" s="111">
        <v>0</v>
      </c>
      <c r="L303" s="111">
        <v>0</v>
      </c>
      <c r="M303" s="111">
        <f t="shared" si="76"/>
        <v>71166725</v>
      </c>
      <c r="N303" s="111">
        <v>164248958</v>
      </c>
      <c r="O303" s="111">
        <f t="shared" si="77"/>
        <v>93082233</v>
      </c>
      <c r="P303" s="111">
        <f t="shared" si="78"/>
        <v>188745244</v>
      </c>
      <c r="Q303" s="111">
        <f t="shared" si="79"/>
        <v>0</v>
      </c>
      <c r="R303" s="100"/>
      <c r="S303" s="96">
        <v>23214</v>
      </c>
      <c r="T303" s="117" t="s">
        <v>143</v>
      </c>
      <c r="U303" s="95">
        <v>272994202</v>
      </c>
      <c r="V303" s="95">
        <v>0</v>
      </c>
      <c r="W303" s="95">
        <v>0</v>
      </c>
      <c r="X303" s="95">
        <v>80000000</v>
      </c>
      <c r="Y303" s="95">
        <v>352994202</v>
      </c>
      <c r="Z303" s="95">
        <v>0</v>
      </c>
      <c r="AA303" s="95">
        <v>0</v>
      </c>
      <c r="AB303" s="120">
        <v>0</v>
      </c>
      <c r="AC303" s="95">
        <v>0</v>
      </c>
      <c r="AD303" s="95">
        <v>71166725</v>
      </c>
      <c r="AE303" s="120">
        <v>71166725</v>
      </c>
      <c r="AF303" s="95">
        <v>281827477</v>
      </c>
      <c r="AG303" s="95">
        <v>0</v>
      </c>
      <c r="AH303" s="120">
        <v>0</v>
      </c>
      <c r="AI303" s="120">
        <v>0</v>
      </c>
      <c r="AJ303" s="84">
        <v>71166725</v>
      </c>
      <c r="AK303" s="84">
        <v>0</v>
      </c>
      <c r="AL303" s="84">
        <v>0</v>
      </c>
      <c r="AM303" s="84">
        <v>164248958</v>
      </c>
      <c r="AN303" s="121">
        <v>164248958</v>
      </c>
      <c r="AO303" s="84">
        <v>93082233</v>
      </c>
      <c r="AP303" s="95">
        <v>188745244</v>
      </c>
      <c r="AQ303" s="84">
        <v>0</v>
      </c>
      <c r="AS303" s="118">
        <f t="shared" si="73"/>
        <v>0</v>
      </c>
    </row>
    <row r="304" spans="1:45" x14ac:dyDescent="0.25">
      <c r="A304" s="134">
        <v>232141</v>
      </c>
      <c r="B304" s="86" t="s">
        <v>144</v>
      </c>
      <c r="C304" s="91">
        <v>100000000</v>
      </c>
      <c r="D304" s="91">
        <v>0</v>
      </c>
      <c r="E304" s="91">
        <v>0</v>
      </c>
      <c r="F304" s="91">
        <v>0</v>
      </c>
      <c r="G304" s="91">
        <f t="shared" si="74"/>
        <v>100000000</v>
      </c>
      <c r="H304" s="91">
        <v>0</v>
      </c>
      <c r="I304" s="91">
        <v>71166725</v>
      </c>
      <c r="J304" s="91">
        <f t="shared" si="75"/>
        <v>28833275</v>
      </c>
      <c r="K304" s="91">
        <v>0</v>
      </c>
      <c r="L304" s="91">
        <v>0</v>
      </c>
      <c r="M304" s="91">
        <f t="shared" si="76"/>
        <v>71166725</v>
      </c>
      <c r="N304" s="91">
        <v>71166725</v>
      </c>
      <c r="O304" s="91">
        <f t="shared" si="77"/>
        <v>0</v>
      </c>
      <c r="P304" s="91">
        <f t="shared" si="78"/>
        <v>28833275</v>
      </c>
      <c r="Q304" s="91">
        <f t="shared" si="79"/>
        <v>0</v>
      </c>
      <c r="S304" s="96">
        <v>232141</v>
      </c>
      <c r="T304" s="117" t="s">
        <v>144</v>
      </c>
      <c r="U304" s="95">
        <v>100000000</v>
      </c>
      <c r="V304" s="95">
        <v>0</v>
      </c>
      <c r="W304" s="95">
        <v>0</v>
      </c>
      <c r="X304" s="95">
        <v>0</v>
      </c>
      <c r="Y304" s="95">
        <v>100000000</v>
      </c>
      <c r="Z304" s="95">
        <v>0</v>
      </c>
      <c r="AA304" s="95">
        <v>0</v>
      </c>
      <c r="AB304" s="120">
        <v>0</v>
      </c>
      <c r="AC304" s="95">
        <v>0</v>
      </c>
      <c r="AD304" s="95">
        <v>71166725</v>
      </c>
      <c r="AE304" s="120">
        <v>71166725</v>
      </c>
      <c r="AF304" s="95">
        <v>28833275</v>
      </c>
      <c r="AG304" s="95">
        <v>0</v>
      </c>
      <c r="AH304" s="120">
        <v>0</v>
      </c>
      <c r="AI304" s="120">
        <v>0</v>
      </c>
      <c r="AJ304" s="84">
        <v>71166725</v>
      </c>
      <c r="AK304" s="84">
        <v>0</v>
      </c>
      <c r="AL304" s="84">
        <v>0</v>
      </c>
      <c r="AM304" s="84">
        <v>71166725</v>
      </c>
      <c r="AN304" s="121">
        <v>71166725</v>
      </c>
      <c r="AO304" s="84">
        <v>0</v>
      </c>
      <c r="AP304" s="95">
        <v>28833275</v>
      </c>
      <c r="AQ304" s="84">
        <v>0</v>
      </c>
      <c r="AS304" s="118">
        <f t="shared" si="73"/>
        <v>0</v>
      </c>
    </row>
    <row r="305" spans="1:45" x14ac:dyDescent="0.25">
      <c r="A305" s="134">
        <v>232142</v>
      </c>
      <c r="B305" s="86" t="s">
        <v>145</v>
      </c>
      <c r="C305" s="91">
        <v>100000000</v>
      </c>
      <c r="D305" s="91">
        <v>0</v>
      </c>
      <c r="E305" s="91">
        <v>0</v>
      </c>
      <c r="F305" s="91">
        <v>0</v>
      </c>
      <c r="G305" s="91">
        <f t="shared" si="74"/>
        <v>100000000</v>
      </c>
      <c r="H305" s="91">
        <v>0</v>
      </c>
      <c r="I305" s="91">
        <v>0</v>
      </c>
      <c r="J305" s="91">
        <f t="shared" si="75"/>
        <v>100000000</v>
      </c>
      <c r="K305" s="91">
        <v>0</v>
      </c>
      <c r="L305" s="91">
        <v>0</v>
      </c>
      <c r="M305" s="91">
        <f t="shared" si="76"/>
        <v>0</v>
      </c>
      <c r="N305" s="91">
        <v>93082233</v>
      </c>
      <c r="O305" s="91">
        <f t="shared" si="77"/>
        <v>93082233</v>
      </c>
      <c r="P305" s="91">
        <f t="shared" si="78"/>
        <v>6917767</v>
      </c>
      <c r="Q305" s="91">
        <f t="shared" si="79"/>
        <v>0</v>
      </c>
      <c r="S305" s="96">
        <v>232142</v>
      </c>
      <c r="T305" s="117" t="s">
        <v>145</v>
      </c>
      <c r="U305" s="95">
        <v>100000000</v>
      </c>
      <c r="V305" s="95">
        <v>0</v>
      </c>
      <c r="W305" s="95">
        <v>0</v>
      </c>
      <c r="X305" s="95">
        <v>0</v>
      </c>
      <c r="Y305" s="95">
        <v>100000000</v>
      </c>
      <c r="Z305" s="95">
        <v>0</v>
      </c>
      <c r="AA305" s="95">
        <v>0</v>
      </c>
      <c r="AB305" s="120">
        <v>0</v>
      </c>
      <c r="AC305" s="95">
        <v>0</v>
      </c>
      <c r="AD305" s="95">
        <v>0</v>
      </c>
      <c r="AE305" s="120">
        <v>0</v>
      </c>
      <c r="AF305" s="95">
        <v>100000000</v>
      </c>
      <c r="AG305" s="95">
        <v>0</v>
      </c>
      <c r="AH305" s="120">
        <v>0</v>
      </c>
      <c r="AI305" s="120">
        <v>0</v>
      </c>
      <c r="AJ305" s="84">
        <v>0</v>
      </c>
      <c r="AK305" s="84">
        <v>0</v>
      </c>
      <c r="AL305" s="84">
        <v>0</v>
      </c>
      <c r="AM305" s="84">
        <v>93082233</v>
      </c>
      <c r="AN305" s="121">
        <v>93082233</v>
      </c>
      <c r="AO305" s="84">
        <v>93082233</v>
      </c>
      <c r="AP305" s="95">
        <v>6917767</v>
      </c>
      <c r="AQ305" s="84">
        <v>0</v>
      </c>
      <c r="AS305" s="118">
        <f t="shared" si="73"/>
        <v>0</v>
      </c>
    </row>
    <row r="306" spans="1:45" s="100" customFormat="1" x14ac:dyDescent="0.25">
      <c r="A306" s="134">
        <v>232143</v>
      </c>
      <c r="B306" s="86" t="s">
        <v>146</v>
      </c>
      <c r="C306" s="91">
        <v>48000000</v>
      </c>
      <c r="D306" s="91">
        <v>0</v>
      </c>
      <c r="E306" s="91">
        <v>0</v>
      </c>
      <c r="F306" s="91">
        <v>80000000</v>
      </c>
      <c r="G306" s="91">
        <f t="shared" si="74"/>
        <v>128000000</v>
      </c>
      <c r="H306" s="91">
        <v>0</v>
      </c>
      <c r="I306" s="91">
        <v>0</v>
      </c>
      <c r="J306" s="91">
        <f t="shared" si="75"/>
        <v>128000000</v>
      </c>
      <c r="K306" s="91">
        <v>0</v>
      </c>
      <c r="L306" s="91">
        <v>0</v>
      </c>
      <c r="M306" s="91">
        <f t="shared" si="76"/>
        <v>0</v>
      </c>
      <c r="N306" s="91">
        <v>0</v>
      </c>
      <c r="O306" s="91">
        <f t="shared" si="77"/>
        <v>0</v>
      </c>
      <c r="P306" s="91">
        <f t="shared" si="78"/>
        <v>128000000</v>
      </c>
      <c r="Q306" s="91">
        <f t="shared" si="79"/>
        <v>0</v>
      </c>
      <c r="R306" s="84"/>
      <c r="S306" s="101">
        <v>232143</v>
      </c>
      <c r="T306" s="116" t="s">
        <v>146</v>
      </c>
      <c r="U306" s="102">
        <v>48000000</v>
      </c>
      <c r="V306" s="102">
        <v>0</v>
      </c>
      <c r="W306" s="102">
        <v>0</v>
      </c>
      <c r="X306" s="102">
        <v>80000000</v>
      </c>
      <c r="Y306" s="102">
        <v>128000000</v>
      </c>
      <c r="Z306" s="102">
        <v>0</v>
      </c>
      <c r="AA306" s="102">
        <v>0</v>
      </c>
      <c r="AB306" s="119">
        <v>0</v>
      </c>
      <c r="AC306" s="102">
        <v>0</v>
      </c>
      <c r="AD306" s="102">
        <v>0</v>
      </c>
      <c r="AE306" s="119">
        <v>0</v>
      </c>
      <c r="AF306" s="102">
        <v>128000000</v>
      </c>
      <c r="AG306" s="102">
        <v>0</v>
      </c>
      <c r="AH306" s="119">
        <v>0</v>
      </c>
      <c r="AI306" s="119">
        <v>0</v>
      </c>
      <c r="AJ306" s="100">
        <v>0</v>
      </c>
      <c r="AK306" s="100">
        <v>0</v>
      </c>
      <c r="AL306" s="100">
        <v>0</v>
      </c>
      <c r="AM306" s="100">
        <v>0</v>
      </c>
      <c r="AN306" s="122">
        <v>0</v>
      </c>
      <c r="AO306" s="100">
        <v>0</v>
      </c>
      <c r="AP306" s="102">
        <v>128000000</v>
      </c>
      <c r="AQ306" s="100">
        <v>0</v>
      </c>
      <c r="AS306" s="118">
        <f t="shared" si="73"/>
        <v>0</v>
      </c>
    </row>
    <row r="307" spans="1:45" x14ac:dyDescent="0.25">
      <c r="A307" s="134">
        <v>232144</v>
      </c>
      <c r="B307" s="86" t="s">
        <v>147</v>
      </c>
      <c r="C307" s="91">
        <v>24994202</v>
      </c>
      <c r="D307" s="91">
        <v>0</v>
      </c>
      <c r="E307" s="91">
        <v>0</v>
      </c>
      <c r="F307" s="91">
        <v>0</v>
      </c>
      <c r="G307" s="91">
        <f t="shared" si="74"/>
        <v>24994202</v>
      </c>
      <c r="H307" s="91">
        <v>0</v>
      </c>
      <c r="I307" s="91">
        <v>0</v>
      </c>
      <c r="J307" s="91">
        <f t="shared" si="75"/>
        <v>24994202</v>
      </c>
      <c r="K307" s="91">
        <v>0</v>
      </c>
      <c r="L307" s="91">
        <v>0</v>
      </c>
      <c r="M307" s="91">
        <f t="shared" si="76"/>
        <v>0</v>
      </c>
      <c r="N307" s="91">
        <v>0</v>
      </c>
      <c r="O307" s="91">
        <f t="shared" si="77"/>
        <v>0</v>
      </c>
      <c r="P307" s="91">
        <f t="shared" si="78"/>
        <v>24994202</v>
      </c>
      <c r="Q307" s="91">
        <f t="shared" si="79"/>
        <v>0</v>
      </c>
      <c r="S307" s="96">
        <v>232144</v>
      </c>
      <c r="T307" s="117" t="s">
        <v>147</v>
      </c>
      <c r="U307" s="95">
        <v>24994202</v>
      </c>
      <c r="V307" s="95">
        <v>0</v>
      </c>
      <c r="W307" s="95">
        <v>0</v>
      </c>
      <c r="X307" s="95">
        <v>0</v>
      </c>
      <c r="Y307" s="95">
        <v>24994202</v>
      </c>
      <c r="Z307" s="95">
        <v>0</v>
      </c>
      <c r="AA307" s="95">
        <v>0</v>
      </c>
      <c r="AB307" s="120">
        <v>0</v>
      </c>
      <c r="AC307" s="95">
        <v>0</v>
      </c>
      <c r="AD307" s="95">
        <v>0</v>
      </c>
      <c r="AE307" s="120">
        <v>0</v>
      </c>
      <c r="AF307" s="95">
        <v>24994202</v>
      </c>
      <c r="AG307" s="95">
        <v>0</v>
      </c>
      <c r="AH307" s="120">
        <v>0</v>
      </c>
      <c r="AI307" s="120">
        <v>0</v>
      </c>
      <c r="AJ307" s="84">
        <v>0</v>
      </c>
      <c r="AK307" s="84">
        <v>0</v>
      </c>
      <c r="AL307" s="84">
        <v>0</v>
      </c>
      <c r="AM307" s="84">
        <v>0</v>
      </c>
      <c r="AN307" s="121">
        <v>0</v>
      </c>
      <c r="AO307" s="84">
        <v>0</v>
      </c>
      <c r="AP307" s="95">
        <v>24994202</v>
      </c>
      <c r="AQ307" s="84">
        <v>0</v>
      </c>
      <c r="AS307" s="118">
        <f t="shared" si="73"/>
        <v>0</v>
      </c>
    </row>
    <row r="308" spans="1:45" x14ac:dyDescent="0.25">
      <c r="A308" s="103">
        <v>2322</v>
      </c>
      <c r="B308" s="104" t="s">
        <v>148</v>
      </c>
      <c r="C308" s="105">
        <f>+C309+C310</f>
        <v>120000000</v>
      </c>
      <c r="D308" s="105">
        <v>0</v>
      </c>
      <c r="E308" s="105">
        <v>0</v>
      </c>
      <c r="F308" s="105">
        <v>0</v>
      </c>
      <c r="G308" s="105">
        <f t="shared" si="74"/>
        <v>120000000</v>
      </c>
      <c r="H308" s="105">
        <v>333133</v>
      </c>
      <c r="I308" s="105">
        <v>1436627</v>
      </c>
      <c r="J308" s="105">
        <f t="shared" si="75"/>
        <v>118563373</v>
      </c>
      <c r="K308" s="105">
        <v>127711</v>
      </c>
      <c r="L308" s="105">
        <v>333133</v>
      </c>
      <c r="M308" s="105">
        <f t="shared" si="76"/>
        <v>1103494</v>
      </c>
      <c r="N308" s="105">
        <v>18536627</v>
      </c>
      <c r="O308" s="105">
        <f t="shared" si="77"/>
        <v>17100000</v>
      </c>
      <c r="P308" s="105">
        <f t="shared" si="78"/>
        <v>101463373</v>
      </c>
      <c r="Q308" s="105">
        <f t="shared" si="79"/>
        <v>333133</v>
      </c>
      <c r="R308" s="100"/>
      <c r="S308" s="96">
        <v>2322</v>
      </c>
      <c r="T308" s="117" t="s">
        <v>148</v>
      </c>
      <c r="U308" s="95">
        <v>120000000</v>
      </c>
      <c r="V308" s="95">
        <v>0</v>
      </c>
      <c r="W308" s="95">
        <v>0</v>
      </c>
      <c r="X308" s="95">
        <v>0</v>
      </c>
      <c r="Y308" s="95">
        <v>120000000</v>
      </c>
      <c r="Z308" s="95">
        <v>0</v>
      </c>
      <c r="AA308" s="95">
        <v>0</v>
      </c>
      <c r="AB308" s="120">
        <v>333133</v>
      </c>
      <c r="AC308" s="95">
        <v>333133</v>
      </c>
      <c r="AD308" s="95">
        <v>1436627</v>
      </c>
      <c r="AE308" s="120">
        <v>1436627</v>
      </c>
      <c r="AF308" s="95">
        <v>118563373</v>
      </c>
      <c r="AG308" s="95">
        <v>0</v>
      </c>
      <c r="AH308" s="120">
        <v>127711</v>
      </c>
      <c r="AI308" s="120">
        <v>333133</v>
      </c>
      <c r="AJ308" s="84">
        <v>1103494</v>
      </c>
      <c r="AK308" s="84">
        <v>0</v>
      </c>
      <c r="AL308" s="84">
        <v>983133</v>
      </c>
      <c r="AM308" s="84">
        <v>18536627</v>
      </c>
      <c r="AN308" s="121">
        <v>18536627</v>
      </c>
      <c r="AO308" s="84">
        <v>17100000</v>
      </c>
      <c r="AP308" s="95">
        <v>101463373</v>
      </c>
      <c r="AQ308" s="84">
        <v>0</v>
      </c>
      <c r="AS308" s="118">
        <f t="shared" si="73"/>
        <v>0</v>
      </c>
    </row>
    <row r="309" spans="1:45" s="100" customFormat="1" x14ac:dyDescent="0.25">
      <c r="A309" s="134">
        <v>23221</v>
      </c>
      <c r="B309" s="86" t="s">
        <v>626</v>
      </c>
      <c r="C309" s="91">
        <v>80000000</v>
      </c>
      <c r="D309" s="91">
        <v>0</v>
      </c>
      <c r="E309" s="91">
        <v>0</v>
      </c>
      <c r="F309" s="91">
        <v>0</v>
      </c>
      <c r="G309" s="91">
        <f t="shared" si="74"/>
        <v>80000000</v>
      </c>
      <c r="H309" s="91">
        <v>333133</v>
      </c>
      <c r="I309" s="91">
        <v>1436627</v>
      </c>
      <c r="J309" s="91">
        <f t="shared" si="75"/>
        <v>78563373</v>
      </c>
      <c r="K309" s="91">
        <v>127711</v>
      </c>
      <c r="L309" s="91">
        <v>333133</v>
      </c>
      <c r="M309" s="91">
        <f t="shared" si="76"/>
        <v>1103494</v>
      </c>
      <c r="N309" s="91">
        <v>18536627</v>
      </c>
      <c r="O309" s="91">
        <f t="shared" si="77"/>
        <v>17100000</v>
      </c>
      <c r="P309" s="91">
        <f t="shared" si="78"/>
        <v>61463373</v>
      </c>
      <c r="Q309" s="91">
        <f t="shared" si="79"/>
        <v>333133</v>
      </c>
      <c r="R309" s="84"/>
      <c r="S309" s="101">
        <v>23221</v>
      </c>
      <c r="T309" s="116" t="s">
        <v>787</v>
      </c>
      <c r="U309" s="102">
        <v>80000000</v>
      </c>
      <c r="V309" s="102">
        <v>0</v>
      </c>
      <c r="W309" s="102">
        <v>0</v>
      </c>
      <c r="X309" s="102">
        <v>0</v>
      </c>
      <c r="Y309" s="102">
        <v>80000000</v>
      </c>
      <c r="Z309" s="102">
        <v>0</v>
      </c>
      <c r="AA309" s="102">
        <v>0</v>
      </c>
      <c r="AB309" s="119">
        <v>333133</v>
      </c>
      <c r="AC309" s="102">
        <v>333133</v>
      </c>
      <c r="AD309" s="102">
        <v>1436627</v>
      </c>
      <c r="AE309" s="119">
        <v>1436627</v>
      </c>
      <c r="AF309" s="102">
        <v>78563373</v>
      </c>
      <c r="AG309" s="102">
        <v>0</v>
      </c>
      <c r="AH309" s="119">
        <v>127711</v>
      </c>
      <c r="AI309" s="119">
        <v>333133</v>
      </c>
      <c r="AJ309" s="100">
        <v>1103494</v>
      </c>
      <c r="AK309" s="100">
        <v>0</v>
      </c>
      <c r="AL309" s="100">
        <v>983133</v>
      </c>
      <c r="AM309" s="100">
        <v>18536627</v>
      </c>
      <c r="AN309" s="122">
        <v>18536627</v>
      </c>
      <c r="AO309" s="100">
        <v>17100000</v>
      </c>
      <c r="AP309" s="102">
        <v>61463373</v>
      </c>
      <c r="AQ309" s="100">
        <v>0</v>
      </c>
      <c r="AS309" s="118">
        <f t="shared" si="73"/>
        <v>0</v>
      </c>
    </row>
    <row r="310" spans="1:45" x14ac:dyDescent="0.25">
      <c r="A310" s="134">
        <v>23224</v>
      </c>
      <c r="B310" s="86" t="s">
        <v>650</v>
      </c>
      <c r="C310" s="91">
        <v>40000000</v>
      </c>
      <c r="D310" s="91">
        <v>0</v>
      </c>
      <c r="E310" s="91">
        <v>0</v>
      </c>
      <c r="F310" s="91">
        <v>0</v>
      </c>
      <c r="G310" s="91">
        <f t="shared" si="74"/>
        <v>40000000</v>
      </c>
      <c r="H310" s="91">
        <v>0</v>
      </c>
      <c r="I310" s="91">
        <v>0</v>
      </c>
      <c r="J310" s="91">
        <f t="shared" si="75"/>
        <v>40000000</v>
      </c>
      <c r="K310" s="91">
        <v>0</v>
      </c>
      <c r="L310" s="91">
        <v>0</v>
      </c>
      <c r="M310" s="91">
        <f t="shared" si="76"/>
        <v>0</v>
      </c>
      <c r="N310" s="91">
        <v>0</v>
      </c>
      <c r="O310" s="91">
        <f t="shared" si="77"/>
        <v>0</v>
      </c>
      <c r="P310" s="91">
        <f t="shared" si="78"/>
        <v>40000000</v>
      </c>
      <c r="Q310" s="91">
        <f t="shared" si="79"/>
        <v>0</v>
      </c>
      <c r="S310" s="96">
        <v>23224</v>
      </c>
      <c r="T310" s="117" t="s">
        <v>788</v>
      </c>
      <c r="U310" s="95">
        <v>40000000</v>
      </c>
      <c r="V310" s="95">
        <v>0</v>
      </c>
      <c r="W310" s="95">
        <v>0</v>
      </c>
      <c r="X310" s="95">
        <v>0</v>
      </c>
      <c r="Y310" s="95">
        <v>40000000</v>
      </c>
      <c r="Z310" s="95">
        <v>0</v>
      </c>
      <c r="AA310" s="95">
        <v>0</v>
      </c>
      <c r="AB310" s="120">
        <v>0</v>
      </c>
      <c r="AC310" s="95">
        <v>0</v>
      </c>
      <c r="AD310" s="95">
        <v>0</v>
      </c>
      <c r="AE310" s="120">
        <v>0</v>
      </c>
      <c r="AF310" s="95">
        <v>40000000</v>
      </c>
      <c r="AG310" s="95">
        <v>0</v>
      </c>
      <c r="AH310" s="120">
        <v>0</v>
      </c>
      <c r="AI310" s="120">
        <v>0</v>
      </c>
      <c r="AJ310" s="84">
        <v>0</v>
      </c>
      <c r="AK310" s="84">
        <v>0</v>
      </c>
      <c r="AL310" s="84">
        <v>0</v>
      </c>
      <c r="AM310" s="84">
        <v>0</v>
      </c>
      <c r="AN310" s="121">
        <v>0</v>
      </c>
      <c r="AO310" s="84">
        <v>0</v>
      </c>
      <c r="AP310" s="95">
        <v>40000000</v>
      </c>
      <c r="AQ310" s="84">
        <v>0</v>
      </c>
      <c r="AS310" s="118">
        <f t="shared" si="73"/>
        <v>0</v>
      </c>
    </row>
    <row r="311" spans="1:45" s="100" customFormat="1" x14ac:dyDescent="0.25">
      <c r="A311" s="109">
        <v>2323</v>
      </c>
      <c r="B311" s="110" t="s">
        <v>149</v>
      </c>
      <c r="C311" s="111">
        <f>+C312</f>
        <v>100000000</v>
      </c>
      <c r="D311" s="111">
        <v>0</v>
      </c>
      <c r="E311" s="111">
        <v>0</v>
      </c>
      <c r="F311" s="111">
        <v>0</v>
      </c>
      <c r="G311" s="111">
        <f t="shared" si="74"/>
        <v>100000000</v>
      </c>
      <c r="H311" s="111">
        <v>0</v>
      </c>
      <c r="I311" s="111">
        <v>0</v>
      </c>
      <c r="J311" s="111">
        <f t="shared" si="75"/>
        <v>100000000</v>
      </c>
      <c r="K311" s="111">
        <v>0</v>
      </c>
      <c r="L311" s="111">
        <v>0</v>
      </c>
      <c r="M311" s="111">
        <f t="shared" si="76"/>
        <v>0</v>
      </c>
      <c r="N311" s="111">
        <v>0</v>
      </c>
      <c r="O311" s="111">
        <f t="shared" si="77"/>
        <v>0</v>
      </c>
      <c r="P311" s="111">
        <f t="shared" si="78"/>
        <v>100000000</v>
      </c>
      <c r="Q311" s="111">
        <f t="shared" si="79"/>
        <v>0</v>
      </c>
      <c r="S311" s="101">
        <v>2323</v>
      </c>
      <c r="T311" s="116" t="s">
        <v>149</v>
      </c>
      <c r="U311" s="102">
        <v>100000000</v>
      </c>
      <c r="V311" s="102">
        <v>0</v>
      </c>
      <c r="W311" s="102">
        <v>0</v>
      </c>
      <c r="X311" s="102">
        <v>0</v>
      </c>
      <c r="Y311" s="102">
        <v>100000000</v>
      </c>
      <c r="Z311" s="102">
        <v>0</v>
      </c>
      <c r="AA311" s="102">
        <v>0</v>
      </c>
      <c r="AB311" s="119">
        <v>0</v>
      </c>
      <c r="AC311" s="102">
        <v>0</v>
      </c>
      <c r="AD311" s="102">
        <v>0</v>
      </c>
      <c r="AE311" s="119">
        <v>0</v>
      </c>
      <c r="AF311" s="102">
        <v>100000000</v>
      </c>
      <c r="AG311" s="102">
        <v>0</v>
      </c>
      <c r="AH311" s="119">
        <v>0</v>
      </c>
      <c r="AI311" s="119">
        <v>0</v>
      </c>
      <c r="AJ311" s="100">
        <v>0</v>
      </c>
      <c r="AK311" s="100">
        <v>0</v>
      </c>
      <c r="AL311" s="100">
        <v>0</v>
      </c>
      <c r="AM311" s="100">
        <v>0</v>
      </c>
      <c r="AN311" s="122">
        <v>0</v>
      </c>
      <c r="AO311" s="100">
        <v>0</v>
      </c>
      <c r="AP311" s="102">
        <v>100000000</v>
      </c>
      <c r="AQ311" s="100">
        <v>0</v>
      </c>
      <c r="AS311" s="118">
        <f t="shared" si="73"/>
        <v>0</v>
      </c>
    </row>
    <row r="312" spans="1:45" s="100" customFormat="1" x14ac:dyDescent="0.25">
      <c r="A312" s="134">
        <v>23231</v>
      </c>
      <c r="B312" s="86" t="s">
        <v>627</v>
      </c>
      <c r="C312" s="91">
        <v>100000000</v>
      </c>
      <c r="D312" s="91">
        <v>0</v>
      </c>
      <c r="E312" s="91">
        <v>0</v>
      </c>
      <c r="F312" s="91">
        <v>0</v>
      </c>
      <c r="G312" s="91">
        <f t="shared" si="74"/>
        <v>100000000</v>
      </c>
      <c r="H312" s="91">
        <v>0</v>
      </c>
      <c r="I312" s="91">
        <v>0</v>
      </c>
      <c r="J312" s="91">
        <f t="shared" si="75"/>
        <v>100000000</v>
      </c>
      <c r="K312" s="91">
        <v>0</v>
      </c>
      <c r="L312" s="91">
        <v>0</v>
      </c>
      <c r="M312" s="91">
        <f t="shared" si="76"/>
        <v>0</v>
      </c>
      <c r="N312" s="91">
        <v>0</v>
      </c>
      <c r="O312" s="91">
        <f t="shared" si="77"/>
        <v>0</v>
      </c>
      <c r="P312" s="91">
        <f t="shared" si="78"/>
        <v>100000000</v>
      </c>
      <c r="Q312" s="91">
        <f t="shared" si="79"/>
        <v>0</v>
      </c>
      <c r="R312" s="84"/>
      <c r="S312" s="101">
        <v>23231</v>
      </c>
      <c r="T312" s="116" t="s">
        <v>789</v>
      </c>
      <c r="U312" s="102">
        <v>100000000</v>
      </c>
      <c r="V312" s="102">
        <v>0</v>
      </c>
      <c r="W312" s="102">
        <v>0</v>
      </c>
      <c r="X312" s="102">
        <v>0</v>
      </c>
      <c r="Y312" s="102">
        <v>100000000</v>
      </c>
      <c r="Z312" s="102">
        <v>0</v>
      </c>
      <c r="AA312" s="102">
        <v>0</v>
      </c>
      <c r="AB312" s="119">
        <v>0</v>
      </c>
      <c r="AC312" s="102">
        <v>0</v>
      </c>
      <c r="AD312" s="102">
        <v>0</v>
      </c>
      <c r="AE312" s="119">
        <v>0</v>
      </c>
      <c r="AF312" s="102">
        <v>100000000</v>
      </c>
      <c r="AG312" s="102">
        <v>0</v>
      </c>
      <c r="AH312" s="119">
        <v>0</v>
      </c>
      <c r="AI312" s="119">
        <v>0</v>
      </c>
      <c r="AJ312" s="100">
        <v>0</v>
      </c>
      <c r="AK312" s="100">
        <v>0</v>
      </c>
      <c r="AL312" s="100">
        <v>0</v>
      </c>
      <c r="AM312" s="100">
        <v>0</v>
      </c>
      <c r="AN312" s="122">
        <v>0</v>
      </c>
      <c r="AO312" s="100">
        <v>0</v>
      </c>
      <c r="AP312" s="102">
        <v>100000000</v>
      </c>
      <c r="AQ312" s="100">
        <v>0</v>
      </c>
      <c r="AS312" s="118">
        <f t="shared" si="73"/>
        <v>0</v>
      </c>
    </row>
    <row r="313" spans="1:45" s="100" customFormat="1" x14ac:dyDescent="0.25">
      <c r="A313" s="103">
        <v>233</v>
      </c>
      <c r="B313" s="104" t="s">
        <v>150</v>
      </c>
      <c r="C313" s="105">
        <f>+C314+C316</f>
        <v>94200000</v>
      </c>
      <c r="D313" s="105">
        <v>0</v>
      </c>
      <c r="E313" s="105">
        <v>0</v>
      </c>
      <c r="F313" s="105">
        <v>0</v>
      </c>
      <c r="G313" s="105">
        <f t="shared" si="74"/>
        <v>94200000</v>
      </c>
      <c r="H313" s="105">
        <v>0</v>
      </c>
      <c r="I313" s="105">
        <v>0</v>
      </c>
      <c r="J313" s="105">
        <f t="shared" si="75"/>
        <v>94200000</v>
      </c>
      <c r="K313" s="105">
        <v>0</v>
      </c>
      <c r="L313" s="105">
        <v>0</v>
      </c>
      <c r="M313" s="105">
        <f t="shared" si="76"/>
        <v>0</v>
      </c>
      <c r="N313" s="105">
        <v>0</v>
      </c>
      <c r="O313" s="105">
        <f t="shared" si="77"/>
        <v>0</v>
      </c>
      <c r="P313" s="105">
        <f t="shared" si="78"/>
        <v>94200000</v>
      </c>
      <c r="Q313" s="105">
        <f t="shared" si="79"/>
        <v>0</v>
      </c>
      <c r="S313" s="101">
        <v>233</v>
      </c>
      <c r="T313" s="116" t="s">
        <v>150</v>
      </c>
      <c r="U313" s="102">
        <v>94200000</v>
      </c>
      <c r="V313" s="102">
        <v>0</v>
      </c>
      <c r="W313" s="102">
        <v>0</v>
      </c>
      <c r="X313" s="102">
        <v>0</v>
      </c>
      <c r="Y313" s="102">
        <v>94200000</v>
      </c>
      <c r="Z313" s="102">
        <v>0</v>
      </c>
      <c r="AA313" s="102">
        <v>0</v>
      </c>
      <c r="AB313" s="119">
        <v>0</v>
      </c>
      <c r="AC313" s="102">
        <v>0</v>
      </c>
      <c r="AD313" s="102">
        <v>0</v>
      </c>
      <c r="AE313" s="119">
        <v>0</v>
      </c>
      <c r="AF313" s="102">
        <v>94200000</v>
      </c>
      <c r="AG313" s="102">
        <v>0</v>
      </c>
      <c r="AH313" s="119">
        <v>0</v>
      </c>
      <c r="AI313" s="119">
        <v>0</v>
      </c>
      <c r="AJ313" s="100">
        <v>0</v>
      </c>
      <c r="AK313" s="100">
        <v>0</v>
      </c>
      <c r="AL313" s="100">
        <v>0</v>
      </c>
      <c r="AM313" s="100">
        <v>0</v>
      </c>
      <c r="AN313" s="122">
        <v>0</v>
      </c>
      <c r="AO313" s="100">
        <v>0</v>
      </c>
      <c r="AP313" s="102">
        <v>94200000</v>
      </c>
      <c r="AQ313" s="100">
        <v>0</v>
      </c>
      <c r="AS313" s="118">
        <f t="shared" si="73"/>
        <v>0</v>
      </c>
    </row>
    <row r="314" spans="1:45" s="100" customFormat="1" x14ac:dyDescent="0.25">
      <c r="A314" s="103">
        <v>2331</v>
      </c>
      <c r="B314" s="104" t="s">
        <v>151</v>
      </c>
      <c r="C314" s="105">
        <f>+C315</f>
        <v>80000000</v>
      </c>
      <c r="D314" s="105">
        <v>0</v>
      </c>
      <c r="E314" s="105">
        <v>0</v>
      </c>
      <c r="F314" s="105">
        <v>0</v>
      </c>
      <c r="G314" s="105">
        <f t="shared" si="74"/>
        <v>80000000</v>
      </c>
      <c r="H314" s="105">
        <v>0</v>
      </c>
      <c r="I314" s="105">
        <v>0</v>
      </c>
      <c r="J314" s="105">
        <f t="shared" si="75"/>
        <v>80000000</v>
      </c>
      <c r="K314" s="105">
        <v>0</v>
      </c>
      <c r="L314" s="105">
        <v>0</v>
      </c>
      <c r="M314" s="105">
        <f t="shared" si="76"/>
        <v>0</v>
      </c>
      <c r="N314" s="105">
        <v>0</v>
      </c>
      <c r="O314" s="105">
        <f t="shared" si="77"/>
        <v>0</v>
      </c>
      <c r="P314" s="105">
        <f t="shared" si="78"/>
        <v>80000000</v>
      </c>
      <c r="Q314" s="105">
        <f t="shared" si="79"/>
        <v>0</v>
      </c>
      <c r="S314" s="101">
        <v>2331</v>
      </c>
      <c r="T314" s="116" t="s">
        <v>151</v>
      </c>
      <c r="U314" s="102">
        <v>80000000</v>
      </c>
      <c r="V314" s="102">
        <v>0</v>
      </c>
      <c r="W314" s="102">
        <v>0</v>
      </c>
      <c r="X314" s="102">
        <v>0</v>
      </c>
      <c r="Y314" s="102">
        <v>80000000</v>
      </c>
      <c r="Z314" s="102">
        <v>0</v>
      </c>
      <c r="AA314" s="102">
        <v>0</v>
      </c>
      <c r="AB314" s="119">
        <v>0</v>
      </c>
      <c r="AC314" s="102">
        <v>0</v>
      </c>
      <c r="AD314" s="102">
        <v>0</v>
      </c>
      <c r="AE314" s="119">
        <v>0</v>
      </c>
      <c r="AF314" s="102">
        <v>80000000</v>
      </c>
      <c r="AG314" s="102">
        <v>0</v>
      </c>
      <c r="AH314" s="119">
        <v>0</v>
      </c>
      <c r="AI314" s="119">
        <v>0</v>
      </c>
      <c r="AJ314" s="100">
        <v>0</v>
      </c>
      <c r="AK314" s="100">
        <v>0</v>
      </c>
      <c r="AL314" s="100">
        <v>0</v>
      </c>
      <c r="AM314" s="100">
        <v>0</v>
      </c>
      <c r="AN314" s="122">
        <v>0</v>
      </c>
      <c r="AO314" s="100">
        <v>0</v>
      </c>
      <c r="AP314" s="102">
        <v>80000000</v>
      </c>
      <c r="AQ314" s="100">
        <v>0</v>
      </c>
      <c r="AS314" s="118">
        <f t="shared" si="73"/>
        <v>0</v>
      </c>
    </row>
    <row r="315" spans="1:45" x14ac:dyDescent="0.25">
      <c r="A315" s="134">
        <v>23311</v>
      </c>
      <c r="B315" s="110" t="s">
        <v>152</v>
      </c>
      <c r="C315" s="111">
        <v>80000000</v>
      </c>
      <c r="D315" s="111">
        <v>0</v>
      </c>
      <c r="E315" s="111">
        <v>0</v>
      </c>
      <c r="F315" s="111">
        <v>0</v>
      </c>
      <c r="G315" s="111">
        <f t="shared" si="74"/>
        <v>80000000</v>
      </c>
      <c r="H315" s="111">
        <v>0</v>
      </c>
      <c r="I315" s="111">
        <v>0</v>
      </c>
      <c r="J315" s="111">
        <f t="shared" si="75"/>
        <v>80000000</v>
      </c>
      <c r="K315" s="111">
        <v>0</v>
      </c>
      <c r="L315" s="111">
        <v>0</v>
      </c>
      <c r="M315" s="111">
        <f t="shared" si="76"/>
        <v>0</v>
      </c>
      <c r="N315" s="111">
        <v>0</v>
      </c>
      <c r="O315" s="111">
        <f t="shared" si="77"/>
        <v>0</v>
      </c>
      <c r="P315" s="111">
        <f t="shared" si="78"/>
        <v>80000000</v>
      </c>
      <c r="Q315" s="111">
        <f t="shared" si="79"/>
        <v>0</v>
      </c>
      <c r="R315" s="100"/>
      <c r="S315" s="96">
        <v>23311</v>
      </c>
      <c r="T315" s="117" t="s">
        <v>152</v>
      </c>
      <c r="U315" s="95">
        <v>80000000</v>
      </c>
      <c r="V315" s="95">
        <v>0</v>
      </c>
      <c r="W315" s="95">
        <v>0</v>
      </c>
      <c r="X315" s="95">
        <v>0</v>
      </c>
      <c r="Y315" s="95">
        <v>80000000</v>
      </c>
      <c r="Z315" s="95">
        <v>0</v>
      </c>
      <c r="AA315" s="95">
        <v>0</v>
      </c>
      <c r="AB315" s="120">
        <v>0</v>
      </c>
      <c r="AC315" s="95">
        <v>0</v>
      </c>
      <c r="AD315" s="95">
        <v>0</v>
      </c>
      <c r="AE315" s="120">
        <v>0</v>
      </c>
      <c r="AF315" s="95">
        <v>80000000</v>
      </c>
      <c r="AG315" s="95">
        <v>0</v>
      </c>
      <c r="AH315" s="120">
        <v>0</v>
      </c>
      <c r="AI315" s="120">
        <v>0</v>
      </c>
      <c r="AJ315" s="84">
        <v>0</v>
      </c>
      <c r="AK315" s="84">
        <v>0</v>
      </c>
      <c r="AL315" s="84">
        <v>0</v>
      </c>
      <c r="AM315" s="84">
        <v>0</v>
      </c>
      <c r="AN315" s="121">
        <v>0</v>
      </c>
      <c r="AO315" s="84">
        <v>0</v>
      </c>
      <c r="AP315" s="95">
        <v>80000000</v>
      </c>
      <c r="AQ315" s="84">
        <v>0</v>
      </c>
      <c r="AS315" s="118">
        <f t="shared" si="73"/>
        <v>0</v>
      </c>
    </row>
    <row r="316" spans="1:45" s="100" customFormat="1" x14ac:dyDescent="0.25">
      <c r="A316" s="103">
        <v>2332</v>
      </c>
      <c r="B316" s="104" t="s">
        <v>153</v>
      </c>
      <c r="C316" s="105">
        <f>+C317</f>
        <v>14200000</v>
      </c>
      <c r="D316" s="105">
        <v>0</v>
      </c>
      <c r="E316" s="105">
        <v>0</v>
      </c>
      <c r="F316" s="105">
        <v>0</v>
      </c>
      <c r="G316" s="105">
        <f t="shared" si="74"/>
        <v>14200000</v>
      </c>
      <c r="H316" s="105">
        <v>0</v>
      </c>
      <c r="I316" s="105">
        <v>0</v>
      </c>
      <c r="J316" s="105">
        <f t="shared" si="75"/>
        <v>14200000</v>
      </c>
      <c r="K316" s="105">
        <v>0</v>
      </c>
      <c r="L316" s="105">
        <v>0</v>
      </c>
      <c r="M316" s="105">
        <f t="shared" si="76"/>
        <v>0</v>
      </c>
      <c r="N316" s="105">
        <v>0</v>
      </c>
      <c r="O316" s="105">
        <f t="shared" si="77"/>
        <v>0</v>
      </c>
      <c r="P316" s="105">
        <f t="shared" si="78"/>
        <v>14200000</v>
      </c>
      <c r="Q316" s="105">
        <f t="shared" si="79"/>
        <v>0</v>
      </c>
      <c r="S316" s="101">
        <v>2332</v>
      </c>
      <c r="T316" s="116" t="s">
        <v>153</v>
      </c>
      <c r="U316" s="102">
        <v>14200000</v>
      </c>
      <c r="V316" s="102">
        <v>0</v>
      </c>
      <c r="W316" s="102">
        <v>0</v>
      </c>
      <c r="X316" s="102">
        <v>0</v>
      </c>
      <c r="Y316" s="102">
        <v>14200000</v>
      </c>
      <c r="Z316" s="102">
        <v>0</v>
      </c>
      <c r="AA316" s="102">
        <v>0</v>
      </c>
      <c r="AB316" s="119">
        <v>0</v>
      </c>
      <c r="AC316" s="102">
        <v>0</v>
      </c>
      <c r="AD316" s="102">
        <v>0</v>
      </c>
      <c r="AE316" s="119">
        <v>0</v>
      </c>
      <c r="AF316" s="102">
        <v>14200000</v>
      </c>
      <c r="AG316" s="102">
        <v>0</v>
      </c>
      <c r="AH316" s="119">
        <v>0</v>
      </c>
      <c r="AI316" s="119">
        <v>0</v>
      </c>
      <c r="AJ316" s="100">
        <v>0</v>
      </c>
      <c r="AK316" s="100">
        <v>0</v>
      </c>
      <c r="AL316" s="100">
        <v>0</v>
      </c>
      <c r="AM316" s="100">
        <v>0</v>
      </c>
      <c r="AN316" s="122">
        <v>0</v>
      </c>
      <c r="AO316" s="100">
        <v>0</v>
      </c>
      <c r="AP316" s="102">
        <v>14200000</v>
      </c>
      <c r="AQ316" s="100">
        <v>0</v>
      </c>
      <c r="AS316" s="118">
        <f t="shared" si="73"/>
        <v>0</v>
      </c>
    </row>
    <row r="317" spans="1:45" s="100" customFormat="1" ht="30" x14ac:dyDescent="0.25">
      <c r="A317" s="134">
        <v>23323</v>
      </c>
      <c r="B317" s="86" t="s">
        <v>628</v>
      </c>
      <c r="C317" s="91">
        <v>14200000</v>
      </c>
      <c r="D317" s="91">
        <v>0</v>
      </c>
      <c r="E317" s="91">
        <v>0</v>
      </c>
      <c r="F317" s="91">
        <v>0</v>
      </c>
      <c r="G317" s="91">
        <f t="shared" si="74"/>
        <v>14200000</v>
      </c>
      <c r="H317" s="91">
        <v>0</v>
      </c>
      <c r="I317" s="91">
        <v>0</v>
      </c>
      <c r="J317" s="91">
        <f t="shared" si="75"/>
        <v>14200000</v>
      </c>
      <c r="K317" s="91">
        <v>0</v>
      </c>
      <c r="L317" s="91">
        <v>0</v>
      </c>
      <c r="M317" s="91">
        <f t="shared" si="76"/>
        <v>0</v>
      </c>
      <c r="N317" s="91">
        <v>0</v>
      </c>
      <c r="O317" s="91">
        <f t="shared" si="77"/>
        <v>0</v>
      </c>
      <c r="P317" s="91">
        <f t="shared" si="78"/>
        <v>14200000</v>
      </c>
      <c r="Q317" s="91">
        <f t="shared" si="79"/>
        <v>0</v>
      </c>
      <c r="R317" s="84"/>
      <c r="S317" s="101">
        <v>23323</v>
      </c>
      <c r="T317" s="116" t="s">
        <v>790</v>
      </c>
      <c r="U317" s="102">
        <v>14200000</v>
      </c>
      <c r="V317" s="102">
        <v>0</v>
      </c>
      <c r="W317" s="102">
        <v>0</v>
      </c>
      <c r="X317" s="102">
        <v>0</v>
      </c>
      <c r="Y317" s="102">
        <v>14200000</v>
      </c>
      <c r="Z317" s="102">
        <v>0</v>
      </c>
      <c r="AA317" s="102">
        <v>0</v>
      </c>
      <c r="AB317" s="119">
        <v>0</v>
      </c>
      <c r="AC317" s="102">
        <v>0</v>
      </c>
      <c r="AD317" s="102">
        <v>0</v>
      </c>
      <c r="AE317" s="119">
        <v>0</v>
      </c>
      <c r="AF317" s="102">
        <v>14200000</v>
      </c>
      <c r="AG317" s="102">
        <v>0</v>
      </c>
      <c r="AH317" s="119">
        <v>0</v>
      </c>
      <c r="AI317" s="119">
        <v>0</v>
      </c>
      <c r="AJ317" s="100">
        <v>0</v>
      </c>
      <c r="AK317" s="100">
        <v>0</v>
      </c>
      <c r="AL317" s="100">
        <v>0</v>
      </c>
      <c r="AM317" s="100">
        <v>0</v>
      </c>
      <c r="AN317" s="122">
        <v>0</v>
      </c>
      <c r="AO317" s="100">
        <v>0</v>
      </c>
      <c r="AP317" s="102">
        <v>14200000</v>
      </c>
      <c r="AQ317" s="100">
        <v>0</v>
      </c>
      <c r="AS317" s="118">
        <f t="shared" si="73"/>
        <v>0</v>
      </c>
    </row>
    <row r="318" spans="1:45" x14ac:dyDescent="0.25">
      <c r="A318" s="103">
        <v>234</v>
      </c>
      <c r="B318" s="104" t="s">
        <v>154</v>
      </c>
      <c r="C318" s="105">
        <f>+C319+C324</f>
        <v>2119805038</v>
      </c>
      <c r="D318" s="105">
        <v>0</v>
      </c>
      <c r="E318" s="105">
        <v>0</v>
      </c>
      <c r="F318" s="105">
        <v>0</v>
      </c>
      <c r="G318" s="105">
        <f t="shared" si="74"/>
        <v>2119805038</v>
      </c>
      <c r="H318" s="105">
        <v>33559739</v>
      </c>
      <c r="I318" s="105">
        <v>85333239</v>
      </c>
      <c r="J318" s="105">
        <f t="shared" si="75"/>
        <v>2034471799</v>
      </c>
      <c r="K318" s="105">
        <v>4300000</v>
      </c>
      <c r="L318" s="105">
        <v>5073500</v>
      </c>
      <c r="M318" s="105">
        <f t="shared" si="76"/>
        <v>80259739</v>
      </c>
      <c r="N318" s="105">
        <v>194484204</v>
      </c>
      <c r="O318" s="105">
        <f t="shared" si="77"/>
        <v>109150965</v>
      </c>
      <c r="P318" s="105">
        <f t="shared" si="78"/>
        <v>1925320834</v>
      </c>
      <c r="Q318" s="105">
        <f t="shared" si="79"/>
        <v>5073500</v>
      </c>
      <c r="R318" s="100"/>
      <c r="S318" s="96">
        <v>234</v>
      </c>
      <c r="T318" s="117" t="s">
        <v>154</v>
      </c>
      <c r="U318" s="95">
        <v>2119805038</v>
      </c>
      <c r="V318" s="95">
        <v>0</v>
      </c>
      <c r="W318" s="95">
        <v>0</v>
      </c>
      <c r="X318" s="95">
        <v>0</v>
      </c>
      <c r="Y318" s="95">
        <v>2119805038</v>
      </c>
      <c r="Z318" s="95">
        <v>0</v>
      </c>
      <c r="AA318" s="95">
        <v>0</v>
      </c>
      <c r="AB318" s="120">
        <v>33559739</v>
      </c>
      <c r="AC318" s="95">
        <v>33559739</v>
      </c>
      <c r="AD318" s="95">
        <v>85333239</v>
      </c>
      <c r="AE318" s="120">
        <v>85333239</v>
      </c>
      <c r="AF318" s="95">
        <v>2034471799</v>
      </c>
      <c r="AG318" s="95">
        <v>0</v>
      </c>
      <c r="AH318" s="120">
        <v>4300000</v>
      </c>
      <c r="AI318" s="120">
        <v>5073500</v>
      </c>
      <c r="AJ318" s="84">
        <v>80259739</v>
      </c>
      <c r="AK318" s="84">
        <v>0</v>
      </c>
      <c r="AL318" s="84">
        <v>0</v>
      </c>
      <c r="AM318" s="84">
        <v>194484204</v>
      </c>
      <c r="AN318" s="121">
        <v>194484204</v>
      </c>
      <c r="AO318" s="84">
        <v>109150965</v>
      </c>
      <c r="AP318" s="95">
        <v>1925320834</v>
      </c>
      <c r="AQ318" s="84">
        <v>0</v>
      </c>
      <c r="AS318" s="118">
        <f t="shared" si="73"/>
        <v>0</v>
      </c>
    </row>
    <row r="319" spans="1:45" x14ac:dyDescent="0.25">
      <c r="A319" s="109">
        <v>2341</v>
      </c>
      <c r="B319" s="110" t="s">
        <v>155</v>
      </c>
      <c r="C319" s="111">
        <f>+C320+C321+C322+C323</f>
        <v>753995798</v>
      </c>
      <c r="D319" s="111">
        <v>0</v>
      </c>
      <c r="E319" s="111">
        <v>0</v>
      </c>
      <c r="F319" s="111">
        <v>0</v>
      </c>
      <c r="G319" s="111">
        <f t="shared" si="74"/>
        <v>753995798</v>
      </c>
      <c r="H319" s="111">
        <v>33559739</v>
      </c>
      <c r="I319" s="111">
        <v>85333239</v>
      </c>
      <c r="J319" s="111">
        <f t="shared" si="75"/>
        <v>668662559</v>
      </c>
      <c r="K319" s="111">
        <v>4300000</v>
      </c>
      <c r="L319" s="111">
        <v>5073500</v>
      </c>
      <c r="M319" s="111">
        <f t="shared" si="76"/>
        <v>80259739</v>
      </c>
      <c r="N319" s="111">
        <v>194484204</v>
      </c>
      <c r="O319" s="111">
        <f t="shared" si="77"/>
        <v>109150965</v>
      </c>
      <c r="P319" s="111">
        <f t="shared" si="78"/>
        <v>559511594</v>
      </c>
      <c r="Q319" s="111">
        <f t="shared" si="79"/>
        <v>5073500</v>
      </c>
      <c r="R319" s="100"/>
      <c r="S319" s="96">
        <v>2341</v>
      </c>
      <c r="T319" s="117" t="s">
        <v>155</v>
      </c>
      <c r="U319" s="95">
        <v>753995798</v>
      </c>
      <c r="V319" s="95">
        <v>0</v>
      </c>
      <c r="W319" s="95">
        <v>0</v>
      </c>
      <c r="X319" s="95">
        <v>0</v>
      </c>
      <c r="Y319" s="95">
        <v>753995798</v>
      </c>
      <c r="Z319" s="95">
        <v>0</v>
      </c>
      <c r="AA319" s="95">
        <v>0</v>
      </c>
      <c r="AB319" s="120">
        <v>33559739</v>
      </c>
      <c r="AC319" s="95">
        <v>33559739</v>
      </c>
      <c r="AD319" s="95">
        <v>85333239</v>
      </c>
      <c r="AE319" s="120">
        <v>85333239</v>
      </c>
      <c r="AF319" s="95">
        <v>668662559</v>
      </c>
      <c r="AG319" s="95">
        <v>0</v>
      </c>
      <c r="AH319" s="120">
        <v>4300000</v>
      </c>
      <c r="AI319" s="120">
        <v>5073500</v>
      </c>
      <c r="AJ319" s="84">
        <v>80259739</v>
      </c>
      <c r="AK319" s="84">
        <v>0</v>
      </c>
      <c r="AL319" s="84">
        <v>0</v>
      </c>
      <c r="AM319" s="84">
        <v>194484204</v>
      </c>
      <c r="AN319" s="121">
        <v>194484204</v>
      </c>
      <c r="AO319" s="84">
        <v>109150965</v>
      </c>
      <c r="AP319" s="95">
        <v>559511594</v>
      </c>
      <c r="AQ319" s="84">
        <v>0</v>
      </c>
      <c r="AS319" s="118">
        <f t="shared" si="73"/>
        <v>0</v>
      </c>
    </row>
    <row r="320" spans="1:45" x14ac:dyDescent="0.25">
      <c r="A320" s="131">
        <v>23411</v>
      </c>
      <c r="B320" s="86" t="s">
        <v>629</v>
      </c>
      <c r="C320" s="91">
        <v>15000000</v>
      </c>
      <c r="D320" s="91">
        <v>0</v>
      </c>
      <c r="E320" s="91">
        <v>0</v>
      </c>
      <c r="F320" s="91">
        <v>0</v>
      </c>
      <c r="G320" s="91">
        <f t="shared" si="74"/>
        <v>15000000</v>
      </c>
      <c r="H320" s="91">
        <v>0</v>
      </c>
      <c r="I320" s="91">
        <v>0</v>
      </c>
      <c r="J320" s="91">
        <f t="shared" si="75"/>
        <v>15000000</v>
      </c>
      <c r="K320" s="91">
        <v>0</v>
      </c>
      <c r="L320" s="91">
        <v>0</v>
      </c>
      <c r="M320" s="91">
        <f t="shared" si="76"/>
        <v>0</v>
      </c>
      <c r="N320" s="91">
        <v>0</v>
      </c>
      <c r="O320" s="91">
        <f t="shared" si="77"/>
        <v>0</v>
      </c>
      <c r="P320" s="91">
        <f t="shared" si="78"/>
        <v>15000000</v>
      </c>
      <c r="Q320" s="91">
        <f t="shared" si="79"/>
        <v>0</v>
      </c>
      <c r="S320" s="96">
        <v>23411</v>
      </c>
      <c r="T320" s="117" t="s">
        <v>791</v>
      </c>
      <c r="U320" s="95">
        <v>15000000</v>
      </c>
      <c r="V320" s="95">
        <v>0</v>
      </c>
      <c r="W320" s="95">
        <v>0</v>
      </c>
      <c r="X320" s="95">
        <v>0</v>
      </c>
      <c r="Y320" s="95">
        <v>15000000</v>
      </c>
      <c r="Z320" s="95">
        <v>0</v>
      </c>
      <c r="AA320" s="95">
        <v>0</v>
      </c>
      <c r="AB320" s="120">
        <v>0</v>
      </c>
      <c r="AC320" s="95">
        <v>0</v>
      </c>
      <c r="AD320" s="95">
        <v>0</v>
      </c>
      <c r="AE320" s="120">
        <v>0</v>
      </c>
      <c r="AF320" s="95">
        <v>15000000</v>
      </c>
      <c r="AG320" s="95">
        <v>0</v>
      </c>
      <c r="AH320" s="120">
        <v>0</v>
      </c>
      <c r="AI320" s="120">
        <v>0</v>
      </c>
      <c r="AJ320" s="84">
        <v>0</v>
      </c>
      <c r="AK320" s="84">
        <v>0</v>
      </c>
      <c r="AL320" s="84">
        <v>0</v>
      </c>
      <c r="AM320" s="84">
        <v>0</v>
      </c>
      <c r="AN320" s="121">
        <v>0</v>
      </c>
      <c r="AO320" s="84">
        <v>0</v>
      </c>
      <c r="AP320" s="95">
        <v>15000000</v>
      </c>
      <c r="AQ320" s="84">
        <v>0</v>
      </c>
      <c r="AS320" s="118">
        <f t="shared" si="73"/>
        <v>0</v>
      </c>
    </row>
    <row r="321" spans="1:45" x14ac:dyDescent="0.25">
      <c r="A321" s="131">
        <v>23412</v>
      </c>
      <c r="B321" s="86" t="s">
        <v>630</v>
      </c>
      <c r="C321" s="91">
        <v>180000000</v>
      </c>
      <c r="D321" s="91">
        <v>0</v>
      </c>
      <c r="E321" s="91">
        <v>0</v>
      </c>
      <c r="F321" s="91">
        <v>0</v>
      </c>
      <c r="G321" s="91">
        <f t="shared" si="74"/>
        <v>180000000</v>
      </c>
      <c r="H321" s="91">
        <v>19849035</v>
      </c>
      <c r="I321" s="91">
        <v>70849035</v>
      </c>
      <c r="J321" s="91">
        <f t="shared" si="75"/>
        <v>109150965</v>
      </c>
      <c r="K321" s="91">
        <v>4300000</v>
      </c>
      <c r="L321" s="91">
        <v>4300000</v>
      </c>
      <c r="M321" s="91">
        <f t="shared" si="76"/>
        <v>66549035</v>
      </c>
      <c r="N321" s="91">
        <v>180000000</v>
      </c>
      <c r="O321" s="91">
        <f t="shared" si="77"/>
        <v>109150965</v>
      </c>
      <c r="P321" s="91">
        <f t="shared" si="78"/>
        <v>0</v>
      </c>
      <c r="Q321" s="91">
        <f t="shared" si="79"/>
        <v>4300000</v>
      </c>
      <c r="S321" s="96">
        <v>23412</v>
      </c>
      <c r="T321" s="117" t="s">
        <v>792</v>
      </c>
      <c r="U321" s="95">
        <v>180000000</v>
      </c>
      <c r="V321" s="95">
        <v>0</v>
      </c>
      <c r="W321" s="95">
        <v>0</v>
      </c>
      <c r="X321" s="95">
        <v>0</v>
      </c>
      <c r="Y321" s="95">
        <v>180000000</v>
      </c>
      <c r="Z321" s="95">
        <v>0</v>
      </c>
      <c r="AA321" s="95">
        <v>0</v>
      </c>
      <c r="AB321" s="120">
        <v>19849035</v>
      </c>
      <c r="AC321" s="95">
        <v>19849035</v>
      </c>
      <c r="AD321" s="95">
        <v>70849035</v>
      </c>
      <c r="AE321" s="120">
        <v>70849035</v>
      </c>
      <c r="AF321" s="95">
        <v>109150965</v>
      </c>
      <c r="AG321" s="95">
        <v>0</v>
      </c>
      <c r="AH321" s="120">
        <v>4300000</v>
      </c>
      <c r="AI321" s="120">
        <v>4300000</v>
      </c>
      <c r="AJ321" s="84">
        <v>66549035</v>
      </c>
      <c r="AK321" s="84">
        <v>0</v>
      </c>
      <c r="AL321" s="84">
        <v>0</v>
      </c>
      <c r="AM321" s="84">
        <v>180000000</v>
      </c>
      <c r="AN321" s="121">
        <v>180000000</v>
      </c>
      <c r="AO321" s="84">
        <v>109150965</v>
      </c>
      <c r="AP321" s="95">
        <v>0</v>
      </c>
      <c r="AQ321" s="84">
        <v>0</v>
      </c>
      <c r="AS321" s="118">
        <f t="shared" si="73"/>
        <v>0</v>
      </c>
    </row>
    <row r="322" spans="1:45" s="100" customFormat="1" x14ac:dyDescent="0.25">
      <c r="A322" s="131">
        <v>23413</v>
      </c>
      <c r="B322" s="86" t="s">
        <v>631</v>
      </c>
      <c r="C322" s="91">
        <v>533995798</v>
      </c>
      <c r="D322" s="91">
        <v>0</v>
      </c>
      <c r="E322" s="91">
        <v>0</v>
      </c>
      <c r="F322" s="91">
        <v>0</v>
      </c>
      <c r="G322" s="91">
        <f t="shared" si="74"/>
        <v>533995798</v>
      </c>
      <c r="H322" s="91">
        <v>0</v>
      </c>
      <c r="I322" s="91">
        <v>0</v>
      </c>
      <c r="J322" s="91">
        <f t="shared" si="75"/>
        <v>533995798</v>
      </c>
      <c r="K322" s="91">
        <v>0</v>
      </c>
      <c r="L322" s="91">
        <v>0</v>
      </c>
      <c r="M322" s="91">
        <f t="shared" si="76"/>
        <v>0</v>
      </c>
      <c r="N322" s="91">
        <v>0</v>
      </c>
      <c r="O322" s="91">
        <f t="shared" si="77"/>
        <v>0</v>
      </c>
      <c r="P322" s="91">
        <f t="shared" si="78"/>
        <v>533995798</v>
      </c>
      <c r="Q322" s="91">
        <f t="shared" si="79"/>
        <v>0</v>
      </c>
      <c r="R322" s="84"/>
      <c r="S322" s="101">
        <v>23413</v>
      </c>
      <c r="T322" s="116" t="s">
        <v>793</v>
      </c>
      <c r="U322" s="102">
        <v>533995798</v>
      </c>
      <c r="V322" s="102">
        <v>0</v>
      </c>
      <c r="W322" s="102">
        <v>0</v>
      </c>
      <c r="X322" s="102">
        <v>0</v>
      </c>
      <c r="Y322" s="102">
        <v>533995798</v>
      </c>
      <c r="Z322" s="102">
        <v>0</v>
      </c>
      <c r="AA322" s="102">
        <v>0</v>
      </c>
      <c r="AB322" s="119">
        <v>0</v>
      </c>
      <c r="AC322" s="102">
        <v>0</v>
      </c>
      <c r="AD322" s="102">
        <v>0</v>
      </c>
      <c r="AE322" s="119">
        <v>0</v>
      </c>
      <c r="AF322" s="102">
        <v>533995798</v>
      </c>
      <c r="AG322" s="102">
        <v>0</v>
      </c>
      <c r="AH322" s="119">
        <v>0</v>
      </c>
      <c r="AI322" s="119">
        <v>0</v>
      </c>
      <c r="AJ322" s="100">
        <v>0</v>
      </c>
      <c r="AK322" s="100">
        <v>0</v>
      </c>
      <c r="AL322" s="100">
        <v>0</v>
      </c>
      <c r="AM322" s="100">
        <v>0</v>
      </c>
      <c r="AN322" s="122">
        <v>0</v>
      </c>
      <c r="AO322" s="100">
        <v>0</v>
      </c>
      <c r="AP322" s="102">
        <v>533995798</v>
      </c>
      <c r="AQ322" s="100">
        <v>0</v>
      </c>
      <c r="AS322" s="118">
        <f t="shared" si="73"/>
        <v>0</v>
      </c>
    </row>
    <row r="323" spans="1:45" s="100" customFormat="1" x14ac:dyDescent="0.25">
      <c r="A323" s="131">
        <v>23415</v>
      </c>
      <c r="B323" s="86" t="s">
        <v>632</v>
      </c>
      <c r="C323" s="91">
        <v>25000000</v>
      </c>
      <c r="D323" s="91">
        <v>0</v>
      </c>
      <c r="E323" s="91">
        <v>0</v>
      </c>
      <c r="F323" s="91">
        <v>0</v>
      </c>
      <c r="G323" s="91">
        <f t="shared" si="74"/>
        <v>25000000</v>
      </c>
      <c r="H323" s="91">
        <v>13710704</v>
      </c>
      <c r="I323" s="91">
        <v>14484204</v>
      </c>
      <c r="J323" s="91">
        <f t="shared" si="75"/>
        <v>10515796</v>
      </c>
      <c r="K323" s="91">
        <v>0</v>
      </c>
      <c r="L323" s="91">
        <v>773500</v>
      </c>
      <c r="M323" s="91">
        <f t="shared" si="76"/>
        <v>13710704</v>
      </c>
      <c r="N323" s="91">
        <v>14484204</v>
      </c>
      <c r="O323" s="91">
        <f t="shared" si="77"/>
        <v>0</v>
      </c>
      <c r="P323" s="91">
        <f t="shared" si="78"/>
        <v>10515796</v>
      </c>
      <c r="Q323" s="91">
        <f t="shared" si="79"/>
        <v>773500</v>
      </c>
      <c r="R323" s="84"/>
      <c r="S323" s="101">
        <v>23415</v>
      </c>
      <c r="T323" s="116" t="s">
        <v>829</v>
      </c>
      <c r="U323" s="102">
        <v>25000000</v>
      </c>
      <c r="V323" s="102">
        <v>0</v>
      </c>
      <c r="W323" s="102">
        <v>0</v>
      </c>
      <c r="X323" s="102">
        <v>0</v>
      </c>
      <c r="Y323" s="102">
        <v>25000000</v>
      </c>
      <c r="Z323" s="102">
        <v>0</v>
      </c>
      <c r="AA323" s="102">
        <v>0</v>
      </c>
      <c r="AB323" s="119">
        <v>13710704</v>
      </c>
      <c r="AC323" s="102">
        <v>13710704</v>
      </c>
      <c r="AD323" s="102">
        <v>14484204</v>
      </c>
      <c r="AE323" s="119">
        <v>14484204</v>
      </c>
      <c r="AF323" s="102">
        <v>10515796</v>
      </c>
      <c r="AG323" s="102">
        <v>0</v>
      </c>
      <c r="AH323" s="119">
        <v>0</v>
      </c>
      <c r="AI323" s="119">
        <v>773500</v>
      </c>
      <c r="AJ323" s="100">
        <v>13710704</v>
      </c>
      <c r="AK323" s="100">
        <v>0</v>
      </c>
      <c r="AL323" s="100">
        <v>0</v>
      </c>
      <c r="AM323" s="100">
        <v>14484204</v>
      </c>
      <c r="AN323" s="122">
        <v>14484204</v>
      </c>
      <c r="AO323" s="100">
        <v>0</v>
      </c>
      <c r="AP323" s="102">
        <v>10515796</v>
      </c>
      <c r="AQ323" s="100">
        <v>0</v>
      </c>
      <c r="AS323" s="118">
        <f t="shared" si="73"/>
        <v>0</v>
      </c>
    </row>
    <row r="324" spans="1:45" s="100" customFormat="1" x14ac:dyDescent="0.25">
      <c r="A324" s="103">
        <v>2344</v>
      </c>
      <c r="B324" s="104" t="s">
        <v>156</v>
      </c>
      <c r="C324" s="105">
        <f>+C325</f>
        <v>1365809240</v>
      </c>
      <c r="D324" s="105">
        <v>0</v>
      </c>
      <c r="E324" s="105">
        <v>0</v>
      </c>
      <c r="F324" s="105">
        <v>0</v>
      </c>
      <c r="G324" s="105">
        <f t="shared" si="74"/>
        <v>1365809240</v>
      </c>
      <c r="H324" s="105">
        <v>0</v>
      </c>
      <c r="I324" s="105">
        <v>0</v>
      </c>
      <c r="J324" s="105">
        <f t="shared" si="75"/>
        <v>1365809240</v>
      </c>
      <c r="K324" s="105">
        <v>0</v>
      </c>
      <c r="L324" s="105">
        <v>0</v>
      </c>
      <c r="M324" s="105">
        <f t="shared" si="76"/>
        <v>0</v>
      </c>
      <c r="N324" s="105">
        <v>0</v>
      </c>
      <c r="O324" s="105">
        <f t="shared" si="77"/>
        <v>0</v>
      </c>
      <c r="P324" s="105">
        <f t="shared" si="78"/>
        <v>1365809240</v>
      </c>
      <c r="Q324" s="105">
        <f t="shared" si="79"/>
        <v>0</v>
      </c>
      <c r="S324" s="101">
        <v>2344</v>
      </c>
      <c r="T324" s="116" t="s">
        <v>156</v>
      </c>
      <c r="U324" s="102">
        <v>1365809240</v>
      </c>
      <c r="V324" s="102">
        <v>0</v>
      </c>
      <c r="W324" s="102">
        <v>0</v>
      </c>
      <c r="X324" s="102">
        <v>0</v>
      </c>
      <c r="Y324" s="102">
        <v>1365809240</v>
      </c>
      <c r="Z324" s="102">
        <v>0</v>
      </c>
      <c r="AA324" s="102">
        <v>0</v>
      </c>
      <c r="AB324" s="119">
        <v>0</v>
      </c>
      <c r="AC324" s="102">
        <v>0</v>
      </c>
      <c r="AD324" s="102">
        <v>0</v>
      </c>
      <c r="AE324" s="119">
        <v>0</v>
      </c>
      <c r="AF324" s="102">
        <v>1365809240</v>
      </c>
      <c r="AG324" s="102">
        <v>0</v>
      </c>
      <c r="AH324" s="119">
        <v>0</v>
      </c>
      <c r="AI324" s="119">
        <v>0</v>
      </c>
      <c r="AJ324" s="100">
        <v>0</v>
      </c>
      <c r="AK324" s="100">
        <v>0</v>
      </c>
      <c r="AL324" s="100">
        <v>0</v>
      </c>
      <c r="AM324" s="100">
        <v>0</v>
      </c>
      <c r="AN324" s="122">
        <v>0</v>
      </c>
      <c r="AO324" s="100">
        <v>0</v>
      </c>
      <c r="AP324" s="102">
        <v>1365809240</v>
      </c>
      <c r="AQ324" s="100">
        <v>0</v>
      </c>
      <c r="AS324" s="118">
        <f t="shared" si="73"/>
        <v>0</v>
      </c>
    </row>
    <row r="325" spans="1:45" s="100" customFormat="1" x14ac:dyDescent="0.25">
      <c r="A325" s="131">
        <v>23442</v>
      </c>
      <c r="B325" s="110" t="s">
        <v>157</v>
      </c>
      <c r="C325" s="111">
        <v>1365809240</v>
      </c>
      <c r="D325" s="111">
        <v>0</v>
      </c>
      <c r="E325" s="111">
        <v>0</v>
      </c>
      <c r="F325" s="111">
        <v>0</v>
      </c>
      <c r="G325" s="111">
        <f t="shared" si="74"/>
        <v>1365809240</v>
      </c>
      <c r="H325" s="111">
        <v>0</v>
      </c>
      <c r="I325" s="111">
        <v>0</v>
      </c>
      <c r="J325" s="111">
        <f t="shared" si="75"/>
        <v>1365809240</v>
      </c>
      <c r="K325" s="111">
        <v>0</v>
      </c>
      <c r="L325" s="111">
        <v>0</v>
      </c>
      <c r="M325" s="111">
        <f t="shared" si="76"/>
        <v>0</v>
      </c>
      <c r="N325" s="111">
        <v>0</v>
      </c>
      <c r="O325" s="111">
        <f t="shared" si="77"/>
        <v>0</v>
      </c>
      <c r="P325" s="111">
        <f t="shared" si="78"/>
        <v>1365809240</v>
      </c>
      <c r="Q325" s="111">
        <f t="shared" si="79"/>
        <v>0</v>
      </c>
      <c r="S325" s="101">
        <v>23442</v>
      </c>
      <c r="T325" s="116" t="s">
        <v>157</v>
      </c>
      <c r="U325" s="102">
        <v>1365809240</v>
      </c>
      <c r="V325" s="102">
        <v>0</v>
      </c>
      <c r="W325" s="102">
        <v>0</v>
      </c>
      <c r="X325" s="102">
        <v>0</v>
      </c>
      <c r="Y325" s="102">
        <v>1365809240</v>
      </c>
      <c r="Z325" s="102">
        <v>0</v>
      </c>
      <c r="AA325" s="102">
        <v>0</v>
      </c>
      <c r="AB325" s="119">
        <v>0</v>
      </c>
      <c r="AC325" s="102">
        <v>0</v>
      </c>
      <c r="AD325" s="102">
        <v>0</v>
      </c>
      <c r="AE325" s="119">
        <v>0</v>
      </c>
      <c r="AF325" s="102">
        <v>1365809240</v>
      </c>
      <c r="AG325" s="102">
        <v>0</v>
      </c>
      <c r="AH325" s="119">
        <v>0</v>
      </c>
      <c r="AI325" s="119">
        <v>0</v>
      </c>
      <c r="AJ325" s="100">
        <v>0</v>
      </c>
      <c r="AK325" s="100">
        <v>0</v>
      </c>
      <c r="AL325" s="100">
        <v>0</v>
      </c>
      <c r="AM325" s="100">
        <v>0</v>
      </c>
      <c r="AN325" s="122">
        <v>0</v>
      </c>
      <c r="AO325" s="100">
        <v>0</v>
      </c>
      <c r="AP325" s="102">
        <v>1365809240</v>
      </c>
      <c r="AQ325" s="100">
        <v>0</v>
      </c>
      <c r="AS325" s="118">
        <f t="shared" si="73"/>
        <v>0</v>
      </c>
    </row>
    <row r="326" spans="1:45" x14ac:dyDescent="0.25">
      <c r="A326" s="103">
        <v>235</v>
      </c>
      <c r="B326" s="104" t="s">
        <v>158</v>
      </c>
      <c r="C326" s="105">
        <f>+C327+C337+C354+C366+C374+C376+C377+C378+C379+C380+C381+C382+C383+C384+C385+C386+C387+C388+C389+C390+C391+C392+C393+C394+C395+C396+C397+C398</f>
        <v>0</v>
      </c>
      <c r="D326" s="105">
        <v>4866721446</v>
      </c>
      <c r="E326" s="105">
        <v>4866721446</v>
      </c>
      <c r="F326" s="105">
        <v>12971246597.470001</v>
      </c>
      <c r="G326" s="105">
        <f t="shared" si="74"/>
        <v>12971246597.470001</v>
      </c>
      <c r="H326" s="105">
        <v>717038803.83999991</v>
      </c>
      <c r="I326" s="105">
        <v>1061638587.9400001</v>
      </c>
      <c r="J326" s="105">
        <f t="shared" si="75"/>
        <v>11909608009.530001</v>
      </c>
      <c r="K326" s="105">
        <v>139605159</v>
      </c>
      <c r="L326" s="105">
        <v>236419488</v>
      </c>
      <c r="M326" s="105">
        <f t="shared" si="76"/>
        <v>825219099.94000006</v>
      </c>
      <c r="N326" s="105">
        <v>1499074005.0999999</v>
      </c>
      <c r="O326" s="105">
        <f t="shared" si="77"/>
        <v>437435417.15999985</v>
      </c>
      <c r="P326" s="105">
        <f t="shared" si="78"/>
        <v>11472172592.370001</v>
      </c>
      <c r="Q326" s="105">
        <f t="shared" si="79"/>
        <v>236419488</v>
      </c>
      <c r="R326" s="100"/>
      <c r="S326" s="96">
        <v>235</v>
      </c>
      <c r="T326" s="117" t="s">
        <v>158</v>
      </c>
      <c r="U326" s="95">
        <v>0</v>
      </c>
      <c r="V326" s="95">
        <v>4866721446</v>
      </c>
      <c r="W326" s="95">
        <v>2182569021</v>
      </c>
      <c r="X326" s="95">
        <v>8072066083.4699984</v>
      </c>
      <c r="Y326" s="95">
        <v>10756218508.469997</v>
      </c>
      <c r="Z326" s="95">
        <v>4641171</v>
      </c>
      <c r="AA326" s="95">
        <v>4641171</v>
      </c>
      <c r="AB326" s="120">
        <v>717038803.83999991</v>
      </c>
      <c r="AC326" s="95">
        <v>712397632.83999991</v>
      </c>
      <c r="AD326" s="95">
        <v>1066279758.9400001</v>
      </c>
      <c r="AE326" s="120">
        <v>1061638587.9400001</v>
      </c>
      <c r="AF326" s="95">
        <v>9694579920.5299969</v>
      </c>
      <c r="AG326" s="95">
        <v>0</v>
      </c>
      <c r="AH326" s="120">
        <v>139605159</v>
      </c>
      <c r="AI326" s="120">
        <v>236419488</v>
      </c>
      <c r="AJ326" s="84">
        <v>825219099.94000006</v>
      </c>
      <c r="AK326" s="84">
        <v>5554171</v>
      </c>
      <c r="AL326" s="84">
        <v>367880773</v>
      </c>
      <c r="AM326" s="84">
        <v>1504628176.0999999</v>
      </c>
      <c r="AN326" s="121">
        <v>1499074005.0999999</v>
      </c>
      <c r="AO326" s="84">
        <v>437435417.15999985</v>
      </c>
      <c r="AP326" s="95">
        <v>9257144503.369997</v>
      </c>
      <c r="AQ326" s="84">
        <v>0</v>
      </c>
      <c r="AS326" s="118">
        <f t="shared" si="73"/>
        <v>2684152425</v>
      </c>
    </row>
    <row r="327" spans="1:45" x14ac:dyDescent="0.25">
      <c r="A327" s="109">
        <v>23501</v>
      </c>
      <c r="B327" s="110" t="s">
        <v>830</v>
      </c>
      <c r="C327" s="111">
        <v>0</v>
      </c>
      <c r="D327" s="111">
        <v>0</v>
      </c>
      <c r="E327" s="111">
        <v>0</v>
      </c>
      <c r="F327" s="111">
        <v>1441367799</v>
      </c>
      <c r="G327" s="111">
        <f t="shared" si="74"/>
        <v>1441367799</v>
      </c>
      <c r="H327" s="111">
        <v>87748395</v>
      </c>
      <c r="I327" s="111">
        <v>96805016</v>
      </c>
      <c r="J327" s="111">
        <f t="shared" si="75"/>
        <v>1344562783</v>
      </c>
      <c r="K327" s="111">
        <v>0</v>
      </c>
      <c r="L327" s="111">
        <v>9056621</v>
      </c>
      <c r="M327" s="111">
        <f t="shared" si="76"/>
        <v>87748395</v>
      </c>
      <c r="N327" s="111">
        <v>126025016</v>
      </c>
      <c r="O327" s="111">
        <f t="shared" si="77"/>
        <v>29220000</v>
      </c>
      <c r="P327" s="111">
        <f t="shared" si="78"/>
        <v>1315342783</v>
      </c>
      <c r="Q327" s="111">
        <f t="shared" si="79"/>
        <v>9056621</v>
      </c>
      <c r="R327" s="100"/>
      <c r="S327" s="96">
        <v>23501</v>
      </c>
      <c r="T327" s="117" t="s">
        <v>159</v>
      </c>
      <c r="U327" s="95">
        <v>0</v>
      </c>
      <c r="V327" s="95">
        <v>0</v>
      </c>
      <c r="W327" s="95">
        <v>0</v>
      </c>
      <c r="X327" s="95">
        <v>1441367799</v>
      </c>
      <c r="Y327" s="95">
        <v>1441367799</v>
      </c>
      <c r="Z327" s="95">
        <v>0</v>
      </c>
      <c r="AA327" s="95">
        <v>0</v>
      </c>
      <c r="AB327" s="120">
        <v>87748395</v>
      </c>
      <c r="AC327" s="95">
        <v>87748395</v>
      </c>
      <c r="AD327" s="95">
        <v>96805016</v>
      </c>
      <c r="AE327" s="120">
        <v>96805016</v>
      </c>
      <c r="AF327" s="95">
        <v>1344562783</v>
      </c>
      <c r="AG327" s="95">
        <v>0</v>
      </c>
      <c r="AH327" s="120">
        <v>0</v>
      </c>
      <c r="AI327" s="120">
        <v>9056621</v>
      </c>
      <c r="AJ327" s="84">
        <v>87748395</v>
      </c>
      <c r="AK327" s="84">
        <v>0</v>
      </c>
      <c r="AL327" s="84">
        <v>3081645</v>
      </c>
      <c r="AM327" s="84">
        <v>126025016</v>
      </c>
      <c r="AN327" s="121">
        <v>126025016</v>
      </c>
      <c r="AO327" s="84">
        <v>29220000</v>
      </c>
      <c r="AP327" s="95">
        <v>1315342783</v>
      </c>
      <c r="AQ327" s="84">
        <v>0</v>
      </c>
      <c r="AS327" s="118">
        <f t="shared" ref="AS327:AS390" si="80">+E327-W327</f>
        <v>0</v>
      </c>
    </row>
    <row r="328" spans="1:45" x14ac:dyDescent="0.25">
      <c r="A328" s="129">
        <v>2350101</v>
      </c>
      <c r="B328" s="86" t="s">
        <v>160</v>
      </c>
      <c r="C328" s="91">
        <v>0</v>
      </c>
      <c r="D328" s="91">
        <v>0</v>
      </c>
      <c r="E328" s="91">
        <v>0</v>
      </c>
      <c r="F328" s="91">
        <v>237229972</v>
      </c>
      <c r="G328" s="130">
        <f t="shared" si="74"/>
        <v>237229972</v>
      </c>
      <c r="H328" s="91">
        <v>0</v>
      </c>
      <c r="I328" s="91">
        <v>0</v>
      </c>
      <c r="J328" s="91">
        <f t="shared" si="75"/>
        <v>237229972</v>
      </c>
      <c r="K328" s="91">
        <v>0</v>
      </c>
      <c r="L328" s="91">
        <v>0</v>
      </c>
      <c r="M328" s="91">
        <f t="shared" si="76"/>
        <v>0</v>
      </c>
      <c r="N328" s="91">
        <v>0</v>
      </c>
      <c r="O328" s="91">
        <f t="shared" si="77"/>
        <v>0</v>
      </c>
      <c r="P328" s="91">
        <f t="shared" si="78"/>
        <v>237229972</v>
      </c>
      <c r="Q328" s="91">
        <f t="shared" si="79"/>
        <v>0</v>
      </c>
      <c r="S328" s="96">
        <v>2350101</v>
      </c>
      <c r="T328" s="117" t="s">
        <v>160</v>
      </c>
      <c r="U328" s="95">
        <v>0</v>
      </c>
      <c r="V328" s="95">
        <v>0</v>
      </c>
      <c r="W328" s="95">
        <v>0</v>
      </c>
      <c r="X328" s="95">
        <v>237229972</v>
      </c>
      <c r="Y328" s="95">
        <v>237229972</v>
      </c>
      <c r="Z328" s="95">
        <v>0</v>
      </c>
      <c r="AA328" s="95">
        <v>0</v>
      </c>
      <c r="AB328" s="120">
        <v>0</v>
      </c>
      <c r="AC328" s="95">
        <v>0</v>
      </c>
      <c r="AD328" s="95">
        <v>0</v>
      </c>
      <c r="AE328" s="120">
        <v>0</v>
      </c>
      <c r="AF328" s="95">
        <v>237229972</v>
      </c>
      <c r="AG328" s="95">
        <v>0</v>
      </c>
      <c r="AH328" s="120">
        <v>0</v>
      </c>
      <c r="AI328" s="120">
        <v>0</v>
      </c>
      <c r="AJ328" s="84">
        <v>0</v>
      </c>
      <c r="AK328" s="84">
        <v>0</v>
      </c>
      <c r="AL328" s="84">
        <v>0</v>
      </c>
      <c r="AM328" s="84">
        <v>0</v>
      </c>
      <c r="AN328" s="121">
        <v>0</v>
      </c>
      <c r="AO328" s="84">
        <v>0</v>
      </c>
      <c r="AP328" s="95">
        <v>237229972</v>
      </c>
      <c r="AQ328" s="84">
        <v>0</v>
      </c>
      <c r="AS328" s="118">
        <f t="shared" si="80"/>
        <v>0</v>
      </c>
    </row>
    <row r="329" spans="1:45" x14ac:dyDescent="0.25">
      <c r="A329" s="129">
        <v>2350102</v>
      </c>
      <c r="B329" s="86" t="s">
        <v>161</v>
      </c>
      <c r="C329" s="91">
        <v>0</v>
      </c>
      <c r="D329" s="91">
        <v>0</v>
      </c>
      <c r="E329" s="91">
        <v>0</v>
      </c>
      <c r="F329" s="91">
        <v>47959207</v>
      </c>
      <c r="G329" s="130">
        <f t="shared" si="74"/>
        <v>47959207</v>
      </c>
      <c r="H329" s="91">
        <v>0</v>
      </c>
      <c r="I329" s="91">
        <v>9056621</v>
      </c>
      <c r="J329" s="91">
        <f t="shared" si="75"/>
        <v>38902586</v>
      </c>
      <c r="K329" s="91">
        <v>0</v>
      </c>
      <c r="L329" s="91">
        <v>9056621</v>
      </c>
      <c r="M329" s="91">
        <f t="shared" si="76"/>
        <v>0</v>
      </c>
      <c r="N329" s="91">
        <v>9056621</v>
      </c>
      <c r="O329" s="91">
        <f t="shared" si="77"/>
        <v>0</v>
      </c>
      <c r="P329" s="91">
        <f t="shared" si="78"/>
        <v>38902586</v>
      </c>
      <c r="Q329" s="91">
        <f t="shared" si="79"/>
        <v>9056621</v>
      </c>
      <c r="S329" s="96">
        <v>2350102</v>
      </c>
      <c r="T329" s="117" t="s">
        <v>161</v>
      </c>
      <c r="U329" s="95">
        <v>0</v>
      </c>
      <c r="V329" s="95">
        <v>0</v>
      </c>
      <c r="W329" s="95">
        <v>0</v>
      </c>
      <c r="X329" s="95">
        <v>47959207</v>
      </c>
      <c r="Y329" s="95">
        <v>47959207</v>
      </c>
      <c r="Z329" s="95">
        <v>0</v>
      </c>
      <c r="AA329" s="95">
        <v>0</v>
      </c>
      <c r="AB329" s="120">
        <v>0</v>
      </c>
      <c r="AC329" s="95">
        <v>0</v>
      </c>
      <c r="AD329" s="95">
        <v>9056621</v>
      </c>
      <c r="AE329" s="120">
        <v>9056621</v>
      </c>
      <c r="AF329" s="95">
        <v>38902586</v>
      </c>
      <c r="AG329" s="95">
        <v>0</v>
      </c>
      <c r="AH329" s="120">
        <v>0</v>
      </c>
      <c r="AI329" s="120">
        <v>9056621</v>
      </c>
      <c r="AJ329" s="84">
        <v>0</v>
      </c>
      <c r="AK329" s="84">
        <v>0</v>
      </c>
      <c r="AL329" s="84">
        <v>0</v>
      </c>
      <c r="AM329" s="84">
        <v>9056621</v>
      </c>
      <c r="AN329" s="121">
        <v>9056621</v>
      </c>
      <c r="AO329" s="84">
        <v>0</v>
      </c>
      <c r="AP329" s="95">
        <v>38902586</v>
      </c>
      <c r="AQ329" s="84">
        <v>0</v>
      </c>
      <c r="AS329" s="118">
        <f t="shared" si="80"/>
        <v>0</v>
      </c>
    </row>
    <row r="330" spans="1:45" x14ac:dyDescent="0.25">
      <c r="A330" s="129">
        <v>2350103</v>
      </c>
      <c r="B330" s="86" t="s">
        <v>162</v>
      </c>
      <c r="C330" s="91">
        <v>0</v>
      </c>
      <c r="D330" s="91">
        <v>0</v>
      </c>
      <c r="E330" s="91">
        <v>0</v>
      </c>
      <c r="F330" s="91">
        <v>47959208</v>
      </c>
      <c r="G330" s="130">
        <f t="shared" si="74"/>
        <v>47959208</v>
      </c>
      <c r="H330" s="91">
        <v>0</v>
      </c>
      <c r="I330" s="91">
        <v>0</v>
      </c>
      <c r="J330" s="91">
        <f t="shared" si="75"/>
        <v>47959208</v>
      </c>
      <c r="K330" s="91">
        <v>0</v>
      </c>
      <c r="L330" s="91">
        <v>0</v>
      </c>
      <c r="M330" s="91">
        <f t="shared" si="76"/>
        <v>0</v>
      </c>
      <c r="N330" s="91">
        <v>0</v>
      </c>
      <c r="O330" s="91">
        <f t="shared" si="77"/>
        <v>0</v>
      </c>
      <c r="P330" s="91">
        <f t="shared" si="78"/>
        <v>47959208</v>
      </c>
      <c r="Q330" s="91">
        <f t="shared" si="79"/>
        <v>0</v>
      </c>
      <c r="S330" s="96">
        <v>2350103</v>
      </c>
      <c r="T330" s="117" t="s">
        <v>162</v>
      </c>
      <c r="U330" s="95">
        <v>0</v>
      </c>
      <c r="V330" s="95">
        <v>0</v>
      </c>
      <c r="W330" s="95">
        <v>0</v>
      </c>
      <c r="X330" s="95">
        <v>47959208</v>
      </c>
      <c r="Y330" s="95">
        <v>47959208</v>
      </c>
      <c r="Z330" s="95">
        <v>0</v>
      </c>
      <c r="AA330" s="95">
        <v>0</v>
      </c>
      <c r="AB330" s="120">
        <v>0</v>
      </c>
      <c r="AC330" s="95">
        <v>0</v>
      </c>
      <c r="AD330" s="95">
        <v>0</v>
      </c>
      <c r="AE330" s="120">
        <v>0</v>
      </c>
      <c r="AF330" s="95">
        <v>47959208</v>
      </c>
      <c r="AG330" s="95">
        <v>0</v>
      </c>
      <c r="AH330" s="120">
        <v>0</v>
      </c>
      <c r="AI330" s="120">
        <v>0</v>
      </c>
      <c r="AJ330" s="84">
        <v>0</v>
      </c>
      <c r="AK330" s="84">
        <v>0</v>
      </c>
      <c r="AL330" s="84">
        <v>0</v>
      </c>
      <c r="AM330" s="84">
        <v>0</v>
      </c>
      <c r="AN330" s="121">
        <v>0</v>
      </c>
      <c r="AO330" s="84">
        <v>0</v>
      </c>
      <c r="AP330" s="95">
        <v>47959208</v>
      </c>
      <c r="AQ330" s="84">
        <v>0</v>
      </c>
      <c r="AS330" s="118">
        <f t="shared" si="80"/>
        <v>0</v>
      </c>
    </row>
    <row r="331" spans="1:45" x14ac:dyDescent="0.25">
      <c r="A331" s="134">
        <v>2350104</v>
      </c>
      <c r="B331" s="86" t="s">
        <v>163</v>
      </c>
      <c r="C331" s="91">
        <v>0</v>
      </c>
      <c r="D331" s="91">
        <v>0</v>
      </c>
      <c r="E331" s="91">
        <v>0</v>
      </c>
      <c r="F331" s="91">
        <v>189144644</v>
      </c>
      <c r="G331" s="91">
        <f t="shared" si="74"/>
        <v>189144644</v>
      </c>
      <c r="H331" s="91">
        <v>0</v>
      </c>
      <c r="I331" s="91">
        <v>0</v>
      </c>
      <c r="J331" s="91">
        <f t="shared" si="75"/>
        <v>189144644</v>
      </c>
      <c r="K331" s="91">
        <v>0</v>
      </c>
      <c r="L331" s="91">
        <v>0</v>
      </c>
      <c r="M331" s="91">
        <f t="shared" si="76"/>
        <v>0</v>
      </c>
      <c r="N331" s="91">
        <v>0</v>
      </c>
      <c r="O331" s="91">
        <f t="shared" si="77"/>
        <v>0</v>
      </c>
      <c r="P331" s="91">
        <f t="shared" si="78"/>
        <v>189144644</v>
      </c>
      <c r="Q331" s="91">
        <f t="shared" si="79"/>
        <v>0</v>
      </c>
      <c r="S331" s="96">
        <v>2350104</v>
      </c>
      <c r="T331" s="117" t="s">
        <v>163</v>
      </c>
      <c r="U331" s="95">
        <v>0</v>
      </c>
      <c r="V331" s="95">
        <v>0</v>
      </c>
      <c r="W331" s="95">
        <v>0</v>
      </c>
      <c r="X331" s="95">
        <v>189144644</v>
      </c>
      <c r="Y331" s="95">
        <v>189144644</v>
      </c>
      <c r="Z331" s="95">
        <v>0</v>
      </c>
      <c r="AA331" s="95">
        <v>0</v>
      </c>
      <c r="AB331" s="120">
        <v>0</v>
      </c>
      <c r="AC331" s="95">
        <v>0</v>
      </c>
      <c r="AD331" s="95">
        <v>0</v>
      </c>
      <c r="AE331" s="120">
        <v>0</v>
      </c>
      <c r="AF331" s="95">
        <v>189144644</v>
      </c>
      <c r="AG331" s="95">
        <v>0</v>
      </c>
      <c r="AH331" s="120">
        <v>0</v>
      </c>
      <c r="AI331" s="120">
        <v>0</v>
      </c>
      <c r="AJ331" s="84">
        <v>0</v>
      </c>
      <c r="AK331" s="84">
        <v>0</v>
      </c>
      <c r="AL331" s="84">
        <v>0</v>
      </c>
      <c r="AM331" s="84">
        <v>0</v>
      </c>
      <c r="AN331" s="121">
        <v>0</v>
      </c>
      <c r="AO331" s="84">
        <v>0</v>
      </c>
      <c r="AP331" s="95">
        <v>189144644</v>
      </c>
      <c r="AQ331" s="84">
        <v>0</v>
      </c>
      <c r="AS331" s="118">
        <f t="shared" si="80"/>
        <v>0</v>
      </c>
    </row>
    <row r="332" spans="1:45" x14ac:dyDescent="0.25">
      <c r="A332" s="134">
        <v>2350105</v>
      </c>
      <c r="B332" s="86" t="s">
        <v>164</v>
      </c>
      <c r="C332" s="91">
        <v>0</v>
      </c>
      <c r="D332" s="91">
        <v>0</v>
      </c>
      <c r="E332" s="91">
        <v>0</v>
      </c>
      <c r="F332" s="91">
        <v>135472173</v>
      </c>
      <c r="G332" s="91">
        <f t="shared" si="74"/>
        <v>135472173</v>
      </c>
      <c r="H332" s="91">
        <v>0</v>
      </c>
      <c r="I332" s="91">
        <v>0</v>
      </c>
      <c r="J332" s="91">
        <f t="shared" si="75"/>
        <v>135472173</v>
      </c>
      <c r="K332" s="91">
        <v>0</v>
      </c>
      <c r="L332" s="91">
        <v>0</v>
      </c>
      <c r="M332" s="91">
        <f t="shared" si="76"/>
        <v>0</v>
      </c>
      <c r="N332" s="91">
        <v>0</v>
      </c>
      <c r="O332" s="91">
        <f t="shared" si="77"/>
        <v>0</v>
      </c>
      <c r="P332" s="91">
        <f t="shared" si="78"/>
        <v>135472173</v>
      </c>
      <c r="Q332" s="91">
        <f t="shared" si="79"/>
        <v>0</v>
      </c>
      <c r="S332" s="96">
        <v>2350105</v>
      </c>
      <c r="T332" s="117" t="s">
        <v>164</v>
      </c>
      <c r="U332" s="95">
        <v>0</v>
      </c>
      <c r="V332" s="95">
        <v>0</v>
      </c>
      <c r="W332" s="95">
        <v>0</v>
      </c>
      <c r="X332" s="95">
        <v>135472173</v>
      </c>
      <c r="Y332" s="95">
        <v>135472173</v>
      </c>
      <c r="Z332" s="95">
        <v>0</v>
      </c>
      <c r="AA332" s="95">
        <v>0</v>
      </c>
      <c r="AB332" s="120">
        <v>0</v>
      </c>
      <c r="AC332" s="95">
        <v>0</v>
      </c>
      <c r="AD332" s="95">
        <v>0</v>
      </c>
      <c r="AE332" s="120">
        <v>0</v>
      </c>
      <c r="AF332" s="95">
        <v>135472173</v>
      </c>
      <c r="AG332" s="95">
        <v>0</v>
      </c>
      <c r="AH332" s="120">
        <v>0</v>
      </c>
      <c r="AI332" s="120">
        <v>0</v>
      </c>
      <c r="AJ332" s="84">
        <v>0</v>
      </c>
      <c r="AK332" s="84">
        <v>0</v>
      </c>
      <c r="AL332" s="84">
        <v>0</v>
      </c>
      <c r="AM332" s="84">
        <v>0</v>
      </c>
      <c r="AN332" s="121">
        <v>0</v>
      </c>
      <c r="AO332" s="84">
        <v>0</v>
      </c>
      <c r="AP332" s="95">
        <v>135472173</v>
      </c>
      <c r="AQ332" s="84">
        <v>0</v>
      </c>
      <c r="AS332" s="118">
        <f t="shared" si="80"/>
        <v>0</v>
      </c>
    </row>
    <row r="333" spans="1:45" x14ac:dyDescent="0.25">
      <c r="A333" s="134">
        <v>2350106</v>
      </c>
      <c r="B333" s="86" t="s">
        <v>165</v>
      </c>
      <c r="C333" s="91">
        <v>0</v>
      </c>
      <c r="D333" s="91">
        <v>0</v>
      </c>
      <c r="E333" s="91">
        <v>0</v>
      </c>
      <c r="F333" s="91">
        <v>157808831</v>
      </c>
      <c r="G333" s="91">
        <f t="shared" si="74"/>
        <v>157808831</v>
      </c>
      <c r="H333" s="91">
        <v>87748395</v>
      </c>
      <c r="I333" s="91">
        <v>87748395</v>
      </c>
      <c r="J333" s="91">
        <f t="shared" si="75"/>
        <v>70060436</v>
      </c>
      <c r="K333" s="91">
        <v>0</v>
      </c>
      <c r="L333" s="91">
        <v>0</v>
      </c>
      <c r="M333" s="91">
        <f t="shared" si="76"/>
        <v>87748395</v>
      </c>
      <c r="N333" s="91">
        <v>116968395</v>
      </c>
      <c r="O333" s="91">
        <f t="shared" si="77"/>
        <v>29220000</v>
      </c>
      <c r="P333" s="91">
        <f t="shared" si="78"/>
        <v>40840436</v>
      </c>
      <c r="Q333" s="91">
        <f t="shared" si="79"/>
        <v>0</v>
      </c>
      <c r="S333" s="96">
        <v>2350106</v>
      </c>
      <c r="T333" s="117" t="s">
        <v>165</v>
      </c>
      <c r="U333" s="95">
        <v>0</v>
      </c>
      <c r="V333" s="95">
        <v>0</v>
      </c>
      <c r="W333" s="95">
        <v>0</v>
      </c>
      <c r="X333" s="95">
        <v>157808831</v>
      </c>
      <c r="Y333" s="95">
        <v>157808831</v>
      </c>
      <c r="Z333" s="95">
        <v>0</v>
      </c>
      <c r="AA333" s="95">
        <v>0</v>
      </c>
      <c r="AB333" s="120">
        <v>87748395</v>
      </c>
      <c r="AC333" s="95">
        <v>87748395</v>
      </c>
      <c r="AD333" s="95">
        <v>87748395</v>
      </c>
      <c r="AE333" s="120">
        <v>87748395</v>
      </c>
      <c r="AF333" s="95">
        <v>70060436</v>
      </c>
      <c r="AG333" s="95">
        <v>0</v>
      </c>
      <c r="AH333" s="120">
        <v>0</v>
      </c>
      <c r="AI333" s="120">
        <v>0</v>
      </c>
      <c r="AJ333" s="84">
        <v>87748395</v>
      </c>
      <c r="AK333" s="84">
        <v>0</v>
      </c>
      <c r="AL333" s="84">
        <v>3081645</v>
      </c>
      <c r="AM333" s="84">
        <v>116968395</v>
      </c>
      <c r="AN333" s="121">
        <v>116968395</v>
      </c>
      <c r="AO333" s="84">
        <v>29220000</v>
      </c>
      <c r="AP333" s="95">
        <v>40840436</v>
      </c>
      <c r="AQ333" s="84">
        <v>0</v>
      </c>
      <c r="AS333" s="118">
        <f t="shared" si="80"/>
        <v>0</v>
      </c>
    </row>
    <row r="334" spans="1:45" x14ac:dyDescent="0.25">
      <c r="A334" s="134">
        <v>2350107</v>
      </c>
      <c r="B334" s="86" t="s">
        <v>166</v>
      </c>
      <c r="C334" s="91">
        <v>0</v>
      </c>
      <c r="D334" s="91">
        <v>0</v>
      </c>
      <c r="E334" s="91">
        <v>0</v>
      </c>
      <c r="F334" s="91">
        <v>30000027</v>
      </c>
      <c r="G334" s="91">
        <f t="shared" si="74"/>
        <v>30000027</v>
      </c>
      <c r="H334" s="91">
        <v>0</v>
      </c>
      <c r="I334" s="91">
        <v>0</v>
      </c>
      <c r="J334" s="91">
        <f t="shared" si="75"/>
        <v>30000027</v>
      </c>
      <c r="K334" s="91">
        <v>0</v>
      </c>
      <c r="L334" s="91">
        <v>0</v>
      </c>
      <c r="M334" s="91">
        <f t="shared" si="76"/>
        <v>0</v>
      </c>
      <c r="N334" s="91">
        <v>0</v>
      </c>
      <c r="O334" s="91">
        <f t="shared" si="77"/>
        <v>0</v>
      </c>
      <c r="P334" s="91">
        <f t="shared" si="78"/>
        <v>30000027</v>
      </c>
      <c r="Q334" s="91">
        <f t="shared" si="79"/>
        <v>0</v>
      </c>
      <c r="S334" s="96">
        <v>2350107</v>
      </c>
      <c r="T334" s="117" t="s">
        <v>166</v>
      </c>
      <c r="U334" s="95">
        <v>0</v>
      </c>
      <c r="V334" s="95">
        <v>0</v>
      </c>
      <c r="W334" s="95">
        <v>0</v>
      </c>
      <c r="X334" s="95">
        <v>30000027</v>
      </c>
      <c r="Y334" s="95">
        <v>30000027</v>
      </c>
      <c r="Z334" s="95">
        <v>0</v>
      </c>
      <c r="AA334" s="95">
        <v>0</v>
      </c>
      <c r="AB334" s="120">
        <v>0</v>
      </c>
      <c r="AC334" s="95">
        <v>0</v>
      </c>
      <c r="AD334" s="95">
        <v>0</v>
      </c>
      <c r="AE334" s="120">
        <v>0</v>
      </c>
      <c r="AF334" s="95">
        <v>30000027</v>
      </c>
      <c r="AG334" s="95">
        <v>0</v>
      </c>
      <c r="AH334" s="120">
        <v>0</v>
      </c>
      <c r="AI334" s="120">
        <v>0</v>
      </c>
      <c r="AJ334" s="84">
        <v>0</v>
      </c>
      <c r="AK334" s="84">
        <v>0</v>
      </c>
      <c r="AL334" s="84">
        <v>0</v>
      </c>
      <c r="AM334" s="84">
        <v>0</v>
      </c>
      <c r="AN334" s="121">
        <v>0</v>
      </c>
      <c r="AO334" s="84">
        <v>0</v>
      </c>
      <c r="AP334" s="95">
        <v>30000027</v>
      </c>
      <c r="AQ334" s="84">
        <v>0</v>
      </c>
      <c r="AS334" s="118">
        <f t="shared" si="80"/>
        <v>0</v>
      </c>
    </row>
    <row r="335" spans="1:45" s="100" customFormat="1" x14ac:dyDescent="0.25">
      <c r="A335" s="134">
        <v>2350108</v>
      </c>
      <c r="B335" s="86" t="s">
        <v>167</v>
      </c>
      <c r="C335" s="91">
        <v>0</v>
      </c>
      <c r="D335" s="91">
        <v>0</v>
      </c>
      <c r="E335" s="91">
        <v>0</v>
      </c>
      <c r="F335" s="91">
        <v>102393735</v>
      </c>
      <c r="G335" s="91">
        <f t="shared" si="74"/>
        <v>102393735</v>
      </c>
      <c r="H335" s="91">
        <v>0</v>
      </c>
      <c r="I335" s="91">
        <v>0</v>
      </c>
      <c r="J335" s="91">
        <f t="shared" si="75"/>
        <v>102393735</v>
      </c>
      <c r="K335" s="91">
        <v>0</v>
      </c>
      <c r="L335" s="91">
        <v>0</v>
      </c>
      <c r="M335" s="91">
        <f t="shared" si="76"/>
        <v>0</v>
      </c>
      <c r="N335" s="91">
        <v>0</v>
      </c>
      <c r="O335" s="91">
        <f t="shared" si="77"/>
        <v>0</v>
      </c>
      <c r="P335" s="91">
        <f t="shared" si="78"/>
        <v>102393735</v>
      </c>
      <c r="Q335" s="91">
        <f t="shared" si="79"/>
        <v>0</v>
      </c>
      <c r="R335" s="84"/>
      <c r="S335" s="101">
        <v>2350108</v>
      </c>
      <c r="T335" s="116" t="s">
        <v>167</v>
      </c>
      <c r="U335" s="102">
        <v>0</v>
      </c>
      <c r="V335" s="102">
        <v>0</v>
      </c>
      <c r="W335" s="102">
        <v>0</v>
      </c>
      <c r="X335" s="102">
        <v>102393735</v>
      </c>
      <c r="Y335" s="102">
        <v>102393735</v>
      </c>
      <c r="Z335" s="102">
        <v>0</v>
      </c>
      <c r="AA335" s="102">
        <v>0</v>
      </c>
      <c r="AB335" s="119">
        <v>0</v>
      </c>
      <c r="AC335" s="102">
        <v>0</v>
      </c>
      <c r="AD335" s="102">
        <v>0</v>
      </c>
      <c r="AE335" s="119">
        <v>0</v>
      </c>
      <c r="AF335" s="102">
        <v>102393735</v>
      </c>
      <c r="AG335" s="102">
        <v>0</v>
      </c>
      <c r="AH335" s="119">
        <v>0</v>
      </c>
      <c r="AI335" s="119">
        <v>0</v>
      </c>
      <c r="AJ335" s="100">
        <v>0</v>
      </c>
      <c r="AK335" s="100">
        <v>0</v>
      </c>
      <c r="AL335" s="100">
        <v>0</v>
      </c>
      <c r="AM335" s="100">
        <v>0</v>
      </c>
      <c r="AN335" s="122">
        <v>0</v>
      </c>
      <c r="AO335" s="100">
        <v>0</v>
      </c>
      <c r="AP335" s="102">
        <v>102393735</v>
      </c>
      <c r="AQ335" s="100">
        <v>0</v>
      </c>
      <c r="AS335" s="118">
        <f t="shared" si="80"/>
        <v>0</v>
      </c>
    </row>
    <row r="336" spans="1:45" x14ac:dyDescent="0.25">
      <c r="A336" s="131">
        <v>2350109</v>
      </c>
      <c r="B336" s="86" t="s">
        <v>168</v>
      </c>
      <c r="C336" s="91">
        <v>0</v>
      </c>
      <c r="D336" s="91">
        <v>0</v>
      </c>
      <c r="E336" s="91">
        <v>0</v>
      </c>
      <c r="F336" s="91">
        <v>493400002</v>
      </c>
      <c r="G336" s="91">
        <f t="shared" si="74"/>
        <v>493400002</v>
      </c>
      <c r="H336" s="91">
        <v>0</v>
      </c>
      <c r="I336" s="91">
        <v>0</v>
      </c>
      <c r="J336" s="91">
        <f t="shared" si="75"/>
        <v>493400002</v>
      </c>
      <c r="K336" s="91">
        <v>0</v>
      </c>
      <c r="L336" s="91">
        <v>0</v>
      </c>
      <c r="M336" s="91">
        <f t="shared" si="76"/>
        <v>0</v>
      </c>
      <c r="N336" s="91">
        <v>0</v>
      </c>
      <c r="O336" s="91">
        <f t="shared" si="77"/>
        <v>0</v>
      </c>
      <c r="P336" s="91">
        <f t="shared" si="78"/>
        <v>493400002</v>
      </c>
      <c r="Q336" s="91">
        <f t="shared" si="79"/>
        <v>0</v>
      </c>
      <c r="S336" s="96">
        <v>2350109</v>
      </c>
      <c r="T336" s="117" t="s">
        <v>168</v>
      </c>
      <c r="U336" s="95">
        <v>0</v>
      </c>
      <c r="V336" s="95">
        <v>0</v>
      </c>
      <c r="W336" s="95">
        <v>0</v>
      </c>
      <c r="X336" s="95">
        <v>493400002</v>
      </c>
      <c r="Y336" s="95">
        <v>493400002</v>
      </c>
      <c r="Z336" s="95">
        <v>0</v>
      </c>
      <c r="AA336" s="95">
        <v>0</v>
      </c>
      <c r="AB336" s="120">
        <v>0</v>
      </c>
      <c r="AC336" s="95">
        <v>0</v>
      </c>
      <c r="AD336" s="95">
        <v>0</v>
      </c>
      <c r="AE336" s="120">
        <v>0</v>
      </c>
      <c r="AF336" s="95">
        <v>493400002</v>
      </c>
      <c r="AG336" s="95">
        <v>0</v>
      </c>
      <c r="AH336" s="120">
        <v>0</v>
      </c>
      <c r="AI336" s="120">
        <v>0</v>
      </c>
      <c r="AJ336" s="84">
        <v>0</v>
      </c>
      <c r="AK336" s="84">
        <v>0</v>
      </c>
      <c r="AL336" s="84">
        <v>0</v>
      </c>
      <c r="AM336" s="84">
        <v>0</v>
      </c>
      <c r="AN336" s="121">
        <v>0</v>
      </c>
      <c r="AO336" s="84">
        <v>0</v>
      </c>
      <c r="AP336" s="95">
        <v>493400002</v>
      </c>
      <c r="AQ336" s="84">
        <v>0</v>
      </c>
      <c r="AS336" s="118">
        <f t="shared" si="80"/>
        <v>0</v>
      </c>
    </row>
    <row r="337" spans="1:45" x14ac:dyDescent="0.25">
      <c r="A337" s="109">
        <v>23502</v>
      </c>
      <c r="B337" s="110" t="s">
        <v>173</v>
      </c>
      <c r="C337" s="111">
        <v>0</v>
      </c>
      <c r="D337" s="111">
        <v>0</v>
      </c>
      <c r="E337" s="111">
        <v>2684152425</v>
      </c>
      <c r="F337" s="111">
        <v>4899180514</v>
      </c>
      <c r="G337" s="111">
        <f t="shared" si="74"/>
        <v>2215028089</v>
      </c>
      <c r="H337" s="111">
        <v>0</v>
      </c>
      <c r="I337" s="111">
        <v>0</v>
      </c>
      <c r="J337" s="111">
        <f t="shared" si="75"/>
        <v>2215028089</v>
      </c>
      <c r="K337" s="111">
        <v>0</v>
      </c>
      <c r="L337" s="111">
        <v>0</v>
      </c>
      <c r="M337" s="111">
        <f t="shared" si="76"/>
        <v>0</v>
      </c>
      <c r="N337" s="111">
        <v>0</v>
      </c>
      <c r="O337" s="111">
        <f t="shared" si="77"/>
        <v>0</v>
      </c>
      <c r="P337" s="111">
        <f t="shared" si="78"/>
        <v>2215028089</v>
      </c>
      <c r="Q337" s="111">
        <f t="shared" si="79"/>
        <v>0</v>
      </c>
      <c r="R337" s="100"/>
      <c r="S337" s="96">
        <v>23502</v>
      </c>
      <c r="T337" s="117" t="s">
        <v>173</v>
      </c>
      <c r="U337" s="95">
        <v>0</v>
      </c>
      <c r="V337" s="95">
        <v>0</v>
      </c>
      <c r="W337" s="95">
        <v>2684152425</v>
      </c>
      <c r="X337" s="95">
        <v>4899180514</v>
      </c>
      <c r="Y337" s="95">
        <v>2215028089</v>
      </c>
      <c r="Z337" s="95">
        <v>0</v>
      </c>
      <c r="AA337" s="95">
        <v>0</v>
      </c>
      <c r="AB337" s="120">
        <v>0</v>
      </c>
      <c r="AC337" s="95">
        <v>0</v>
      </c>
      <c r="AD337" s="95">
        <v>0</v>
      </c>
      <c r="AE337" s="120">
        <v>0</v>
      </c>
      <c r="AF337" s="95">
        <v>2215028089</v>
      </c>
      <c r="AG337" s="95">
        <v>0</v>
      </c>
      <c r="AH337" s="120">
        <v>0</v>
      </c>
      <c r="AI337" s="120">
        <v>0</v>
      </c>
      <c r="AJ337" s="84">
        <v>0</v>
      </c>
      <c r="AK337" s="84">
        <v>0</v>
      </c>
      <c r="AL337" s="84">
        <v>0</v>
      </c>
      <c r="AM337" s="84">
        <v>0</v>
      </c>
      <c r="AN337" s="121">
        <v>0</v>
      </c>
      <c r="AO337" s="84">
        <v>0</v>
      </c>
      <c r="AP337" s="95">
        <v>2215028089</v>
      </c>
      <c r="AQ337" s="84">
        <v>0</v>
      </c>
      <c r="AS337" s="118">
        <f t="shared" si="80"/>
        <v>0</v>
      </c>
    </row>
    <row r="338" spans="1:45" x14ac:dyDescent="0.25">
      <c r="A338" s="131">
        <v>2350201</v>
      </c>
      <c r="B338" s="86" t="s">
        <v>169</v>
      </c>
      <c r="C338" s="91">
        <v>0</v>
      </c>
      <c r="D338" s="91">
        <v>0</v>
      </c>
      <c r="E338" s="91">
        <v>0</v>
      </c>
      <c r="F338" s="91">
        <v>60001</v>
      </c>
      <c r="G338" s="91">
        <f t="shared" ref="G338:G398" si="81">+C338+D338-E338+F338</f>
        <v>60001</v>
      </c>
      <c r="H338" s="91">
        <v>0</v>
      </c>
      <c r="I338" s="91">
        <v>0</v>
      </c>
      <c r="J338" s="91">
        <f t="shared" si="75"/>
        <v>60001</v>
      </c>
      <c r="K338" s="91">
        <v>0</v>
      </c>
      <c r="L338" s="91">
        <v>0</v>
      </c>
      <c r="M338" s="91">
        <f t="shared" si="76"/>
        <v>0</v>
      </c>
      <c r="N338" s="91">
        <v>0</v>
      </c>
      <c r="O338" s="91">
        <f t="shared" si="77"/>
        <v>0</v>
      </c>
      <c r="P338" s="91">
        <f t="shared" si="78"/>
        <v>60001</v>
      </c>
      <c r="Q338" s="91">
        <f t="shared" si="79"/>
        <v>0</v>
      </c>
      <c r="S338" s="96">
        <v>2350201</v>
      </c>
      <c r="T338" s="117" t="s">
        <v>169</v>
      </c>
      <c r="U338" s="95">
        <v>0</v>
      </c>
      <c r="V338" s="95">
        <v>0</v>
      </c>
      <c r="W338" s="95">
        <v>0</v>
      </c>
      <c r="X338" s="95">
        <v>60001</v>
      </c>
      <c r="Y338" s="95">
        <v>60001</v>
      </c>
      <c r="Z338" s="95">
        <v>0</v>
      </c>
      <c r="AA338" s="95">
        <v>0</v>
      </c>
      <c r="AB338" s="120">
        <v>0</v>
      </c>
      <c r="AC338" s="95">
        <v>0</v>
      </c>
      <c r="AD338" s="95">
        <v>0</v>
      </c>
      <c r="AE338" s="120">
        <v>0</v>
      </c>
      <c r="AF338" s="95">
        <v>60001</v>
      </c>
      <c r="AG338" s="95">
        <v>0</v>
      </c>
      <c r="AH338" s="120">
        <v>0</v>
      </c>
      <c r="AI338" s="120">
        <v>0</v>
      </c>
      <c r="AJ338" s="84">
        <v>0</v>
      </c>
      <c r="AK338" s="84">
        <v>0</v>
      </c>
      <c r="AL338" s="84">
        <v>0</v>
      </c>
      <c r="AM338" s="84">
        <v>0</v>
      </c>
      <c r="AN338" s="121">
        <v>0</v>
      </c>
      <c r="AO338" s="84">
        <v>0</v>
      </c>
      <c r="AP338" s="95">
        <v>60001</v>
      </c>
      <c r="AQ338" s="84">
        <v>0</v>
      </c>
      <c r="AS338" s="118">
        <f t="shared" si="80"/>
        <v>0</v>
      </c>
    </row>
    <row r="339" spans="1:45" x14ac:dyDescent="0.25">
      <c r="A339" s="131">
        <v>2350202</v>
      </c>
      <c r="B339" s="86" t="s">
        <v>170</v>
      </c>
      <c r="C339" s="91">
        <v>0</v>
      </c>
      <c r="D339" s="91">
        <v>0</v>
      </c>
      <c r="E339" s="91">
        <v>0</v>
      </c>
      <c r="F339" s="91">
        <v>1301315</v>
      </c>
      <c r="G339" s="91">
        <f t="shared" si="81"/>
        <v>1301315</v>
      </c>
      <c r="H339" s="91">
        <v>0</v>
      </c>
      <c r="I339" s="91">
        <v>0</v>
      </c>
      <c r="J339" s="91">
        <f t="shared" si="75"/>
        <v>1301315</v>
      </c>
      <c r="K339" s="91">
        <v>0</v>
      </c>
      <c r="L339" s="91">
        <v>0</v>
      </c>
      <c r="M339" s="91">
        <f t="shared" si="76"/>
        <v>0</v>
      </c>
      <c r="N339" s="91">
        <v>0</v>
      </c>
      <c r="O339" s="91">
        <f t="shared" si="77"/>
        <v>0</v>
      </c>
      <c r="P339" s="91">
        <f t="shared" si="78"/>
        <v>1301315</v>
      </c>
      <c r="Q339" s="91">
        <f t="shared" si="79"/>
        <v>0</v>
      </c>
      <c r="S339" s="96">
        <v>2350202</v>
      </c>
      <c r="T339" s="117" t="s">
        <v>170</v>
      </c>
      <c r="U339" s="95">
        <v>0</v>
      </c>
      <c r="V339" s="95">
        <v>0</v>
      </c>
      <c r="W339" s="95">
        <v>0</v>
      </c>
      <c r="X339" s="95">
        <v>1301315</v>
      </c>
      <c r="Y339" s="95">
        <v>1301315</v>
      </c>
      <c r="Z339" s="95">
        <v>0</v>
      </c>
      <c r="AA339" s="95">
        <v>0</v>
      </c>
      <c r="AB339" s="120">
        <v>0</v>
      </c>
      <c r="AC339" s="95">
        <v>0</v>
      </c>
      <c r="AD339" s="95">
        <v>0</v>
      </c>
      <c r="AE339" s="120">
        <v>0</v>
      </c>
      <c r="AF339" s="95">
        <v>1301315</v>
      </c>
      <c r="AG339" s="95">
        <v>0</v>
      </c>
      <c r="AH339" s="120">
        <v>0</v>
      </c>
      <c r="AI339" s="120">
        <v>0</v>
      </c>
      <c r="AJ339" s="84">
        <v>0</v>
      </c>
      <c r="AK339" s="84">
        <v>0</v>
      </c>
      <c r="AL339" s="84">
        <v>0</v>
      </c>
      <c r="AM339" s="84">
        <v>0</v>
      </c>
      <c r="AN339" s="121">
        <v>0</v>
      </c>
      <c r="AO339" s="84">
        <v>0</v>
      </c>
      <c r="AP339" s="95">
        <v>1301315</v>
      </c>
      <c r="AQ339" s="84">
        <v>0</v>
      </c>
      <c r="AS339" s="118">
        <f t="shared" si="80"/>
        <v>0</v>
      </c>
    </row>
    <row r="340" spans="1:45" s="100" customFormat="1" x14ac:dyDescent="0.25">
      <c r="A340" s="131">
        <v>2350203</v>
      </c>
      <c r="B340" s="86" t="s">
        <v>171</v>
      </c>
      <c r="C340" s="91">
        <v>0</v>
      </c>
      <c r="D340" s="91">
        <v>0</v>
      </c>
      <c r="E340" s="91">
        <v>2684152425</v>
      </c>
      <c r="F340" s="91">
        <v>2684152425</v>
      </c>
      <c r="G340" s="91">
        <f t="shared" si="81"/>
        <v>0</v>
      </c>
      <c r="H340" s="91">
        <v>0</v>
      </c>
      <c r="I340" s="91">
        <v>0</v>
      </c>
      <c r="J340" s="91">
        <f t="shared" si="75"/>
        <v>0</v>
      </c>
      <c r="K340" s="91">
        <v>0</v>
      </c>
      <c r="L340" s="91">
        <v>0</v>
      </c>
      <c r="M340" s="91">
        <f t="shared" si="76"/>
        <v>0</v>
      </c>
      <c r="N340" s="91">
        <v>0</v>
      </c>
      <c r="O340" s="91">
        <f t="shared" si="77"/>
        <v>0</v>
      </c>
      <c r="P340" s="91">
        <f t="shared" si="78"/>
        <v>0</v>
      </c>
      <c r="Q340" s="91">
        <f t="shared" si="79"/>
        <v>0</v>
      </c>
      <c r="R340" s="84"/>
      <c r="S340" s="101">
        <v>2350203</v>
      </c>
      <c r="T340" s="116" t="s">
        <v>171</v>
      </c>
      <c r="U340" s="102">
        <v>0</v>
      </c>
      <c r="V340" s="102">
        <v>0</v>
      </c>
      <c r="W340" s="102">
        <v>2684152425</v>
      </c>
      <c r="X340" s="102">
        <v>2684152425</v>
      </c>
      <c r="Y340" s="102">
        <v>0</v>
      </c>
      <c r="Z340" s="102">
        <v>0</v>
      </c>
      <c r="AA340" s="102">
        <v>0</v>
      </c>
      <c r="AB340" s="119">
        <v>0</v>
      </c>
      <c r="AC340" s="102">
        <v>0</v>
      </c>
      <c r="AD340" s="102">
        <v>0</v>
      </c>
      <c r="AE340" s="119">
        <v>0</v>
      </c>
      <c r="AF340" s="102">
        <v>0</v>
      </c>
      <c r="AG340" s="102">
        <v>0</v>
      </c>
      <c r="AH340" s="119">
        <v>0</v>
      </c>
      <c r="AI340" s="119">
        <v>0</v>
      </c>
      <c r="AJ340" s="100">
        <v>0</v>
      </c>
      <c r="AK340" s="100">
        <v>0</v>
      </c>
      <c r="AL340" s="100">
        <v>0</v>
      </c>
      <c r="AM340" s="100">
        <v>0</v>
      </c>
      <c r="AN340" s="122">
        <v>0</v>
      </c>
      <c r="AO340" s="100">
        <v>0</v>
      </c>
      <c r="AP340" s="102">
        <v>0</v>
      </c>
      <c r="AQ340" s="100">
        <v>0</v>
      </c>
      <c r="AS340" s="118">
        <f t="shared" si="80"/>
        <v>0</v>
      </c>
    </row>
    <row r="341" spans="1:45" x14ac:dyDescent="0.25">
      <c r="A341" s="131">
        <v>2350204</v>
      </c>
      <c r="B341" s="86" t="s">
        <v>172</v>
      </c>
      <c r="C341" s="91">
        <v>0</v>
      </c>
      <c r="D341" s="91">
        <v>0</v>
      </c>
      <c r="E341" s="91">
        <v>0</v>
      </c>
      <c r="F341" s="91">
        <v>2213666773</v>
      </c>
      <c r="G341" s="91">
        <f t="shared" si="81"/>
        <v>2213666773</v>
      </c>
      <c r="H341" s="91">
        <v>0</v>
      </c>
      <c r="I341" s="91">
        <v>0</v>
      </c>
      <c r="J341" s="91">
        <f t="shared" si="75"/>
        <v>2213666773</v>
      </c>
      <c r="K341" s="91">
        <v>0</v>
      </c>
      <c r="L341" s="91">
        <v>0</v>
      </c>
      <c r="M341" s="91">
        <f t="shared" si="76"/>
        <v>0</v>
      </c>
      <c r="N341" s="91">
        <v>0</v>
      </c>
      <c r="O341" s="91">
        <f t="shared" si="77"/>
        <v>0</v>
      </c>
      <c r="P341" s="91">
        <f t="shared" si="78"/>
        <v>2213666773</v>
      </c>
      <c r="Q341" s="91">
        <f t="shared" si="79"/>
        <v>0</v>
      </c>
      <c r="S341" s="96">
        <v>2350204</v>
      </c>
      <c r="T341" s="117" t="s">
        <v>172</v>
      </c>
      <c r="U341" s="95">
        <v>0</v>
      </c>
      <c r="V341" s="95">
        <v>0</v>
      </c>
      <c r="W341" s="95">
        <v>0</v>
      </c>
      <c r="X341" s="95">
        <v>2213666773</v>
      </c>
      <c r="Y341" s="95">
        <v>2213666773</v>
      </c>
      <c r="Z341" s="95">
        <v>0</v>
      </c>
      <c r="AA341" s="95">
        <v>0</v>
      </c>
      <c r="AB341" s="120">
        <v>0</v>
      </c>
      <c r="AC341" s="95">
        <v>0</v>
      </c>
      <c r="AD341" s="95">
        <v>0</v>
      </c>
      <c r="AE341" s="120">
        <v>0</v>
      </c>
      <c r="AF341" s="95">
        <v>2213666773</v>
      </c>
      <c r="AG341" s="95">
        <v>0</v>
      </c>
      <c r="AH341" s="120">
        <v>0</v>
      </c>
      <c r="AI341" s="120">
        <v>0</v>
      </c>
      <c r="AJ341" s="84">
        <v>0</v>
      </c>
      <c r="AK341" s="84">
        <v>0</v>
      </c>
      <c r="AL341" s="84">
        <v>0</v>
      </c>
      <c r="AM341" s="84">
        <v>0</v>
      </c>
      <c r="AN341" s="121">
        <v>0</v>
      </c>
      <c r="AO341" s="84">
        <v>0</v>
      </c>
      <c r="AP341" s="95">
        <v>2213666773</v>
      </c>
      <c r="AQ341" s="84">
        <v>0</v>
      </c>
      <c r="AS341" s="118">
        <f t="shared" si="80"/>
        <v>0</v>
      </c>
    </row>
    <row r="342" spans="1:45" x14ac:dyDescent="0.25">
      <c r="A342" s="109">
        <v>23503</v>
      </c>
      <c r="B342" s="110" t="s">
        <v>795</v>
      </c>
      <c r="C342" s="111">
        <v>0</v>
      </c>
      <c r="D342" s="111">
        <v>0</v>
      </c>
      <c r="E342" s="111">
        <v>2182569021</v>
      </c>
      <c r="F342" s="111">
        <v>3325715838</v>
      </c>
      <c r="G342" s="111">
        <f t="shared" si="81"/>
        <v>1143146817</v>
      </c>
      <c r="H342" s="111">
        <v>0</v>
      </c>
      <c r="I342" s="111">
        <v>14313149</v>
      </c>
      <c r="J342" s="111">
        <f t="shared" si="75"/>
        <v>1128833668</v>
      </c>
      <c r="K342" s="111">
        <v>0</v>
      </c>
      <c r="L342" s="111">
        <v>14313149</v>
      </c>
      <c r="M342" s="111">
        <f t="shared" si="76"/>
        <v>0</v>
      </c>
      <c r="N342" s="111">
        <v>14613149</v>
      </c>
      <c r="O342" s="111">
        <f t="shared" si="77"/>
        <v>300000</v>
      </c>
      <c r="P342" s="111">
        <f t="shared" si="78"/>
        <v>1128533668</v>
      </c>
      <c r="Q342" s="111">
        <f t="shared" si="79"/>
        <v>14313149</v>
      </c>
      <c r="R342" s="100"/>
      <c r="S342" s="96">
        <v>23503</v>
      </c>
      <c r="T342" s="117" t="s">
        <v>173</v>
      </c>
      <c r="U342" s="95">
        <v>0</v>
      </c>
      <c r="V342" s="95">
        <v>0</v>
      </c>
      <c r="W342" s="95">
        <v>2182569021</v>
      </c>
      <c r="X342" s="95">
        <v>3325715838</v>
      </c>
      <c r="Y342" s="95">
        <v>1143146817</v>
      </c>
      <c r="Z342" s="95">
        <v>0</v>
      </c>
      <c r="AA342" s="95">
        <v>0</v>
      </c>
      <c r="AB342" s="120">
        <v>0</v>
      </c>
      <c r="AC342" s="95">
        <v>0</v>
      </c>
      <c r="AD342" s="95">
        <v>14313149</v>
      </c>
      <c r="AE342" s="120">
        <v>14313149</v>
      </c>
      <c r="AF342" s="95">
        <v>1128833668</v>
      </c>
      <c r="AG342" s="95">
        <v>0</v>
      </c>
      <c r="AH342" s="120">
        <v>0</v>
      </c>
      <c r="AI342" s="120">
        <v>14313149</v>
      </c>
      <c r="AJ342" s="84">
        <v>0</v>
      </c>
      <c r="AK342" s="84">
        <v>0</v>
      </c>
      <c r="AL342" s="84">
        <v>300000</v>
      </c>
      <c r="AM342" s="84">
        <v>14613149</v>
      </c>
      <c r="AN342" s="121">
        <v>14613149</v>
      </c>
      <c r="AO342" s="84">
        <v>300000</v>
      </c>
      <c r="AP342" s="95">
        <v>1128533668</v>
      </c>
      <c r="AQ342" s="84">
        <v>0</v>
      </c>
      <c r="AS342" s="118">
        <f t="shared" si="80"/>
        <v>0</v>
      </c>
    </row>
    <row r="343" spans="1:45" x14ac:dyDescent="0.25">
      <c r="A343" s="129">
        <v>2350301</v>
      </c>
      <c r="B343" s="86" t="s">
        <v>174</v>
      </c>
      <c r="C343" s="91">
        <v>0</v>
      </c>
      <c r="D343" s="91">
        <v>0</v>
      </c>
      <c r="E343" s="91">
        <v>0</v>
      </c>
      <c r="F343" s="91">
        <v>35022827</v>
      </c>
      <c r="G343" s="130">
        <f t="shared" si="81"/>
        <v>35022827</v>
      </c>
      <c r="H343" s="91">
        <v>0</v>
      </c>
      <c r="I343" s="91">
        <v>0</v>
      </c>
      <c r="J343" s="91">
        <f t="shared" si="75"/>
        <v>35022827</v>
      </c>
      <c r="K343" s="91">
        <v>0</v>
      </c>
      <c r="L343" s="91">
        <v>0</v>
      </c>
      <c r="M343" s="91">
        <f t="shared" si="76"/>
        <v>0</v>
      </c>
      <c r="N343" s="91">
        <v>0</v>
      </c>
      <c r="O343" s="91">
        <f t="shared" si="77"/>
        <v>0</v>
      </c>
      <c r="P343" s="91">
        <f t="shared" si="78"/>
        <v>35022827</v>
      </c>
      <c r="Q343" s="91">
        <f t="shared" si="79"/>
        <v>0</v>
      </c>
      <c r="S343" s="96">
        <v>2350301</v>
      </c>
      <c r="T343" s="117" t="s">
        <v>174</v>
      </c>
      <c r="U343" s="95">
        <v>0</v>
      </c>
      <c r="V343" s="95">
        <v>0</v>
      </c>
      <c r="W343" s="95">
        <v>0</v>
      </c>
      <c r="X343" s="95">
        <v>35022827</v>
      </c>
      <c r="Y343" s="95">
        <v>35022827</v>
      </c>
      <c r="Z343" s="95">
        <v>0</v>
      </c>
      <c r="AA343" s="95">
        <v>0</v>
      </c>
      <c r="AB343" s="120">
        <v>0</v>
      </c>
      <c r="AC343" s="95">
        <v>0</v>
      </c>
      <c r="AD343" s="95">
        <v>0</v>
      </c>
      <c r="AE343" s="120">
        <v>0</v>
      </c>
      <c r="AF343" s="95">
        <v>35022827</v>
      </c>
      <c r="AG343" s="95">
        <v>0</v>
      </c>
      <c r="AH343" s="120">
        <v>0</v>
      </c>
      <c r="AI343" s="120">
        <v>0</v>
      </c>
      <c r="AJ343" s="84">
        <v>0</v>
      </c>
      <c r="AK343" s="84">
        <v>0</v>
      </c>
      <c r="AL343" s="84">
        <v>0</v>
      </c>
      <c r="AM343" s="84">
        <v>0</v>
      </c>
      <c r="AN343" s="121">
        <v>0</v>
      </c>
      <c r="AO343" s="84">
        <v>0</v>
      </c>
      <c r="AP343" s="95">
        <v>35022827</v>
      </c>
      <c r="AQ343" s="84">
        <v>0</v>
      </c>
      <c r="AS343" s="118">
        <f t="shared" si="80"/>
        <v>0</v>
      </c>
    </row>
    <row r="344" spans="1:45" x14ac:dyDescent="0.25">
      <c r="A344" s="134">
        <v>2350302</v>
      </c>
      <c r="B344" s="86" t="s">
        <v>175</v>
      </c>
      <c r="C344" s="91">
        <v>0</v>
      </c>
      <c r="D344" s="91">
        <v>0</v>
      </c>
      <c r="E344" s="91">
        <v>0</v>
      </c>
      <c r="F344" s="91">
        <v>70423765</v>
      </c>
      <c r="G344" s="91">
        <f t="shared" si="81"/>
        <v>70423765</v>
      </c>
      <c r="H344" s="91">
        <v>0</v>
      </c>
      <c r="I344" s="91">
        <v>0</v>
      </c>
      <c r="J344" s="91">
        <f t="shared" si="75"/>
        <v>70423765</v>
      </c>
      <c r="K344" s="91">
        <v>0</v>
      </c>
      <c r="L344" s="91">
        <v>0</v>
      </c>
      <c r="M344" s="91">
        <f t="shared" si="76"/>
        <v>0</v>
      </c>
      <c r="N344" s="91">
        <v>0</v>
      </c>
      <c r="O344" s="91">
        <f t="shared" si="77"/>
        <v>0</v>
      </c>
      <c r="P344" s="91">
        <f t="shared" si="78"/>
        <v>70423765</v>
      </c>
      <c r="Q344" s="91">
        <f t="shared" si="79"/>
        <v>0</v>
      </c>
      <c r="S344" s="96">
        <v>2350302</v>
      </c>
      <c r="T344" s="117" t="s">
        <v>175</v>
      </c>
      <c r="U344" s="95">
        <v>0</v>
      </c>
      <c r="V344" s="95">
        <v>0</v>
      </c>
      <c r="W344" s="95">
        <v>0</v>
      </c>
      <c r="X344" s="95">
        <v>70423765</v>
      </c>
      <c r="Y344" s="95">
        <v>70423765</v>
      </c>
      <c r="Z344" s="95">
        <v>0</v>
      </c>
      <c r="AA344" s="95">
        <v>0</v>
      </c>
      <c r="AB344" s="120">
        <v>0</v>
      </c>
      <c r="AC344" s="95">
        <v>0</v>
      </c>
      <c r="AD344" s="95">
        <v>0</v>
      </c>
      <c r="AE344" s="120">
        <v>0</v>
      </c>
      <c r="AF344" s="95">
        <v>70423765</v>
      </c>
      <c r="AG344" s="95">
        <v>0</v>
      </c>
      <c r="AH344" s="120">
        <v>0</v>
      </c>
      <c r="AI344" s="120">
        <v>0</v>
      </c>
      <c r="AJ344" s="84">
        <v>0</v>
      </c>
      <c r="AK344" s="84">
        <v>0</v>
      </c>
      <c r="AL344" s="84">
        <v>0</v>
      </c>
      <c r="AM344" s="84">
        <v>0</v>
      </c>
      <c r="AN344" s="121">
        <v>0</v>
      </c>
      <c r="AO344" s="84">
        <v>0</v>
      </c>
      <c r="AP344" s="95">
        <v>70423765</v>
      </c>
      <c r="AQ344" s="84">
        <v>0</v>
      </c>
      <c r="AS344" s="118">
        <f t="shared" si="80"/>
        <v>0</v>
      </c>
    </row>
    <row r="345" spans="1:45" x14ac:dyDescent="0.25">
      <c r="A345" s="131">
        <v>2350303</v>
      </c>
      <c r="B345" s="86" t="s">
        <v>176</v>
      </c>
      <c r="C345" s="91">
        <v>0</v>
      </c>
      <c r="D345" s="91">
        <v>0</v>
      </c>
      <c r="E345" s="91">
        <v>0</v>
      </c>
      <c r="F345" s="91">
        <v>749700000</v>
      </c>
      <c r="G345" s="91">
        <f t="shared" si="81"/>
        <v>749700000</v>
      </c>
      <c r="H345" s="91">
        <v>0</v>
      </c>
      <c r="I345" s="91">
        <v>0</v>
      </c>
      <c r="J345" s="91">
        <f t="shared" si="75"/>
        <v>749700000</v>
      </c>
      <c r="K345" s="91">
        <v>0</v>
      </c>
      <c r="L345" s="91">
        <v>0</v>
      </c>
      <c r="M345" s="91">
        <f t="shared" si="76"/>
        <v>0</v>
      </c>
      <c r="N345" s="91">
        <v>0</v>
      </c>
      <c r="O345" s="91">
        <f t="shared" si="77"/>
        <v>0</v>
      </c>
      <c r="P345" s="91">
        <f t="shared" si="78"/>
        <v>749700000</v>
      </c>
      <c r="Q345" s="91">
        <f t="shared" si="79"/>
        <v>0</v>
      </c>
      <c r="S345" s="96">
        <v>2350303</v>
      </c>
      <c r="T345" s="117" t="s">
        <v>176</v>
      </c>
      <c r="U345" s="95">
        <v>0</v>
      </c>
      <c r="V345" s="95">
        <v>0</v>
      </c>
      <c r="W345" s="95">
        <v>0</v>
      </c>
      <c r="X345" s="95">
        <v>749700000</v>
      </c>
      <c r="Y345" s="95">
        <v>749700000</v>
      </c>
      <c r="Z345" s="95">
        <v>0</v>
      </c>
      <c r="AA345" s="95">
        <v>0</v>
      </c>
      <c r="AB345" s="120">
        <v>0</v>
      </c>
      <c r="AC345" s="95">
        <v>0</v>
      </c>
      <c r="AD345" s="95">
        <v>0</v>
      </c>
      <c r="AE345" s="120">
        <v>0</v>
      </c>
      <c r="AF345" s="95">
        <v>749700000</v>
      </c>
      <c r="AG345" s="95">
        <v>0</v>
      </c>
      <c r="AH345" s="120">
        <v>0</v>
      </c>
      <c r="AI345" s="120">
        <v>0</v>
      </c>
      <c r="AJ345" s="84">
        <v>0</v>
      </c>
      <c r="AK345" s="84">
        <v>0</v>
      </c>
      <c r="AL345" s="84">
        <v>0</v>
      </c>
      <c r="AM345" s="84">
        <v>0</v>
      </c>
      <c r="AN345" s="121">
        <v>0</v>
      </c>
      <c r="AO345" s="84">
        <v>0</v>
      </c>
      <c r="AP345" s="95">
        <v>749700000</v>
      </c>
      <c r="AQ345" s="84">
        <v>0</v>
      </c>
      <c r="AS345" s="118">
        <f t="shared" si="80"/>
        <v>0</v>
      </c>
    </row>
    <row r="346" spans="1:45" x14ac:dyDescent="0.25">
      <c r="A346" s="131">
        <v>2350309</v>
      </c>
      <c r="B346" s="86" t="s">
        <v>177</v>
      </c>
      <c r="C346" s="91">
        <v>0</v>
      </c>
      <c r="D346" s="91">
        <v>0</v>
      </c>
      <c r="E346" s="91">
        <v>0</v>
      </c>
      <c r="F346" s="91">
        <v>31916686</v>
      </c>
      <c r="G346" s="91">
        <f t="shared" si="81"/>
        <v>31916686</v>
      </c>
      <c r="H346" s="91">
        <v>0</v>
      </c>
      <c r="I346" s="91">
        <v>0</v>
      </c>
      <c r="J346" s="91">
        <f t="shared" si="75"/>
        <v>31916686</v>
      </c>
      <c r="K346" s="91">
        <v>0</v>
      </c>
      <c r="L346" s="91">
        <v>0</v>
      </c>
      <c r="M346" s="91">
        <f t="shared" si="76"/>
        <v>0</v>
      </c>
      <c r="N346" s="91">
        <v>0</v>
      </c>
      <c r="O346" s="91">
        <f t="shared" si="77"/>
        <v>0</v>
      </c>
      <c r="P346" s="91">
        <f t="shared" si="78"/>
        <v>31916686</v>
      </c>
      <c r="Q346" s="91">
        <f t="shared" si="79"/>
        <v>0</v>
      </c>
      <c r="S346" s="96">
        <v>2350309</v>
      </c>
      <c r="T346" s="117" t="s">
        <v>177</v>
      </c>
      <c r="U346" s="95">
        <v>0</v>
      </c>
      <c r="V346" s="95">
        <v>0</v>
      </c>
      <c r="W346" s="95">
        <v>0</v>
      </c>
      <c r="X346" s="95">
        <v>31916686</v>
      </c>
      <c r="Y346" s="95">
        <v>31916686</v>
      </c>
      <c r="Z346" s="95">
        <v>0</v>
      </c>
      <c r="AA346" s="95">
        <v>0</v>
      </c>
      <c r="AB346" s="120">
        <v>0</v>
      </c>
      <c r="AC346" s="95">
        <v>0</v>
      </c>
      <c r="AD346" s="95">
        <v>0</v>
      </c>
      <c r="AE346" s="120">
        <v>0</v>
      </c>
      <c r="AF346" s="95">
        <v>31916686</v>
      </c>
      <c r="AG346" s="95">
        <v>0</v>
      </c>
      <c r="AH346" s="120">
        <v>0</v>
      </c>
      <c r="AI346" s="120">
        <v>0</v>
      </c>
      <c r="AJ346" s="84">
        <v>0</v>
      </c>
      <c r="AK346" s="84">
        <v>0</v>
      </c>
      <c r="AL346" s="84">
        <v>0</v>
      </c>
      <c r="AM346" s="84">
        <v>0</v>
      </c>
      <c r="AN346" s="121">
        <v>0</v>
      </c>
      <c r="AO346" s="84">
        <v>0</v>
      </c>
      <c r="AP346" s="95">
        <v>31916686</v>
      </c>
      <c r="AQ346" s="84">
        <v>0</v>
      </c>
      <c r="AS346" s="118">
        <f t="shared" si="80"/>
        <v>0</v>
      </c>
    </row>
    <row r="347" spans="1:45" x14ac:dyDescent="0.25">
      <c r="A347" s="134">
        <v>2350315</v>
      </c>
      <c r="B347" s="86" t="s">
        <v>178</v>
      </c>
      <c r="C347" s="91">
        <v>0</v>
      </c>
      <c r="D347" s="91">
        <v>0</v>
      </c>
      <c r="E347" s="91">
        <v>0</v>
      </c>
      <c r="F347" s="91">
        <v>2892728</v>
      </c>
      <c r="G347" s="91">
        <f t="shared" si="81"/>
        <v>2892728</v>
      </c>
      <c r="H347" s="91">
        <v>0</v>
      </c>
      <c r="I347" s="91">
        <v>0</v>
      </c>
      <c r="J347" s="91">
        <f t="shared" si="75"/>
        <v>2892728</v>
      </c>
      <c r="K347" s="91">
        <v>0</v>
      </c>
      <c r="L347" s="91">
        <v>0</v>
      </c>
      <c r="M347" s="91">
        <f t="shared" si="76"/>
        <v>0</v>
      </c>
      <c r="N347" s="91">
        <v>300000</v>
      </c>
      <c r="O347" s="91">
        <f t="shared" si="77"/>
        <v>300000</v>
      </c>
      <c r="P347" s="91">
        <f t="shared" si="78"/>
        <v>2592728</v>
      </c>
      <c r="Q347" s="91">
        <f t="shared" si="79"/>
        <v>0</v>
      </c>
      <c r="S347" s="96">
        <v>2350315</v>
      </c>
      <c r="T347" s="117" t="s">
        <v>178</v>
      </c>
      <c r="U347" s="95">
        <v>0</v>
      </c>
      <c r="V347" s="95">
        <v>0</v>
      </c>
      <c r="W347" s="95">
        <v>0</v>
      </c>
      <c r="X347" s="95">
        <v>2892728</v>
      </c>
      <c r="Y347" s="95">
        <v>2892728</v>
      </c>
      <c r="Z347" s="95">
        <v>0</v>
      </c>
      <c r="AA347" s="95">
        <v>0</v>
      </c>
      <c r="AB347" s="120">
        <v>0</v>
      </c>
      <c r="AC347" s="95">
        <v>0</v>
      </c>
      <c r="AD347" s="95">
        <v>0</v>
      </c>
      <c r="AE347" s="120">
        <v>0</v>
      </c>
      <c r="AF347" s="95">
        <v>2892728</v>
      </c>
      <c r="AG347" s="95">
        <v>0</v>
      </c>
      <c r="AH347" s="120">
        <v>0</v>
      </c>
      <c r="AI347" s="120">
        <v>0</v>
      </c>
      <c r="AJ347" s="84">
        <v>0</v>
      </c>
      <c r="AK347" s="84">
        <v>0</v>
      </c>
      <c r="AL347" s="84">
        <v>300000</v>
      </c>
      <c r="AM347" s="84">
        <v>300000</v>
      </c>
      <c r="AN347" s="121">
        <v>300000</v>
      </c>
      <c r="AO347" s="84">
        <v>300000</v>
      </c>
      <c r="AP347" s="95">
        <v>2592728</v>
      </c>
      <c r="AQ347" s="84">
        <v>0</v>
      </c>
      <c r="AS347" s="118">
        <f t="shared" si="80"/>
        <v>0</v>
      </c>
    </row>
    <row r="348" spans="1:45" x14ac:dyDescent="0.25">
      <c r="A348" s="131">
        <v>2350321</v>
      </c>
      <c r="B348" s="86" t="s">
        <v>179</v>
      </c>
      <c r="C348" s="91">
        <v>0</v>
      </c>
      <c r="D348" s="91">
        <v>0</v>
      </c>
      <c r="E348" s="91">
        <v>0</v>
      </c>
      <c r="F348" s="91">
        <v>19873160</v>
      </c>
      <c r="G348" s="91">
        <f t="shared" si="81"/>
        <v>19873160</v>
      </c>
      <c r="H348" s="91">
        <v>0</v>
      </c>
      <c r="I348" s="91">
        <v>0</v>
      </c>
      <c r="J348" s="91">
        <f t="shared" ref="J348:J390" si="82">+G348-I348</f>
        <v>19873160</v>
      </c>
      <c r="K348" s="91">
        <v>0</v>
      </c>
      <c r="L348" s="91">
        <v>0</v>
      </c>
      <c r="M348" s="91">
        <f t="shared" ref="M348:M390" si="83">+I348-L348</f>
        <v>0</v>
      </c>
      <c r="N348" s="91">
        <v>0</v>
      </c>
      <c r="O348" s="91">
        <f t="shared" ref="O348:O390" si="84">+N348-I348</f>
        <v>0</v>
      </c>
      <c r="P348" s="91">
        <f t="shared" ref="P348:P390" si="85">+G348-N348</f>
        <v>19873160</v>
      </c>
      <c r="Q348" s="91">
        <f t="shared" ref="Q348:Q390" si="86">+L348</f>
        <v>0</v>
      </c>
      <c r="S348" s="96">
        <v>2350321</v>
      </c>
      <c r="T348" s="117" t="s">
        <v>179</v>
      </c>
      <c r="U348" s="95">
        <v>0</v>
      </c>
      <c r="V348" s="95">
        <v>0</v>
      </c>
      <c r="W348" s="95">
        <v>0</v>
      </c>
      <c r="X348" s="95">
        <v>19873160</v>
      </c>
      <c r="Y348" s="95">
        <v>19873160</v>
      </c>
      <c r="Z348" s="95">
        <v>0</v>
      </c>
      <c r="AA348" s="95">
        <v>0</v>
      </c>
      <c r="AB348" s="120">
        <v>0</v>
      </c>
      <c r="AC348" s="95">
        <v>0</v>
      </c>
      <c r="AD348" s="95">
        <v>0</v>
      </c>
      <c r="AE348" s="120">
        <v>0</v>
      </c>
      <c r="AF348" s="95">
        <v>19873160</v>
      </c>
      <c r="AG348" s="95">
        <v>0</v>
      </c>
      <c r="AH348" s="120">
        <v>0</v>
      </c>
      <c r="AI348" s="120">
        <v>0</v>
      </c>
      <c r="AJ348" s="84">
        <v>0</v>
      </c>
      <c r="AK348" s="84">
        <v>0</v>
      </c>
      <c r="AL348" s="84">
        <v>0</v>
      </c>
      <c r="AM348" s="84">
        <v>0</v>
      </c>
      <c r="AN348" s="121">
        <v>0</v>
      </c>
      <c r="AO348" s="84">
        <v>0</v>
      </c>
      <c r="AP348" s="95">
        <v>19873160</v>
      </c>
      <c r="AQ348" s="84">
        <v>0</v>
      </c>
      <c r="AS348" s="118">
        <f t="shared" si="80"/>
        <v>0</v>
      </c>
    </row>
    <row r="349" spans="1:45" x14ac:dyDescent="0.25">
      <c r="A349" s="131">
        <v>2350324</v>
      </c>
      <c r="B349" s="86" t="s">
        <v>180</v>
      </c>
      <c r="C349" s="91">
        <v>0</v>
      </c>
      <c r="D349" s="91">
        <v>0</v>
      </c>
      <c r="E349" s="91">
        <v>0</v>
      </c>
      <c r="F349" s="91">
        <v>40398042</v>
      </c>
      <c r="G349" s="91">
        <f t="shared" si="81"/>
        <v>40398042</v>
      </c>
      <c r="H349" s="91">
        <v>0</v>
      </c>
      <c r="I349" s="91">
        <v>0</v>
      </c>
      <c r="J349" s="91">
        <f t="shared" si="82"/>
        <v>40398042</v>
      </c>
      <c r="K349" s="91">
        <v>0</v>
      </c>
      <c r="L349" s="91">
        <v>0</v>
      </c>
      <c r="M349" s="91">
        <f t="shared" si="83"/>
        <v>0</v>
      </c>
      <c r="N349" s="91">
        <v>0</v>
      </c>
      <c r="O349" s="91">
        <f t="shared" si="84"/>
        <v>0</v>
      </c>
      <c r="P349" s="91">
        <f t="shared" si="85"/>
        <v>40398042</v>
      </c>
      <c r="Q349" s="91">
        <f t="shared" si="86"/>
        <v>0</v>
      </c>
      <c r="S349" s="96">
        <v>2350324</v>
      </c>
      <c r="T349" s="117" t="s">
        <v>180</v>
      </c>
      <c r="U349" s="95">
        <v>0</v>
      </c>
      <c r="V349" s="95">
        <v>0</v>
      </c>
      <c r="W349" s="95">
        <v>0</v>
      </c>
      <c r="X349" s="95">
        <v>40398042</v>
      </c>
      <c r="Y349" s="95">
        <v>40398042</v>
      </c>
      <c r="Z349" s="95">
        <v>0</v>
      </c>
      <c r="AA349" s="95">
        <v>0</v>
      </c>
      <c r="AB349" s="120">
        <v>0</v>
      </c>
      <c r="AC349" s="95">
        <v>0</v>
      </c>
      <c r="AD349" s="95">
        <v>0</v>
      </c>
      <c r="AE349" s="120">
        <v>0</v>
      </c>
      <c r="AF349" s="95">
        <v>40398042</v>
      </c>
      <c r="AG349" s="95">
        <v>0</v>
      </c>
      <c r="AH349" s="120">
        <v>0</v>
      </c>
      <c r="AI349" s="120">
        <v>0</v>
      </c>
      <c r="AJ349" s="84">
        <v>0</v>
      </c>
      <c r="AK349" s="84">
        <v>0</v>
      </c>
      <c r="AL349" s="84">
        <v>0</v>
      </c>
      <c r="AM349" s="84">
        <v>0</v>
      </c>
      <c r="AN349" s="121">
        <v>0</v>
      </c>
      <c r="AO349" s="84">
        <v>0</v>
      </c>
      <c r="AP349" s="95">
        <v>40398042</v>
      </c>
      <c r="AQ349" s="84">
        <v>0</v>
      </c>
      <c r="AS349" s="118">
        <f t="shared" si="80"/>
        <v>0</v>
      </c>
    </row>
    <row r="350" spans="1:45" x14ac:dyDescent="0.25">
      <c r="A350" s="131">
        <v>2350325</v>
      </c>
      <c r="B350" s="86" t="s">
        <v>181</v>
      </c>
      <c r="C350" s="91">
        <v>0</v>
      </c>
      <c r="D350" s="91">
        <v>0</v>
      </c>
      <c r="E350" s="91">
        <v>2182569021</v>
      </c>
      <c r="F350" s="91">
        <v>2182569021</v>
      </c>
      <c r="G350" s="91">
        <f t="shared" si="81"/>
        <v>0</v>
      </c>
      <c r="H350" s="91">
        <v>0</v>
      </c>
      <c r="I350" s="91">
        <v>0</v>
      </c>
      <c r="J350" s="91">
        <f t="shared" si="82"/>
        <v>0</v>
      </c>
      <c r="K350" s="91">
        <v>0</v>
      </c>
      <c r="L350" s="91">
        <v>0</v>
      </c>
      <c r="M350" s="91">
        <f t="shared" si="83"/>
        <v>0</v>
      </c>
      <c r="N350" s="91">
        <v>0</v>
      </c>
      <c r="O350" s="91">
        <f t="shared" si="84"/>
        <v>0</v>
      </c>
      <c r="P350" s="91">
        <f t="shared" si="85"/>
        <v>0</v>
      </c>
      <c r="Q350" s="91">
        <f t="shared" si="86"/>
        <v>0</v>
      </c>
      <c r="S350" s="96">
        <v>2350325</v>
      </c>
      <c r="T350" s="117" t="s">
        <v>181</v>
      </c>
      <c r="U350" s="95">
        <v>0</v>
      </c>
      <c r="V350" s="95">
        <v>0</v>
      </c>
      <c r="W350" s="95">
        <v>2182569021</v>
      </c>
      <c r="X350" s="95">
        <v>2182569021</v>
      </c>
      <c r="Y350" s="95">
        <v>0</v>
      </c>
      <c r="Z350" s="95">
        <v>0</v>
      </c>
      <c r="AA350" s="95">
        <v>0</v>
      </c>
      <c r="AB350" s="120">
        <v>0</v>
      </c>
      <c r="AC350" s="95">
        <v>0</v>
      </c>
      <c r="AD350" s="95">
        <v>0</v>
      </c>
      <c r="AE350" s="120">
        <v>0</v>
      </c>
      <c r="AF350" s="95">
        <v>0</v>
      </c>
      <c r="AG350" s="95">
        <v>0</v>
      </c>
      <c r="AH350" s="120">
        <v>0</v>
      </c>
      <c r="AI350" s="120">
        <v>0</v>
      </c>
      <c r="AJ350" s="84">
        <v>0</v>
      </c>
      <c r="AK350" s="84">
        <v>0</v>
      </c>
      <c r="AL350" s="84">
        <v>0</v>
      </c>
      <c r="AM350" s="84">
        <v>0</v>
      </c>
      <c r="AN350" s="121">
        <v>0</v>
      </c>
      <c r="AO350" s="84">
        <v>0</v>
      </c>
      <c r="AP350" s="95">
        <v>0</v>
      </c>
      <c r="AQ350" s="84">
        <v>0</v>
      </c>
      <c r="AS350" s="118">
        <f t="shared" si="80"/>
        <v>0</v>
      </c>
    </row>
    <row r="351" spans="1:45" x14ac:dyDescent="0.25">
      <c r="A351" s="129">
        <v>2350326</v>
      </c>
      <c r="B351" s="86" t="s">
        <v>182</v>
      </c>
      <c r="C351" s="91">
        <v>0</v>
      </c>
      <c r="D351" s="91">
        <v>0</v>
      </c>
      <c r="E351" s="91">
        <v>0</v>
      </c>
      <c r="F351" s="91">
        <v>19470700</v>
      </c>
      <c r="G351" s="130">
        <f t="shared" si="81"/>
        <v>19470700</v>
      </c>
      <c r="H351" s="91">
        <v>0</v>
      </c>
      <c r="I351" s="91">
        <v>14313149</v>
      </c>
      <c r="J351" s="91">
        <f t="shared" si="82"/>
        <v>5157551</v>
      </c>
      <c r="K351" s="91">
        <v>0</v>
      </c>
      <c r="L351" s="91">
        <v>14313149</v>
      </c>
      <c r="M351" s="91">
        <f t="shared" si="83"/>
        <v>0</v>
      </c>
      <c r="N351" s="91">
        <v>14313149</v>
      </c>
      <c r="O351" s="91">
        <f t="shared" si="84"/>
        <v>0</v>
      </c>
      <c r="P351" s="91">
        <f t="shared" si="85"/>
        <v>5157551</v>
      </c>
      <c r="Q351" s="91">
        <f t="shared" si="86"/>
        <v>14313149</v>
      </c>
      <c r="S351" s="96">
        <v>2350326</v>
      </c>
      <c r="T351" s="117" t="s">
        <v>182</v>
      </c>
      <c r="U351" s="95">
        <v>0</v>
      </c>
      <c r="V351" s="95">
        <v>0</v>
      </c>
      <c r="W351" s="95">
        <v>0</v>
      </c>
      <c r="X351" s="95">
        <v>19470700</v>
      </c>
      <c r="Y351" s="95">
        <v>19470700</v>
      </c>
      <c r="Z351" s="95">
        <v>0</v>
      </c>
      <c r="AA351" s="95">
        <v>0</v>
      </c>
      <c r="AB351" s="120">
        <v>0</v>
      </c>
      <c r="AC351" s="95">
        <v>0</v>
      </c>
      <c r="AD351" s="95">
        <v>14313149</v>
      </c>
      <c r="AE351" s="120">
        <v>14313149</v>
      </c>
      <c r="AF351" s="95">
        <v>5157551</v>
      </c>
      <c r="AG351" s="95">
        <v>0</v>
      </c>
      <c r="AH351" s="120">
        <v>0</v>
      </c>
      <c r="AI351" s="120">
        <v>14313149</v>
      </c>
      <c r="AJ351" s="84">
        <v>0</v>
      </c>
      <c r="AK351" s="84">
        <v>0</v>
      </c>
      <c r="AL351" s="84">
        <v>0</v>
      </c>
      <c r="AM351" s="84">
        <v>14313149</v>
      </c>
      <c r="AN351" s="121">
        <v>14313149</v>
      </c>
      <c r="AO351" s="84">
        <v>0</v>
      </c>
      <c r="AP351" s="95">
        <v>5157551</v>
      </c>
      <c r="AQ351" s="84">
        <v>0</v>
      </c>
      <c r="AS351" s="118">
        <f t="shared" si="80"/>
        <v>0</v>
      </c>
    </row>
    <row r="352" spans="1:45" s="100" customFormat="1" x14ac:dyDescent="0.25">
      <c r="A352" s="131">
        <v>2350328</v>
      </c>
      <c r="B352" s="86" t="s">
        <v>183</v>
      </c>
      <c r="C352" s="91">
        <v>0</v>
      </c>
      <c r="D352" s="91">
        <v>0</v>
      </c>
      <c r="E352" s="91">
        <v>0</v>
      </c>
      <c r="F352" s="91">
        <v>91883149</v>
      </c>
      <c r="G352" s="91">
        <f t="shared" si="81"/>
        <v>91883149</v>
      </c>
      <c r="H352" s="91">
        <v>0</v>
      </c>
      <c r="I352" s="91">
        <v>0</v>
      </c>
      <c r="J352" s="91">
        <f t="shared" si="82"/>
        <v>91883149</v>
      </c>
      <c r="K352" s="91">
        <v>0</v>
      </c>
      <c r="L352" s="91">
        <v>0</v>
      </c>
      <c r="M352" s="91">
        <f t="shared" si="83"/>
        <v>0</v>
      </c>
      <c r="N352" s="91">
        <v>0</v>
      </c>
      <c r="O352" s="91">
        <f t="shared" si="84"/>
        <v>0</v>
      </c>
      <c r="P352" s="91">
        <f t="shared" si="85"/>
        <v>91883149</v>
      </c>
      <c r="Q352" s="91">
        <f t="shared" si="86"/>
        <v>0</v>
      </c>
      <c r="R352" s="84"/>
      <c r="S352" s="101">
        <v>2350328</v>
      </c>
      <c r="T352" s="116" t="s">
        <v>183</v>
      </c>
      <c r="U352" s="102">
        <v>0</v>
      </c>
      <c r="V352" s="102">
        <v>0</v>
      </c>
      <c r="W352" s="102">
        <v>0</v>
      </c>
      <c r="X352" s="102">
        <v>91883149</v>
      </c>
      <c r="Y352" s="102">
        <v>91883149</v>
      </c>
      <c r="Z352" s="102">
        <v>0</v>
      </c>
      <c r="AA352" s="102">
        <v>0</v>
      </c>
      <c r="AB352" s="119">
        <v>0</v>
      </c>
      <c r="AC352" s="102">
        <v>0</v>
      </c>
      <c r="AD352" s="102">
        <v>0</v>
      </c>
      <c r="AE352" s="119">
        <v>0</v>
      </c>
      <c r="AF352" s="102">
        <v>91883149</v>
      </c>
      <c r="AG352" s="102">
        <v>0</v>
      </c>
      <c r="AH352" s="119">
        <v>0</v>
      </c>
      <c r="AI352" s="119">
        <v>0</v>
      </c>
      <c r="AJ352" s="100">
        <v>0</v>
      </c>
      <c r="AK352" s="100">
        <v>0</v>
      </c>
      <c r="AL352" s="100">
        <v>0</v>
      </c>
      <c r="AM352" s="100">
        <v>0</v>
      </c>
      <c r="AN352" s="122">
        <v>0</v>
      </c>
      <c r="AO352" s="100">
        <v>0</v>
      </c>
      <c r="AP352" s="102">
        <v>91883149</v>
      </c>
      <c r="AQ352" s="100">
        <v>0</v>
      </c>
      <c r="AS352" s="118">
        <f t="shared" si="80"/>
        <v>0</v>
      </c>
    </row>
    <row r="353" spans="1:45" x14ac:dyDescent="0.25">
      <c r="A353" s="131">
        <v>2350330</v>
      </c>
      <c r="B353" s="86" t="s">
        <v>184</v>
      </c>
      <c r="C353" s="91">
        <v>0</v>
      </c>
      <c r="D353" s="91">
        <v>0</v>
      </c>
      <c r="E353" s="91">
        <v>0</v>
      </c>
      <c r="F353" s="91">
        <v>81565760</v>
      </c>
      <c r="G353" s="91">
        <f t="shared" si="81"/>
        <v>81565760</v>
      </c>
      <c r="H353" s="91">
        <v>0</v>
      </c>
      <c r="I353" s="91">
        <v>0</v>
      </c>
      <c r="J353" s="91">
        <f t="shared" si="82"/>
        <v>81565760</v>
      </c>
      <c r="K353" s="91">
        <v>0</v>
      </c>
      <c r="L353" s="91">
        <v>0</v>
      </c>
      <c r="M353" s="91">
        <f t="shared" si="83"/>
        <v>0</v>
      </c>
      <c r="N353" s="91">
        <v>0</v>
      </c>
      <c r="O353" s="91">
        <f t="shared" si="84"/>
        <v>0</v>
      </c>
      <c r="P353" s="91">
        <f t="shared" si="85"/>
        <v>81565760</v>
      </c>
      <c r="Q353" s="91">
        <f t="shared" si="86"/>
        <v>0</v>
      </c>
      <c r="S353" s="96">
        <v>2350330</v>
      </c>
      <c r="T353" s="117" t="s">
        <v>184</v>
      </c>
      <c r="U353" s="95">
        <v>0</v>
      </c>
      <c r="V353" s="95">
        <v>0</v>
      </c>
      <c r="W353" s="95">
        <v>0</v>
      </c>
      <c r="X353" s="95">
        <v>81565760</v>
      </c>
      <c r="Y353" s="95">
        <v>81565760</v>
      </c>
      <c r="Z353" s="95">
        <v>0</v>
      </c>
      <c r="AA353" s="95">
        <v>0</v>
      </c>
      <c r="AB353" s="120">
        <v>0</v>
      </c>
      <c r="AC353" s="95">
        <v>0</v>
      </c>
      <c r="AD353" s="95">
        <v>0</v>
      </c>
      <c r="AE353" s="120">
        <v>0</v>
      </c>
      <c r="AF353" s="95">
        <v>81565760</v>
      </c>
      <c r="AG353" s="95">
        <v>0</v>
      </c>
      <c r="AH353" s="120">
        <v>0</v>
      </c>
      <c r="AI353" s="120">
        <v>0</v>
      </c>
      <c r="AJ353" s="84">
        <v>0</v>
      </c>
      <c r="AK353" s="84">
        <v>0</v>
      </c>
      <c r="AL353" s="84">
        <v>0</v>
      </c>
      <c r="AM353" s="84">
        <v>0</v>
      </c>
      <c r="AN353" s="121">
        <v>0</v>
      </c>
      <c r="AO353" s="84">
        <v>0</v>
      </c>
      <c r="AP353" s="95">
        <v>81565760</v>
      </c>
      <c r="AQ353" s="84">
        <v>0</v>
      </c>
      <c r="AS353" s="118">
        <f t="shared" si="80"/>
        <v>0</v>
      </c>
    </row>
    <row r="354" spans="1:45" x14ac:dyDescent="0.25">
      <c r="A354" s="109">
        <v>23504</v>
      </c>
      <c r="B354" s="110" t="s">
        <v>185</v>
      </c>
      <c r="C354" s="111">
        <v>0</v>
      </c>
      <c r="D354" s="111">
        <v>0</v>
      </c>
      <c r="E354" s="111">
        <v>0</v>
      </c>
      <c r="F354" s="111">
        <v>161960107</v>
      </c>
      <c r="G354" s="111">
        <f t="shared" si="81"/>
        <v>161960107</v>
      </c>
      <c r="H354" s="111">
        <v>0</v>
      </c>
      <c r="I354" s="111">
        <v>0</v>
      </c>
      <c r="J354" s="111">
        <f t="shared" si="82"/>
        <v>161960107</v>
      </c>
      <c r="K354" s="111">
        <v>0</v>
      </c>
      <c r="L354" s="111">
        <v>0</v>
      </c>
      <c r="M354" s="111">
        <f t="shared" si="83"/>
        <v>0</v>
      </c>
      <c r="N354" s="111">
        <v>0</v>
      </c>
      <c r="O354" s="111">
        <f t="shared" si="84"/>
        <v>0</v>
      </c>
      <c r="P354" s="111">
        <f t="shared" si="85"/>
        <v>161960107</v>
      </c>
      <c r="Q354" s="111">
        <f t="shared" si="86"/>
        <v>0</v>
      </c>
      <c r="R354" s="100"/>
      <c r="S354" s="96">
        <v>23504</v>
      </c>
      <c r="T354" s="117" t="s">
        <v>185</v>
      </c>
      <c r="U354" s="95">
        <v>0</v>
      </c>
      <c r="V354" s="95">
        <v>0</v>
      </c>
      <c r="W354" s="95">
        <v>0</v>
      </c>
      <c r="X354" s="95">
        <v>161960107</v>
      </c>
      <c r="Y354" s="95">
        <v>161960107</v>
      </c>
      <c r="Z354" s="95">
        <v>0</v>
      </c>
      <c r="AA354" s="95">
        <v>0</v>
      </c>
      <c r="AB354" s="120">
        <v>0</v>
      </c>
      <c r="AC354" s="95">
        <v>0</v>
      </c>
      <c r="AD354" s="95">
        <v>0</v>
      </c>
      <c r="AE354" s="120">
        <v>0</v>
      </c>
      <c r="AF354" s="95">
        <v>161960107</v>
      </c>
      <c r="AG354" s="95">
        <v>0</v>
      </c>
      <c r="AH354" s="120">
        <v>0</v>
      </c>
      <c r="AI354" s="120">
        <v>0</v>
      </c>
      <c r="AJ354" s="84">
        <v>0</v>
      </c>
      <c r="AK354" s="84">
        <v>0</v>
      </c>
      <c r="AL354" s="84">
        <v>0</v>
      </c>
      <c r="AM354" s="84">
        <v>0</v>
      </c>
      <c r="AN354" s="121">
        <v>0</v>
      </c>
      <c r="AO354" s="84">
        <v>0</v>
      </c>
      <c r="AP354" s="95">
        <v>161960107</v>
      </c>
      <c r="AQ354" s="84">
        <v>0</v>
      </c>
      <c r="AS354" s="118">
        <f t="shared" si="80"/>
        <v>0</v>
      </c>
    </row>
    <row r="355" spans="1:45" x14ac:dyDescent="0.25">
      <c r="A355" s="134">
        <v>2350401</v>
      </c>
      <c r="B355" s="86" t="s">
        <v>186</v>
      </c>
      <c r="C355" s="91">
        <v>0</v>
      </c>
      <c r="D355" s="91">
        <v>0</v>
      </c>
      <c r="E355" s="91">
        <v>0</v>
      </c>
      <c r="F355" s="91">
        <v>8521352</v>
      </c>
      <c r="G355" s="91">
        <f t="shared" si="81"/>
        <v>8521352</v>
      </c>
      <c r="H355" s="91">
        <v>0</v>
      </c>
      <c r="I355" s="91">
        <v>0</v>
      </c>
      <c r="J355" s="91">
        <f t="shared" si="82"/>
        <v>8521352</v>
      </c>
      <c r="K355" s="91">
        <v>0</v>
      </c>
      <c r="L355" s="91">
        <v>0</v>
      </c>
      <c r="M355" s="91">
        <f t="shared" si="83"/>
        <v>0</v>
      </c>
      <c r="N355" s="91">
        <v>0</v>
      </c>
      <c r="O355" s="91">
        <f t="shared" si="84"/>
        <v>0</v>
      </c>
      <c r="P355" s="91">
        <f t="shared" si="85"/>
        <v>8521352</v>
      </c>
      <c r="Q355" s="91">
        <f t="shared" si="86"/>
        <v>0</v>
      </c>
      <c r="S355" s="96">
        <v>2350401</v>
      </c>
      <c r="T355" s="117" t="s">
        <v>186</v>
      </c>
      <c r="U355" s="95">
        <v>0</v>
      </c>
      <c r="V355" s="95">
        <v>0</v>
      </c>
      <c r="W355" s="95">
        <v>0</v>
      </c>
      <c r="X355" s="95">
        <v>8521352</v>
      </c>
      <c r="Y355" s="95">
        <v>8521352</v>
      </c>
      <c r="Z355" s="95">
        <v>0</v>
      </c>
      <c r="AA355" s="95">
        <v>0</v>
      </c>
      <c r="AB355" s="120">
        <v>0</v>
      </c>
      <c r="AC355" s="95">
        <v>0</v>
      </c>
      <c r="AD355" s="95">
        <v>0</v>
      </c>
      <c r="AE355" s="120">
        <v>0</v>
      </c>
      <c r="AF355" s="95">
        <v>8521352</v>
      </c>
      <c r="AG355" s="95">
        <v>0</v>
      </c>
      <c r="AH355" s="120">
        <v>0</v>
      </c>
      <c r="AI355" s="120">
        <v>0</v>
      </c>
      <c r="AJ355" s="84">
        <v>0</v>
      </c>
      <c r="AK355" s="84">
        <v>0</v>
      </c>
      <c r="AL355" s="84">
        <v>0</v>
      </c>
      <c r="AM355" s="84">
        <v>0</v>
      </c>
      <c r="AN355" s="121">
        <v>0</v>
      </c>
      <c r="AO355" s="84">
        <v>0</v>
      </c>
      <c r="AP355" s="95">
        <v>8521352</v>
      </c>
      <c r="AQ355" s="84">
        <v>0</v>
      </c>
      <c r="AS355" s="118">
        <f t="shared" si="80"/>
        <v>0</v>
      </c>
    </row>
    <row r="356" spans="1:45" x14ac:dyDescent="0.25">
      <c r="A356" s="131">
        <v>2350402</v>
      </c>
      <c r="B356" s="86" t="s">
        <v>187</v>
      </c>
      <c r="C356" s="91">
        <v>0</v>
      </c>
      <c r="D356" s="91">
        <v>0</v>
      </c>
      <c r="E356" s="91">
        <v>0</v>
      </c>
      <c r="F356" s="91">
        <v>1126955</v>
      </c>
      <c r="G356" s="91">
        <f t="shared" si="81"/>
        <v>1126955</v>
      </c>
      <c r="H356" s="91">
        <v>0</v>
      </c>
      <c r="I356" s="91">
        <v>0</v>
      </c>
      <c r="J356" s="91">
        <f t="shared" si="82"/>
        <v>1126955</v>
      </c>
      <c r="K356" s="91">
        <v>0</v>
      </c>
      <c r="L356" s="91">
        <v>0</v>
      </c>
      <c r="M356" s="91">
        <f t="shared" si="83"/>
        <v>0</v>
      </c>
      <c r="N356" s="91">
        <v>0</v>
      </c>
      <c r="O356" s="91">
        <f t="shared" si="84"/>
        <v>0</v>
      </c>
      <c r="P356" s="91">
        <f t="shared" si="85"/>
        <v>1126955</v>
      </c>
      <c r="Q356" s="91">
        <f t="shared" si="86"/>
        <v>0</v>
      </c>
      <c r="S356" s="96">
        <v>2350402</v>
      </c>
      <c r="T356" s="117" t="s">
        <v>187</v>
      </c>
      <c r="U356" s="95">
        <v>0</v>
      </c>
      <c r="V356" s="95">
        <v>0</v>
      </c>
      <c r="W356" s="95">
        <v>0</v>
      </c>
      <c r="X356" s="95">
        <v>1126955</v>
      </c>
      <c r="Y356" s="95">
        <v>1126955</v>
      </c>
      <c r="Z356" s="95">
        <v>0</v>
      </c>
      <c r="AA356" s="95">
        <v>0</v>
      </c>
      <c r="AB356" s="120">
        <v>0</v>
      </c>
      <c r="AC356" s="95">
        <v>0</v>
      </c>
      <c r="AD356" s="95">
        <v>0</v>
      </c>
      <c r="AE356" s="120">
        <v>0</v>
      </c>
      <c r="AF356" s="95">
        <v>1126955</v>
      </c>
      <c r="AG356" s="95">
        <v>0</v>
      </c>
      <c r="AH356" s="120">
        <v>0</v>
      </c>
      <c r="AI356" s="120">
        <v>0</v>
      </c>
      <c r="AJ356" s="84">
        <v>0</v>
      </c>
      <c r="AK356" s="84">
        <v>0</v>
      </c>
      <c r="AL356" s="84">
        <v>0</v>
      </c>
      <c r="AM356" s="84">
        <v>0</v>
      </c>
      <c r="AN356" s="121">
        <v>0</v>
      </c>
      <c r="AO356" s="84">
        <v>0</v>
      </c>
      <c r="AP356" s="95">
        <v>1126955</v>
      </c>
      <c r="AQ356" s="84">
        <v>0</v>
      </c>
      <c r="AS356" s="118">
        <f t="shared" si="80"/>
        <v>0</v>
      </c>
    </row>
    <row r="357" spans="1:45" x14ac:dyDescent="0.25">
      <c r="A357" s="131">
        <v>2350403</v>
      </c>
      <c r="B357" s="86" t="s">
        <v>188</v>
      </c>
      <c r="C357" s="91">
        <v>0</v>
      </c>
      <c r="D357" s="91">
        <v>0</v>
      </c>
      <c r="E357" s="91">
        <v>0</v>
      </c>
      <c r="F357" s="91">
        <v>4977319</v>
      </c>
      <c r="G357" s="91">
        <f t="shared" si="81"/>
        <v>4977319</v>
      </c>
      <c r="H357" s="91">
        <v>0</v>
      </c>
      <c r="I357" s="91">
        <v>0</v>
      </c>
      <c r="J357" s="91">
        <f t="shared" si="82"/>
        <v>4977319</v>
      </c>
      <c r="K357" s="91">
        <v>0</v>
      </c>
      <c r="L357" s="91">
        <v>0</v>
      </c>
      <c r="M357" s="91">
        <f t="shared" si="83"/>
        <v>0</v>
      </c>
      <c r="N357" s="91">
        <v>0</v>
      </c>
      <c r="O357" s="91">
        <f t="shared" si="84"/>
        <v>0</v>
      </c>
      <c r="P357" s="91">
        <f t="shared" si="85"/>
        <v>4977319</v>
      </c>
      <c r="Q357" s="91">
        <f t="shared" si="86"/>
        <v>0</v>
      </c>
      <c r="S357" s="96">
        <v>2350403</v>
      </c>
      <c r="T357" s="117" t="s">
        <v>188</v>
      </c>
      <c r="U357" s="95">
        <v>0</v>
      </c>
      <c r="V357" s="95">
        <v>0</v>
      </c>
      <c r="W357" s="95">
        <v>0</v>
      </c>
      <c r="X357" s="95">
        <v>4977319</v>
      </c>
      <c r="Y357" s="95">
        <v>4977319</v>
      </c>
      <c r="Z357" s="95">
        <v>0</v>
      </c>
      <c r="AA357" s="95">
        <v>0</v>
      </c>
      <c r="AB357" s="120">
        <v>0</v>
      </c>
      <c r="AC357" s="95">
        <v>0</v>
      </c>
      <c r="AD357" s="95">
        <v>0</v>
      </c>
      <c r="AE357" s="120">
        <v>0</v>
      </c>
      <c r="AF357" s="95">
        <v>4977319</v>
      </c>
      <c r="AG357" s="95">
        <v>0</v>
      </c>
      <c r="AH357" s="120">
        <v>0</v>
      </c>
      <c r="AI357" s="120">
        <v>0</v>
      </c>
      <c r="AJ357" s="84">
        <v>0</v>
      </c>
      <c r="AK357" s="84">
        <v>0</v>
      </c>
      <c r="AL357" s="84">
        <v>0</v>
      </c>
      <c r="AM357" s="84">
        <v>0</v>
      </c>
      <c r="AN357" s="121">
        <v>0</v>
      </c>
      <c r="AO357" s="84">
        <v>0</v>
      </c>
      <c r="AP357" s="95">
        <v>4977319</v>
      </c>
      <c r="AQ357" s="84">
        <v>0</v>
      </c>
      <c r="AS357" s="118">
        <f t="shared" si="80"/>
        <v>0</v>
      </c>
    </row>
    <row r="358" spans="1:45" x14ac:dyDescent="0.25">
      <c r="A358" s="131">
        <v>2350404</v>
      </c>
      <c r="B358" s="86" t="s">
        <v>189</v>
      </c>
      <c r="C358" s="91">
        <v>0</v>
      </c>
      <c r="D358" s="91">
        <v>0</v>
      </c>
      <c r="E358" s="91">
        <v>0</v>
      </c>
      <c r="F358" s="91">
        <v>5000</v>
      </c>
      <c r="G358" s="91">
        <f t="shared" si="81"/>
        <v>5000</v>
      </c>
      <c r="H358" s="91">
        <v>0</v>
      </c>
      <c r="I358" s="91">
        <v>0</v>
      </c>
      <c r="J358" s="91">
        <f t="shared" si="82"/>
        <v>5000</v>
      </c>
      <c r="K358" s="91">
        <v>0</v>
      </c>
      <c r="L358" s="91">
        <v>0</v>
      </c>
      <c r="M358" s="91">
        <f t="shared" si="83"/>
        <v>0</v>
      </c>
      <c r="N358" s="91">
        <v>0</v>
      </c>
      <c r="O358" s="91">
        <f t="shared" si="84"/>
        <v>0</v>
      </c>
      <c r="P358" s="91">
        <f t="shared" si="85"/>
        <v>5000</v>
      </c>
      <c r="Q358" s="91">
        <f t="shared" si="86"/>
        <v>0</v>
      </c>
      <c r="S358" s="96">
        <v>2350404</v>
      </c>
      <c r="T358" s="117" t="s">
        <v>189</v>
      </c>
      <c r="U358" s="95">
        <v>0</v>
      </c>
      <c r="V358" s="95">
        <v>0</v>
      </c>
      <c r="W358" s="95">
        <v>0</v>
      </c>
      <c r="X358" s="95">
        <v>5000</v>
      </c>
      <c r="Y358" s="95">
        <v>5000</v>
      </c>
      <c r="Z358" s="95">
        <v>0</v>
      </c>
      <c r="AA358" s="95">
        <v>0</v>
      </c>
      <c r="AB358" s="120">
        <v>0</v>
      </c>
      <c r="AC358" s="95">
        <v>0</v>
      </c>
      <c r="AD358" s="95">
        <v>0</v>
      </c>
      <c r="AE358" s="120">
        <v>0</v>
      </c>
      <c r="AF358" s="95">
        <v>5000</v>
      </c>
      <c r="AG358" s="95">
        <v>0</v>
      </c>
      <c r="AH358" s="120">
        <v>0</v>
      </c>
      <c r="AI358" s="120">
        <v>0</v>
      </c>
      <c r="AJ358" s="84">
        <v>0</v>
      </c>
      <c r="AK358" s="84">
        <v>0</v>
      </c>
      <c r="AL358" s="84">
        <v>0</v>
      </c>
      <c r="AM358" s="84">
        <v>0</v>
      </c>
      <c r="AN358" s="121">
        <v>0</v>
      </c>
      <c r="AO358" s="84">
        <v>0</v>
      </c>
      <c r="AP358" s="95">
        <v>5000</v>
      </c>
      <c r="AQ358" s="84">
        <v>0</v>
      </c>
      <c r="AS358" s="118">
        <f t="shared" si="80"/>
        <v>0</v>
      </c>
    </row>
    <row r="359" spans="1:45" x14ac:dyDescent="0.25">
      <c r="A359" s="131">
        <v>2350405</v>
      </c>
      <c r="B359" s="86" t="s">
        <v>190</v>
      </c>
      <c r="C359" s="91">
        <v>0</v>
      </c>
      <c r="D359" s="91">
        <v>0</v>
      </c>
      <c r="E359" s="91">
        <v>0</v>
      </c>
      <c r="F359" s="91">
        <v>1462335</v>
      </c>
      <c r="G359" s="91">
        <f t="shared" si="81"/>
        <v>1462335</v>
      </c>
      <c r="H359" s="91">
        <v>0</v>
      </c>
      <c r="I359" s="91">
        <v>0</v>
      </c>
      <c r="J359" s="91">
        <f t="shared" si="82"/>
        <v>1462335</v>
      </c>
      <c r="K359" s="91">
        <v>0</v>
      </c>
      <c r="L359" s="91">
        <v>0</v>
      </c>
      <c r="M359" s="91">
        <f t="shared" si="83"/>
        <v>0</v>
      </c>
      <c r="N359" s="91">
        <v>0</v>
      </c>
      <c r="O359" s="91">
        <f t="shared" si="84"/>
        <v>0</v>
      </c>
      <c r="P359" s="91">
        <f t="shared" si="85"/>
        <v>1462335</v>
      </c>
      <c r="Q359" s="91">
        <f t="shared" si="86"/>
        <v>0</v>
      </c>
      <c r="S359" s="96">
        <v>2350405</v>
      </c>
      <c r="T359" s="117" t="s">
        <v>190</v>
      </c>
      <c r="U359" s="95">
        <v>0</v>
      </c>
      <c r="V359" s="95">
        <v>0</v>
      </c>
      <c r="W359" s="95">
        <v>0</v>
      </c>
      <c r="X359" s="95">
        <v>1462335</v>
      </c>
      <c r="Y359" s="95">
        <v>1462335</v>
      </c>
      <c r="Z359" s="95">
        <v>0</v>
      </c>
      <c r="AA359" s="95">
        <v>0</v>
      </c>
      <c r="AB359" s="120">
        <v>0</v>
      </c>
      <c r="AC359" s="95">
        <v>0</v>
      </c>
      <c r="AD359" s="95">
        <v>0</v>
      </c>
      <c r="AE359" s="120">
        <v>0</v>
      </c>
      <c r="AF359" s="95">
        <v>1462335</v>
      </c>
      <c r="AG359" s="95">
        <v>0</v>
      </c>
      <c r="AH359" s="120">
        <v>0</v>
      </c>
      <c r="AI359" s="120">
        <v>0</v>
      </c>
      <c r="AJ359" s="84">
        <v>0</v>
      </c>
      <c r="AK359" s="84">
        <v>0</v>
      </c>
      <c r="AL359" s="84">
        <v>0</v>
      </c>
      <c r="AM359" s="84">
        <v>0</v>
      </c>
      <c r="AN359" s="121">
        <v>0</v>
      </c>
      <c r="AO359" s="84">
        <v>0</v>
      </c>
      <c r="AP359" s="95">
        <v>1462335</v>
      </c>
      <c r="AQ359" s="84">
        <v>0</v>
      </c>
      <c r="AS359" s="118">
        <f t="shared" si="80"/>
        <v>0</v>
      </c>
    </row>
    <row r="360" spans="1:45" x14ac:dyDescent="0.25">
      <c r="A360" s="131">
        <v>2350406</v>
      </c>
      <c r="B360" s="86" t="s">
        <v>191</v>
      </c>
      <c r="C360" s="91">
        <v>0</v>
      </c>
      <c r="D360" s="91">
        <v>0</v>
      </c>
      <c r="E360" s="91">
        <v>0</v>
      </c>
      <c r="F360" s="91">
        <v>60139189</v>
      </c>
      <c r="G360" s="91">
        <f t="shared" si="81"/>
        <v>60139189</v>
      </c>
      <c r="H360" s="91">
        <v>0</v>
      </c>
      <c r="I360" s="91">
        <v>0</v>
      </c>
      <c r="J360" s="91">
        <f t="shared" si="82"/>
        <v>60139189</v>
      </c>
      <c r="K360" s="91">
        <v>0</v>
      </c>
      <c r="L360" s="91">
        <v>0</v>
      </c>
      <c r="M360" s="91">
        <f t="shared" si="83"/>
        <v>0</v>
      </c>
      <c r="N360" s="91">
        <v>0</v>
      </c>
      <c r="O360" s="91">
        <f t="shared" si="84"/>
        <v>0</v>
      </c>
      <c r="P360" s="91">
        <f t="shared" si="85"/>
        <v>60139189</v>
      </c>
      <c r="Q360" s="91">
        <f t="shared" si="86"/>
        <v>0</v>
      </c>
      <c r="S360" s="96">
        <v>2350406</v>
      </c>
      <c r="T360" s="117" t="s">
        <v>191</v>
      </c>
      <c r="U360" s="95">
        <v>0</v>
      </c>
      <c r="V360" s="95">
        <v>0</v>
      </c>
      <c r="W360" s="95">
        <v>0</v>
      </c>
      <c r="X360" s="95">
        <v>60139189</v>
      </c>
      <c r="Y360" s="95">
        <v>60139189</v>
      </c>
      <c r="Z360" s="95">
        <v>0</v>
      </c>
      <c r="AA360" s="95">
        <v>0</v>
      </c>
      <c r="AB360" s="120">
        <v>0</v>
      </c>
      <c r="AC360" s="95">
        <v>0</v>
      </c>
      <c r="AD360" s="95">
        <v>0</v>
      </c>
      <c r="AE360" s="120">
        <v>0</v>
      </c>
      <c r="AF360" s="95">
        <v>60139189</v>
      </c>
      <c r="AG360" s="95">
        <v>0</v>
      </c>
      <c r="AH360" s="120">
        <v>0</v>
      </c>
      <c r="AI360" s="120">
        <v>0</v>
      </c>
      <c r="AJ360" s="84">
        <v>0</v>
      </c>
      <c r="AK360" s="84">
        <v>0</v>
      </c>
      <c r="AL360" s="84">
        <v>0</v>
      </c>
      <c r="AM360" s="84">
        <v>0</v>
      </c>
      <c r="AN360" s="121">
        <v>0</v>
      </c>
      <c r="AO360" s="84">
        <v>0</v>
      </c>
      <c r="AP360" s="95">
        <v>60139189</v>
      </c>
      <c r="AQ360" s="84">
        <v>0</v>
      </c>
      <c r="AS360" s="118">
        <f t="shared" si="80"/>
        <v>0</v>
      </c>
    </row>
    <row r="361" spans="1:45" x14ac:dyDescent="0.25">
      <c r="A361" s="131">
        <v>2350407</v>
      </c>
      <c r="B361" s="86" t="s">
        <v>192</v>
      </c>
      <c r="C361" s="91">
        <v>0</v>
      </c>
      <c r="D361" s="91">
        <v>0</v>
      </c>
      <c r="E361" s="91">
        <v>0</v>
      </c>
      <c r="F361" s="91">
        <v>282815</v>
      </c>
      <c r="G361" s="91">
        <f t="shared" si="81"/>
        <v>282815</v>
      </c>
      <c r="H361" s="91">
        <v>0</v>
      </c>
      <c r="I361" s="91">
        <v>0</v>
      </c>
      <c r="J361" s="91">
        <f t="shared" si="82"/>
        <v>282815</v>
      </c>
      <c r="K361" s="91">
        <v>0</v>
      </c>
      <c r="L361" s="91">
        <v>0</v>
      </c>
      <c r="M361" s="91">
        <f t="shared" si="83"/>
        <v>0</v>
      </c>
      <c r="N361" s="91">
        <v>0</v>
      </c>
      <c r="O361" s="91">
        <f t="shared" si="84"/>
        <v>0</v>
      </c>
      <c r="P361" s="91">
        <f t="shared" si="85"/>
        <v>282815</v>
      </c>
      <c r="Q361" s="91">
        <f t="shared" si="86"/>
        <v>0</v>
      </c>
      <c r="S361" s="96">
        <v>2350407</v>
      </c>
      <c r="T361" s="117" t="s">
        <v>192</v>
      </c>
      <c r="U361" s="95">
        <v>0</v>
      </c>
      <c r="V361" s="95">
        <v>0</v>
      </c>
      <c r="W361" s="95">
        <v>0</v>
      </c>
      <c r="X361" s="95">
        <v>282815</v>
      </c>
      <c r="Y361" s="95">
        <v>282815</v>
      </c>
      <c r="Z361" s="95">
        <v>0</v>
      </c>
      <c r="AA361" s="95">
        <v>0</v>
      </c>
      <c r="AB361" s="120">
        <v>0</v>
      </c>
      <c r="AC361" s="95">
        <v>0</v>
      </c>
      <c r="AD361" s="95">
        <v>0</v>
      </c>
      <c r="AE361" s="120">
        <v>0</v>
      </c>
      <c r="AF361" s="95">
        <v>282815</v>
      </c>
      <c r="AG361" s="95">
        <v>0</v>
      </c>
      <c r="AH361" s="120">
        <v>0</v>
      </c>
      <c r="AI361" s="120">
        <v>0</v>
      </c>
      <c r="AJ361" s="84">
        <v>0</v>
      </c>
      <c r="AK361" s="84">
        <v>0</v>
      </c>
      <c r="AL361" s="84">
        <v>0</v>
      </c>
      <c r="AM361" s="84">
        <v>0</v>
      </c>
      <c r="AN361" s="121">
        <v>0</v>
      </c>
      <c r="AO361" s="84">
        <v>0</v>
      </c>
      <c r="AP361" s="95">
        <v>282815</v>
      </c>
      <c r="AQ361" s="84">
        <v>0</v>
      </c>
      <c r="AS361" s="118">
        <f t="shared" si="80"/>
        <v>0</v>
      </c>
    </row>
    <row r="362" spans="1:45" ht="30" x14ac:dyDescent="0.25">
      <c r="A362" s="131">
        <v>2350408</v>
      </c>
      <c r="B362" s="86" t="s">
        <v>193</v>
      </c>
      <c r="C362" s="91">
        <v>0</v>
      </c>
      <c r="D362" s="91">
        <v>0</v>
      </c>
      <c r="E362" s="91">
        <v>0</v>
      </c>
      <c r="F362" s="91">
        <v>3015215</v>
      </c>
      <c r="G362" s="91">
        <f t="shared" si="81"/>
        <v>3015215</v>
      </c>
      <c r="H362" s="91">
        <v>0</v>
      </c>
      <c r="I362" s="91">
        <v>0</v>
      </c>
      <c r="J362" s="91">
        <f t="shared" si="82"/>
        <v>3015215</v>
      </c>
      <c r="K362" s="91">
        <v>0</v>
      </c>
      <c r="L362" s="91">
        <v>0</v>
      </c>
      <c r="M362" s="91">
        <f t="shared" si="83"/>
        <v>0</v>
      </c>
      <c r="N362" s="91">
        <v>0</v>
      </c>
      <c r="O362" s="91">
        <f t="shared" si="84"/>
        <v>0</v>
      </c>
      <c r="P362" s="91">
        <f t="shared" si="85"/>
        <v>3015215</v>
      </c>
      <c r="Q362" s="91">
        <f t="shared" si="86"/>
        <v>0</v>
      </c>
      <c r="S362" s="96">
        <v>2350408</v>
      </c>
      <c r="T362" s="117" t="s">
        <v>193</v>
      </c>
      <c r="U362" s="95">
        <v>0</v>
      </c>
      <c r="V362" s="95">
        <v>0</v>
      </c>
      <c r="W362" s="95">
        <v>0</v>
      </c>
      <c r="X362" s="95">
        <v>3015215</v>
      </c>
      <c r="Y362" s="95">
        <v>3015215</v>
      </c>
      <c r="Z362" s="95">
        <v>0</v>
      </c>
      <c r="AA362" s="95">
        <v>0</v>
      </c>
      <c r="AB362" s="120">
        <v>0</v>
      </c>
      <c r="AC362" s="95">
        <v>0</v>
      </c>
      <c r="AD362" s="95">
        <v>0</v>
      </c>
      <c r="AE362" s="120">
        <v>0</v>
      </c>
      <c r="AF362" s="95">
        <v>3015215</v>
      </c>
      <c r="AG362" s="95">
        <v>0</v>
      </c>
      <c r="AH362" s="120">
        <v>0</v>
      </c>
      <c r="AI362" s="120">
        <v>0</v>
      </c>
      <c r="AJ362" s="84">
        <v>0</v>
      </c>
      <c r="AK362" s="84">
        <v>0</v>
      </c>
      <c r="AL362" s="84">
        <v>0</v>
      </c>
      <c r="AM362" s="84">
        <v>0</v>
      </c>
      <c r="AN362" s="121">
        <v>0</v>
      </c>
      <c r="AO362" s="84">
        <v>0</v>
      </c>
      <c r="AP362" s="95">
        <v>3015215</v>
      </c>
      <c r="AQ362" s="84">
        <v>0</v>
      </c>
      <c r="AS362" s="118">
        <f t="shared" si="80"/>
        <v>0</v>
      </c>
    </row>
    <row r="363" spans="1:45" x14ac:dyDescent="0.25">
      <c r="A363" s="131">
        <v>2350409</v>
      </c>
      <c r="B363" s="86" t="s">
        <v>194</v>
      </c>
      <c r="C363" s="91">
        <v>0</v>
      </c>
      <c r="D363" s="91">
        <v>0</v>
      </c>
      <c r="E363" s="91">
        <v>0</v>
      </c>
      <c r="F363" s="91">
        <v>9705246</v>
      </c>
      <c r="G363" s="91">
        <f t="shared" si="81"/>
        <v>9705246</v>
      </c>
      <c r="H363" s="91">
        <v>0</v>
      </c>
      <c r="I363" s="91">
        <v>0</v>
      </c>
      <c r="J363" s="91">
        <f t="shared" si="82"/>
        <v>9705246</v>
      </c>
      <c r="K363" s="91">
        <v>0</v>
      </c>
      <c r="L363" s="91">
        <v>0</v>
      </c>
      <c r="M363" s="91">
        <f t="shared" si="83"/>
        <v>0</v>
      </c>
      <c r="N363" s="91">
        <v>0</v>
      </c>
      <c r="O363" s="91">
        <f t="shared" si="84"/>
        <v>0</v>
      </c>
      <c r="P363" s="91">
        <f t="shared" si="85"/>
        <v>9705246</v>
      </c>
      <c r="Q363" s="91">
        <f t="shared" si="86"/>
        <v>0</v>
      </c>
      <c r="S363" s="96">
        <v>2350409</v>
      </c>
      <c r="T363" s="117" t="s">
        <v>194</v>
      </c>
      <c r="U363" s="95">
        <v>0</v>
      </c>
      <c r="V363" s="95">
        <v>0</v>
      </c>
      <c r="W363" s="95">
        <v>0</v>
      </c>
      <c r="X363" s="95">
        <v>9705246</v>
      </c>
      <c r="Y363" s="95">
        <v>9705246</v>
      </c>
      <c r="Z363" s="95">
        <v>0</v>
      </c>
      <c r="AA363" s="95">
        <v>0</v>
      </c>
      <c r="AB363" s="120">
        <v>0</v>
      </c>
      <c r="AC363" s="95">
        <v>0</v>
      </c>
      <c r="AD363" s="95">
        <v>0</v>
      </c>
      <c r="AE363" s="120">
        <v>0</v>
      </c>
      <c r="AF363" s="95">
        <v>9705246</v>
      </c>
      <c r="AG363" s="95">
        <v>0</v>
      </c>
      <c r="AH363" s="120">
        <v>0</v>
      </c>
      <c r="AI363" s="120">
        <v>0</v>
      </c>
      <c r="AJ363" s="84">
        <v>0</v>
      </c>
      <c r="AK363" s="84">
        <v>0</v>
      </c>
      <c r="AL363" s="84">
        <v>0</v>
      </c>
      <c r="AM363" s="84">
        <v>0</v>
      </c>
      <c r="AN363" s="121">
        <v>0</v>
      </c>
      <c r="AO363" s="84">
        <v>0</v>
      </c>
      <c r="AP363" s="95">
        <v>9705246</v>
      </c>
      <c r="AQ363" s="84">
        <v>0</v>
      </c>
      <c r="AS363" s="118">
        <f t="shared" si="80"/>
        <v>0</v>
      </c>
    </row>
    <row r="364" spans="1:45" s="100" customFormat="1" x14ac:dyDescent="0.25">
      <c r="A364" s="131">
        <v>2350410</v>
      </c>
      <c r="B364" s="86" t="s">
        <v>195</v>
      </c>
      <c r="C364" s="91">
        <v>0</v>
      </c>
      <c r="D364" s="91">
        <v>0</v>
      </c>
      <c r="E364" s="91">
        <v>0</v>
      </c>
      <c r="F364" s="91">
        <v>3691380</v>
      </c>
      <c r="G364" s="91">
        <f t="shared" si="81"/>
        <v>3691380</v>
      </c>
      <c r="H364" s="91">
        <v>0</v>
      </c>
      <c r="I364" s="91">
        <v>0</v>
      </c>
      <c r="J364" s="91">
        <f t="shared" si="82"/>
        <v>3691380</v>
      </c>
      <c r="K364" s="91">
        <v>0</v>
      </c>
      <c r="L364" s="91">
        <v>0</v>
      </c>
      <c r="M364" s="91">
        <f t="shared" si="83"/>
        <v>0</v>
      </c>
      <c r="N364" s="91">
        <v>0</v>
      </c>
      <c r="O364" s="91">
        <f t="shared" si="84"/>
        <v>0</v>
      </c>
      <c r="P364" s="91">
        <f t="shared" si="85"/>
        <v>3691380</v>
      </c>
      <c r="Q364" s="91">
        <f t="shared" si="86"/>
        <v>0</v>
      </c>
      <c r="R364" s="84"/>
      <c r="S364" s="101">
        <v>2350410</v>
      </c>
      <c r="T364" s="116" t="s">
        <v>195</v>
      </c>
      <c r="U364" s="102">
        <v>0</v>
      </c>
      <c r="V364" s="102">
        <v>0</v>
      </c>
      <c r="W364" s="102">
        <v>0</v>
      </c>
      <c r="X364" s="102">
        <v>3691380</v>
      </c>
      <c r="Y364" s="102">
        <v>3691380</v>
      </c>
      <c r="Z364" s="102">
        <v>0</v>
      </c>
      <c r="AA364" s="102">
        <v>0</v>
      </c>
      <c r="AB364" s="119">
        <v>0</v>
      </c>
      <c r="AC364" s="102">
        <v>0</v>
      </c>
      <c r="AD364" s="102">
        <v>0</v>
      </c>
      <c r="AE364" s="119">
        <v>0</v>
      </c>
      <c r="AF364" s="102">
        <v>3691380</v>
      </c>
      <c r="AG364" s="102">
        <v>0</v>
      </c>
      <c r="AH364" s="119">
        <v>0</v>
      </c>
      <c r="AI364" s="119">
        <v>0</v>
      </c>
      <c r="AJ364" s="100">
        <v>0</v>
      </c>
      <c r="AK364" s="100">
        <v>0</v>
      </c>
      <c r="AL364" s="100">
        <v>0</v>
      </c>
      <c r="AM364" s="100">
        <v>0</v>
      </c>
      <c r="AN364" s="122">
        <v>0</v>
      </c>
      <c r="AO364" s="100">
        <v>0</v>
      </c>
      <c r="AP364" s="102">
        <v>3691380</v>
      </c>
      <c r="AQ364" s="100">
        <v>0</v>
      </c>
      <c r="AS364" s="118">
        <f t="shared" si="80"/>
        <v>0</v>
      </c>
    </row>
    <row r="365" spans="1:45" x14ac:dyDescent="0.25">
      <c r="A365" s="131">
        <v>2350411</v>
      </c>
      <c r="B365" s="86" t="s">
        <v>185</v>
      </c>
      <c r="C365" s="91">
        <v>0</v>
      </c>
      <c r="D365" s="91">
        <v>0</v>
      </c>
      <c r="E365" s="91">
        <v>0</v>
      </c>
      <c r="F365" s="91">
        <v>69033301</v>
      </c>
      <c r="G365" s="91">
        <f t="shared" si="81"/>
        <v>69033301</v>
      </c>
      <c r="H365" s="91">
        <v>0</v>
      </c>
      <c r="I365" s="91">
        <v>0</v>
      </c>
      <c r="J365" s="91">
        <f t="shared" si="82"/>
        <v>69033301</v>
      </c>
      <c r="K365" s="91">
        <v>0</v>
      </c>
      <c r="L365" s="91">
        <v>0</v>
      </c>
      <c r="M365" s="91">
        <f t="shared" si="83"/>
        <v>0</v>
      </c>
      <c r="N365" s="91">
        <v>0</v>
      </c>
      <c r="O365" s="91">
        <f t="shared" si="84"/>
        <v>0</v>
      </c>
      <c r="P365" s="91">
        <f t="shared" si="85"/>
        <v>69033301</v>
      </c>
      <c r="Q365" s="91">
        <f t="shared" si="86"/>
        <v>0</v>
      </c>
      <c r="S365" s="96">
        <v>2350411</v>
      </c>
      <c r="T365" s="117" t="s">
        <v>185</v>
      </c>
      <c r="U365" s="95">
        <v>0</v>
      </c>
      <c r="V365" s="95">
        <v>0</v>
      </c>
      <c r="W365" s="95">
        <v>0</v>
      </c>
      <c r="X365" s="95">
        <v>69033301</v>
      </c>
      <c r="Y365" s="95">
        <v>69033301</v>
      </c>
      <c r="Z365" s="95">
        <v>0</v>
      </c>
      <c r="AA365" s="95">
        <v>0</v>
      </c>
      <c r="AB365" s="120">
        <v>0</v>
      </c>
      <c r="AC365" s="95">
        <v>0</v>
      </c>
      <c r="AD365" s="95">
        <v>0</v>
      </c>
      <c r="AE365" s="120">
        <v>0</v>
      </c>
      <c r="AF365" s="95">
        <v>69033301</v>
      </c>
      <c r="AG365" s="95">
        <v>0</v>
      </c>
      <c r="AH365" s="120">
        <v>0</v>
      </c>
      <c r="AI365" s="120">
        <v>0</v>
      </c>
      <c r="AJ365" s="84">
        <v>0</v>
      </c>
      <c r="AK365" s="84">
        <v>0</v>
      </c>
      <c r="AL365" s="84">
        <v>0</v>
      </c>
      <c r="AM365" s="84">
        <v>0</v>
      </c>
      <c r="AN365" s="121">
        <v>0</v>
      </c>
      <c r="AO365" s="84">
        <v>0</v>
      </c>
      <c r="AP365" s="95">
        <v>69033301</v>
      </c>
      <c r="AQ365" s="84">
        <v>0</v>
      </c>
      <c r="AS365" s="118">
        <f t="shared" si="80"/>
        <v>0</v>
      </c>
    </row>
    <row r="366" spans="1:45" x14ac:dyDescent="0.25">
      <c r="A366" s="109">
        <v>23505</v>
      </c>
      <c r="B366" s="110" t="s">
        <v>196</v>
      </c>
      <c r="C366" s="111">
        <v>0</v>
      </c>
      <c r="D366" s="111">
        <v>0</v>
      </c>
      <c r="E366" s="111">
        <v>0</v>
      </c>
      <c r="F366" s="111">
        <v>87402263</v>
      </c>
      <c r="G366" s="111">
        <f t="shared" si="81"/>
        <v>87402263</v>
      </c>
      <c r="H366" s="111">
        <v>2082083</v>
      </c>
      <c r="I366" s="111">
        <v>51960290</v>
      </c>
      <c r="J366" s="111">
        <f t="shared" si="82"/>
        <v>35441973</v>
      </c>
      <c r="K366" s="111">
        <v>0</v>
      </c>
      <c r="L366" s="111">
        <v>41341159</v>
      </c>
      <c r="M366" s="111">
        <f t="shared" si="83"/>
        <v>10619131</v>
      </c>
      <c r="N366" s="111">
        <v>54058790</v>
      </c>
      <c r="O366" s="111">
        <f t="shared" si="84"/>
        <v>2098500</v>
      </c>
      <c r="P366" s="111">
        <f t="shared" si="85"/>
        <v>33343473</v>
      </c>
      <c r="Q366" s="111">
        <f t="shared" si="86"/>
        <v>41341159</v>
      </c>
      <c r="R366" s="100"/>
      <c r="S366" s="96">
        <v>23505</v>
      </c>
      <c r="T366" s="117" t="s">
        <v>196</v>
      </c>
      <c r="U366" s="95">
        <v>0</v>
      </c>
      <c r="V366" s="95">
        <v>0</v>
      </c>
      <c r="W366" s="95">
        <v>0</v>
      </c>
      <c r="X366" s="95">
        <v>87402263</v>
      </c>
      <c r="Y366" s="95">
        <v>87402263</v>
      </c>
      <c r="Z366" s="95">
        <v>0</v>
      </c>
      <c r="AA366" s="95">
        <v>0</v>
      </c>
      <c r="AB366" s="120">
        <v>2082083</v>
      </c>
      <c r="AC366" s="95">
        <v>2082083</v>
      </c>
      <c r="AD366" s="95">
        <v>51960290</v>
      </c>
      <c r="AE366" s="120">
        <v>51960290</v>
      </c>
      <c r="AF366" s="95">
        <v>35441973</v>
      </c>
      <c r="AG366" s="95">
        <v>0</v>
      </c>
      <c r="AH366" s="120">
        <v>0</v>
      </c>
      <c r="AI366" s="120">
        <v>41341159</v>
      </c>
      <c r="AJ366" s="84">
        <v>10619131</v>
      </c>
      <c r="AK366" s="84">
        <v>0</v>
      </c>
      <c r="AL366" s="84">
        <v>0</v>
      </c>
      <c r="AM366" s="84">
        <v>54058790</v>
      </c>
      <c r="AN366" s="121">
        <v>54058790</v>
      </c>
      <c r="AO366" s="84">
        <v>2098500</v>
      </c>
      <c r="AP366" s="95">
        <v>33343473</v>
      </c>
      <c r="AQ366" s="84">
        <v>0</v>
      </c>
      <c r="AS366" s="118">
        <f t="shared" si="80"/>
        <v>0</v>
      </c>
    </row>
    <row r="367" spans="1:45" x14ac:dyDescent="0.25">
      <c r="A367" s="134">
        <v>2350501</v>
      </c>
      <c r="B367" s="86" t="s">
        <v>197</v>
      </c>
      <c r="C367" s="91">
        <v>0</v>
      </c>
      <c r="D367" s="91">
        <v>0</v>
      </c>
      <c r="E367" s="91">
        <v>0</v>
      </c>
      <c r="F367" s="91">
        <v>3375956</v>
      </c>
      <c r="G367" s="91">
        <f t="shared" si="81"/>
        <v>3375956</v>
      </c>
      <c r="H367" s="91">
        <v>0</v>
      </c>
      <c r="I367" s="91">
        <v>0</v>
      </c>
      <c r="J367" s="91">
        <f t="shared" si="82"/>
        <v>3375956</v>
      </c>
      <c r="K367" s="91">
        <v>0</v>
      </c>
      <c r="L367" s="91">
        <v>0</v>
      </c>
      <c r="M367" s="91">
        <f t="shared" si="83"/>
        <v>0</v>
      </c>
      <c r="N367" s="91">
        <v>0</v>
      </c>
      <c r="O367" s="91">
        <f t="shared" si="84"/>
        <v>0</v>
      </c>
      <c r="P367" s="91">
        <f t="shared" si="85"/>
        <v>3375956</v>
      </c>
      <c r="Q367" s="91">
        <f t="shared" si="86"/>
        <v>0</v>
      </c>
      <c r="S367" s="96">
        <v>2350501</v>
      </c>
      <c r="T367" s="117" t="s">
        <v>197</v>
      </c>
      <c r="U367" s="95">
        <v>0</v>
      </c>
      <c r="V367" s="95">
        <v>0</v>
      </c>
      <c r="W367" s="95">
        <v>0</v>
      </c>
      <c r="X367" s="95">
        <v>3375956</v>
      </c>
      <c r="Y367" s="95">
        <v>3375956</v>
      </c>
      <c r="Z367" s="95">
        <v>0</v>
      </c>
      <c r="AA367" s="95">
        <v>0</v>
      </c>
      <c r="AB367" s="120">
        <v>0</v>
      </c>
      <c r="AC367" s="95">
        <v>0</v>
      </c>
      <c r="AD367" s="95">
        <v>0</v>
      </c>
      <c r="AE367" s="120">
        <v>0</v>
      </c>
      <c r="AF367" s="95">
        <v>3375956</v>
      </c>
      <c r="AG367" s="95">
        <v>0</v>
      </c>
      <c r="AH367" s="120">
        <v>0</v>
      </c>
      <c r="AI367" s="120">
        <v>0</v>
      </c>
      <c r="AJ367" s="84">
        <v>0</v>
      </c>
      <c r="AK367" s="84">
        <v>0</v>
      </c>
      <c r="AL367" s="84">
        <v>0</v>
      </c>
      <c r="AM367" s="84">
        <v>0</v>
      </c>
      <c r="AN367" s="121">
        <v>0</v>
      </c>
      <c r="AO367" s="84">
        <v>0</v>
      </c>
      <c r="AP367" s="95">
        <v>3375956</v>
      </c>
      <c r="AQ367" s="84">
        <v>0</v>
      </c>
      <c r="AS367" s="118">
        <f t="shared" si="80"/>
        <v>0</v>
      </c>
    </row>
    <row r="368" spans="1:45" x14ac:dyDescent="0.25">
      <c r="A368" s="134">
        <v>2350502</v>
      </c>
      <c r="B368" s="86" t="s">
        <v>198</v>
      </c>
      <c r="C368" s="91">
        <v>0</v>
      </c>
      <c r="D368" s="91">
        <v>0</v>
      </c>
      <c r="E368" s="91">
        <v>0</v>
      </c>
      <c r="F368" s="91">
        <v>898908</v>
      </c>
      <c r="G368" s="91">
        <f t="shared" si="81"/>
        <v>898908</v>
      </c>
      <c r="H368" s="91">
        <v>0</v>
      </c>
      <c r="I368" s="91">
        <v>0</v>
      </c>
      <c r="J368" s="91">
        <f t="shared" si="82"/>
        <v>898908</v>
      </c>
      <c r="K368" s="91">
        <v>0</v>
      </c>
      <c r="L368" s="91">
        <v>0</v>
      </c>
      <c r="M368" s="91">
        <f t="shared" si="83"/>
        <v>0</v>
      </c>
      <c r="N368" s="91">
        <v>0</v>
      </c>
      <c r="O368" s="91">
        <f t="shared" si="84"/>
        <v>0</v>
      </c>
      <c r="P368" s="91">
        <f t="shared" si="85"/>
        <v>898908</v>
      </c>
      <c r="Q368" s="91">
        <f t="shared" si="86"/>
        <v>0</v>
      </c>
      <c r="S368" s="96">
        <v>2350502</v>
      </c>
      <c r="T368" s="117" t="s">
        <v>198</v>
      </c>
      <c r="U368" s="95">
        <v>0</v>
      </c>
      <c r="V368" s="95">
        <v>0</v>
      </c>
      <c r="W368" s="95">
        <v>0</v>
      </c>
      <c r="X368" s="95">
        <v>898908</v>
      </c>
      <c r="Y368" s="95">
        <v>898908</v>
      </c>
      <c r="Z368" s="95">
        <v>0</v>
      </c>
      <c r="AA368" s="95">
        <v>0</v>
      </c>
      <c r="AB368" s="120">
        <v>0</v>
      </c>
      <c r="AC368" s="95">
        <v>0</v>
      </c>
      <c r="AD368" s="95">
        <v>0</v>
      </c>
      <c r="AE368" s="120">
        <v>0</v>
      </c>
      <c r="AF368" s="95">
        <v>898908</v>
      </c>
      <c r="AG368" s="95">
        <v>0</v>
      </c>
      <c r="AH368" s="120">
        <v>0</v>
      </c>
      <c r="AI368" s="120">
        <v>0</v>
      </c>
      <c r="AJ368" s="84">
        <v>0</v>
      </c>
      <c r="AK368" s="84">
        <v>0</v>
      </c>
      <c r="AL368" s="84">
        <v>0</v>
      </c>
      <c r="AM368" s="84">
        <v>0</v>
      </c>
      <c r="AN368" s="121">
        <v>0</v>
      </c>
      <c r="AO368" s="84">
        <v>0</v>
      </c>
      <c r="AP368" s="95">
        <v>898908</v>
      </c>
      <c r="AQ368" s="84">
        <v>0</v>
      </c>
      <c r="AS368" s="118">
        <f t="shared" si="80"/>
        <v>0</v>
      </c>
    </row>
    <row r="369" spans="1:45" x14ac:dyDescent="0.25">
      <c r="A369" s="129">
        <v>2350503</v>
      </c>
      <c r="B369" s="86" t="s">
        <v>199</v>
      </c>
      <c r="C369" s="91">
        <v>0</v>
      </c>
      <c r="D369" s="91">
        <v>0</v>
      </c>
      <c r="E369" s="91">
        <v>0</v>
      </c>
      <c r="F369" s="91">
        <v>1181670</v>
      </c>
      <c r="G369" s="130">
        <f t="shared" si="81"/>
        <v>1181670</v>
      </c>
      <c r="H369" s="91">
        <v>0</v>
      </c>
      <c r="I369" s="91">
        <v>0</v>
      </c>
      <c r="J369" s="91">
        <f t="shared" si="82"/>
        <v>1181670</v>
      </c>
      <c r="K369" s="91">
        <v>0</v>
      </c>
      <c r="L369" s="91">
        <v>0</v>
      </c>
      <c r="M369" s="91">
        <f t="shared" si="83"/>
        <v>0</v>
      </c>
      <c r="N369" s="91">
        <v>0</v>
      </c>
      <c r="O369" s="91">
        <f t="shared" si="84"/>
        <v>0</v>
      </c>
      <c r="P369" s="91">
        <f t="shared" si="85"/>
        <v>1181670</v>
      </c>
      <c r="Q369" s="91">
        <f t="shared" si="86"/>
        <v>0</v>
      </c>
      <c r="S369" s="96">
        <v>2350503</v>
      </c>
      <c r="T369" s="117" t="s">
        <v>199</v>
      </c>
      <c r="U369" s="95">
        <v>0</v>
      </c>
      <c r="V369" s="95">
        <v>0</v>
      </c>
      <c r="W369" s="95">
        <v>0</v>
      </c>
      <c r="X369" s="95">
        <v>1181670</v>
      </c>
      <c r="Y369" s="95">
        <v>1181670</v>
      </c>
      <c r="Z369" s="95">
        <v>0</v>
      </c>
      <c r="AA369" s="95">
        <v>0</v>
      </c>
      <c r="AB369" s="120">
        <v>0</v>
      </c>
      <c r="AC369" s="95">
        <v>0</v>
      </c>
      <c r="AD369" s="95">
        <v>0</v>
      </c>
      <c r="AE369" s="120">
        <v>0</v>
      </c>
      <c r="AF369" s="95">
        <v>1181670</v>
      </c>
      <c r="AG369" s="95">
        <v>0</v>
      </c>
      <c r="AH369" s="120">
        <v>0</v>
      </c>
      <c r="AI369" s="120">
        <v>0</v>
      </c>
      <c r="AJ369" s="84">
        <v>0</v>
      </c>
      <c r="AK369" s="84">
        <v>0</v>
      </c>
      <c r="AL369" s="84">
        <v>0</v>
      </c>
      <c r="AM369" s="84">
        <v>0</v>
      </c>
      <c r="AN369" s="121">
        <v>0</v>
      </c>
      <c r="AO369" s="84">
        <v>0</v>
      </c>
      <c r="AP369" s="95">
        <v>1181670</v>
      </c>
      <c r="AQ369" s="84">
        <v>0</v>
      </c>
      <c r="AS369" s="118">
        <f t="shared" si="80"/>
        <v>0</v>
      </c>
    </row>
    <row r="370" spans="1:45" x14ac:dyDescent="0.25">
      <c r="A370" s="129">
        <v>2350504</v>
      </c>
      <c r="B370" s="86" t="s">
        <v>200</v>
      </c>
      <c r="C370" s="91">
        <v>0</v>
      </c>
      <c r="D370" s="91">
        <v>0</v>
      </c>
      <c r="E370" s="91">
        <v>0</v>
      </c>
      <c r="F370" s="91">
        <v>4180583</v>
      </c>
      <c r="G370" s="130">
        <f t="shared" si="81"/>
        <v>4180583</v>
      </c>
      <c r="H370" s="91">
        <v>2082083</v>
      </c>
      <c r="I370" s="91">
        <v>2082083</v>
      </c>
      <c r="J370" s="91">
        <f t="shared" si="82"/>
        <v>2098500</v>
      </c>
      <c r="K370" s="91">
        <v>0</v>
      </c>
      <c r="L370" s="91">
        <v>0</v>
      </c>
      <c r="M370" s="91">
        <f t="shared" si="83"/>
        <v>2082083</v>
      </c>
      <c r="N370" s="91">
        <v>4180583</v>
      </c>
      <c r="O370" s="91">
        <f t="shared" si="84"/>
        <v>2098500</v>
      </c>
      <c r="P370" s="91">
        <f t="shared" si="85"/>
        <v>0</v>
      </c>
      <c r="Q370" s="91">
        <f t="shared" si="86"/>
        <v>0</v>
      </c>
      <c r="S370" s="96">
        <v>2350504</v>
      </c>
      <c r="T370" s="117" t="s">
        <v>200</v>
      </c>
      <c r="U370" s="95">
        <v>0</v>
      </c>
      <c r="V370" s="95">
        <v>0</v>
      </c>
      <c r="W370" s="95">
        <v>0</v>
      </c>
      <c r="X370" s="95">
        <v>4180583</v>
      </c>
      <c r="Y370" s="95">
        <v>4180583</v>
      </c>
      <c r="Z370" s="95">
        <v>0</v>
      </c>
      <c r="AA370" s="95">
        <v>0</v>
      </c>
      <c r="AB370" s="120">
        <v>2082083</v>
      </c>
      <c r="AC370" s="95">
        <v>2082083</v>
      </c>
      <c r="AD370" s="95">
        <v>2082083</v>
      </c>
      <c r="AE370" s="120">
        <v>2082083</v>
      </c>
      <c r="AF370" s="95">
        <v>2098500</v>
      </c>
      <c r="AG370" s="95">
        <v>0</v>
      </c>
      <c r="AH370" s="120">
        <v>0</v>
      </c>
      <c r="AI370" s="120">
        <v>0</v>
      </c>
      <c r="AJ370" s="84">
        <v>2082083</v>
      </c>
      <c r="AK370" s="84">
        <v>0</v>
      </c>
      <c r="AL370" s="84">
        <v>0</v>
      </c>
      <c r="AM370" s="84">
        <v>4180583</v>
      </c>
      <c r="AN370" s="121">
        <v>4180583</v>
      </c>
      <c r="AO370" s="84">
        <v>2098500</v>
      </c>
      <c r="AP370" s="95">
        <v>0</v>
      </c>
      <c r="AQ370" s="84">
        <v>0</v>
      </c>
      <c r="AS370" s="118">
        <f t="shared" si="80"/>
        <v>0</v>
      </c>
    </row>
    <row r="371" spans="1:45" x14ac:dyDescent="0.25">
      <c r="A371" s="129">
        <v>2350505</v>
      </c>
      <c r="B371" s="86" t="s">
        <v>201</v>
      </c>
      <c r="C371" s="91">
        <v>0</v>
      </c>
      <c r="D371" s="91">
        <v>0</v>
      </c>
      <c r="E371" s="91">
        <v>0</v>
      </c>
      <c r="F371" s="91">
        <v>2074727</v>
      </c>
      <c r="G371" s="130">
        <f t="shared" si="81"/>
        <v>2074727</v>
      </c>
      <c r="H371" s="91">
        <v>0</v>
      </c>
      <c r="I371" s="91">
        <v>0</v>
      </c>
      <c r="J371" s="91">
        <f t="shared" si="82"/>
        <v>2074727</v>
      </c>
      <c r="K371" s="91">
        <v>0</v>
      </c>
      <c r="L371" s="91">
        <v>0</v>
      </c>
      <c r="M371" s="91">
        <f t="shared" si="83"/>
        <v>0</v>
      </c>
      <c r="N371" s="91">
        <v>0</v>
      </c>
      <c r="O371" s="91">
        <f t="shared" si="84"/>
        <v>0</v>
      </c>
      <c r="P371" s="91">
        <f t="shared" si="85"/>
        <v>2074727</v>
      </c>
      <c r="Q371" s="91">
        <f t="shared" si="86"/>
        <v>0</v>
      </c>
      <c r="S371" s="96">
        <v>2350505</v>
      </c>
      <c r="T371" s="117" t="s">
        <v>201</v>
      </c>
      <c r="U371" s="95">
        <v>0</v>
      </c>
      <c r="V371" s="95">
        <v>0</v>
      </c>
      <c r="W371" s="95">
        <v>0</v>
      </c>
      <c r="X371" s="95">
        <v>2074727</v>
      </c>
      <c r="Y371" s="95">
        <v>2074727</v>
      </c>
      <c r="Z371" s="95">
        <v>0</v>
      </c>
      <c r="AA371" s="95">
        <v>0</v>
      </c>
      <c r="AB371" s="120">
        <v>0</v>
      </c>
      <c r="AC371" s="95">
        <v>0</v>
      </c>
      <c r="AD371" s="95">
        <v>0</v>
      </c>
      <c r="AE371" s="120">
        <v>0</v>
      </c>
      <c r="AF371" s="95">
        <v>2074727</v>
      </c>
      <c r="AG371" s="95">
        <v>0</v>
      </c>
      <c r="AH371" s="120">
        <v>0</v>
      </c>
      <c r="AI371" s="120">
        <v>0</v>
      </c>
      <c r="AJ371" s="84">
        <v>0</v>
      </c>
      <c r="AK371" s="84">
        <v>0</v>
      </c>
      <c r="AL371" s="84">
        <v>0</v>
      </c>
      <c r="AM371" s="84">
        <v>0</v>
      </c>
      <c r="AN371" s="121">
        <v>0</v>
      </c>
      <c r="AO371" s="84">
        <v>0</v>
      </c>
      <c r="AP371" s="95">
        <v>2074727</v>
      </c>
      <c r="AQ371" s="84">
        <v>0</v>
      </c>
      <c r="AS371" s="118">
        <f t="shared" si="80"/>
        <v>0</v>
      </c>
    </row>
    <row r="372" spans="1:45" s="100" customFormat="1" x14ac:dyDescent="0.25">
      <c r="A372" s="129">
        <v>2350506</v>
      </c>
      <c r="B372" s="86" t="s">
        <v>202</v>
      </c>
      <c r="C372" s="91">
        <v>0</v>
      </c>
      <c r="D372" s="91">
        <v>0</v>
      </c>
      <c r="E372" s="91">
        <v>0</v>
      </c>
      <c r="F372" s="91">
        <v>49878207</v>
      </c>
      <c r="G372" s="130">
        <f t="shared" si="81"/>
        <v>49878207</v>
      </c>
      <c r="H372" s="91">
        <v>0</v>
      </c>
      <c r="I372" s="91">
        <v>49878207</v>
      </c>
      <c r="J372" s="91">
        <f t="shared" si="82"/>
        <v>0</v>
      </c>
      <c r="K372" s="91">
        <v>0</v>
      </c>
      <c r="L372" s="91">
        <v>41341159</v>
      </c>
      <c r="M372" s="91">
        <f t="shared" si="83"/>
        <v>8537048</v>
      </c>
      <c r="N372" s="91">
        <v>49878207</v>
      </c>
      <c r="O372" s="91">
        <f t="shared" si="84"/>
        <v>0</v>
      </c>
      <c r="P372" s="91">
        <f t="shared" si="85"/>
        <v>0</v>
      </c>
      <c r="Q372" s="91">
        <f t="shared" si="86"/>
        <v>41341159</v>
      </c>
      <c r="R372" s="84"/>
      <c r="S372" s="101">
        <v>2350506</v>
      </c>
      <c r="T372" s="116" t="s">
        <v>202</v>
      </c>
      <c r="U372" s="102">
        <v>0</v>
      </c>
      <c r="V372" s="102">
        <v>0</v>
      </c>
      <c r="W372" s="102">
        <v>0</v>
      </c>
      <c r="X372" s="102">
        <v>49878207</v>
      </c>
      <c r="Y372" s="102">
        <v>49878207</v>
      </c>
      <c r="Z372" s="102">
        <v>0</v>
      </c>
      <c r="AA372" s="102">
        <v>0</v>
      </c>
      <c r="AB372" s="119">
        <v>0</v>
      </c>
      <c r="AC372" s="102">
        <v>0</v>
      </c>
      <c r="AD372" s="102">
        <v>49878207</v>
      </c>
      <c r="AE372" s="119">
        <v>49878207</v>
      </c>
      <c r="AF372" s="102">
        <v>0</v>
      </c>
      <c r="AG372" s="102">
        <v>0</v>
      </c>
      <c r="AH372" s="119">
        <v>0</v>
      </c>
      <c r="AI372" s="119">
        <v>41341159</v>
      </c>
      <c r="AJ372" s="100">
        <v>8537048</v>
      </c>
      <c r="AK372" s="100">
        <v>0</v>
      </c>
      <c r="AL372" s="100">
        <v>0</v>
      </c>
      <c r="AM372" s="100">
        <v>49878207</v>
      </c>
      <c r="AN372" s="122">
        <v>49878207</v>
      </c>
      <c r="AO372" s="100">
        <v>0</v>
      </c>
      <c r="AP372" s="102">
        <v>0</v>
      </c>
      <c r="AQ372" s="100">
        <v>0</v>
      </c>
      <c r="AS372" s="118">
        <f t="shared" si="80"/>
        <v>0</v>
      </c>
    </row>
    <row r="373" spans="1:45" x14ac:dyDescent="0.25">
      <c r="A373" s="131">
        <v>2350507</v>
      </c>
      <c r="B373" s="86" t="s">
        <v>203</v>
      </c>
      <c r="C373" s="91">
        <v>0</v>
      </c>
      <c r="D373" s="91">
        <v>0</v>
      </c>
      <c r="E373" s="91">
        <v>0</v>
      </c>
      <c r="F373" s="91">
        <v>25812212</v>
      </c>
      <c r="G373" s="91">
        <f t="shared" si="81"/>
        <v>25812212</v>
      </c>
      <c r="H373" s="91">
        <v>0</v>
      </c>
      <c r="I373" s="91">
        <v>0</v>
      </c>
      <c r="J373" s="91">
        <f t="shared" si="82"/>
        <v>25812212</v>
      </c>
      <c r="K373" s="91">
        <v>0</v>
      </c>
      <c r="L373" s="91">
        <v>0</v>
      </c>
      <c r="M373" s="91">
        <f t="shared" si="83"/>
        <v>0</v>
      </c>
      <c r="N373" s="91">
        <v>0</v>
      </c>
      <c r="O373" s="91">
        <f t="shared" si="84"/>
        <v>0</v>
      </c>
      <c r="P373" s="91">
        <f t="shared" si="85"/>
        <v>25812212</v>
      </c>
      <c r="Q373" s="91">
        <f t="shared" si="86"/>
        <v>0</v>
      </c>
      <c r="S373" s="96">
        <v>2350507</v>
      </c>
      <c r="T373" s="117" t="s">
        <v>203</v>
      </c>
      <c r="U373" s="95">
        <v>0</v>
      </c>
      <c r="V373" s="95">
        <v>0</v>
      </c>
      <c r="W373" s="95">
        <v>0</v>
      </c>
      <c r="X373" s="95">
        <v>25812212</v>
      </c>
      <c r="Y373" s="95">
        <v>25812212</v>
      </c>
      <c r="Z373" s="95">
        <v>0</v>
      </c>
      <c r="AA373" s="95">
        <v>0</v>
      </c>
      <c r="AB373" s="120">
        <v>0</v>
      </c>
      <c r="AC373" s="95">
        <v>0</v>
      </c>
      <c r="AD373" s="95">
        <v>0</v>
      </c>
      <c r="AE373" s="120">
        <v>0</v>
      </c>
      <c r="AF373" s="95">
        <v>25812212</v>
      </c>
      <c r="AG373" s="95">
        <v>0</v>
      </c>
      <c r="AH373" s="120">
        <v>0</v>
      </c>
      <c r="AI373" s="120">
        <v>0</v>
      </c>
      <c r="AJ373" s="84">
        <v>0</v>
      </c>
      <c r="AK373" s="84">
        <v>0</v>
      </c>
      <c r="AL373" s="84">
        <v>0</v>
      </c>
      <c r="AM373" s="84">
        <v>0</v>
      </c>
      <c r="AN373" s="121">
        <v>0</v>
      </c>
      <c r="AO373" s="84">
        <v>0</v>
      </c>
      <c r="AP373" s="95">
        <v>25812212</v>
      </c>
      <c r="AQ373" s="84">
        <v>0</v>
      </c>
      <c r="AS373" s="118">
        <f t="shared" si="80"/>
        <v>0</v>
      </c>
    </row>
    <row r="374" spans="1:45" x14ac:dyDescent="0.25">
      <c r="A374" s="109">
        <v>23506</v>
      </c>
      <c r="B374" s="110" t="s">
        <v>204</v>
      </c>
      <c r="C374" s="111">
        <v>0</v>
      </c>
      <c r="D374" s="111">
        <v>0</v>
      </c>
      <c r="E374" s="111">
        <v>0</v>
      </c>
      <c r="F374" s="111">
        <v>81175164</v>
      </c>
      <c r="G374" s="111">
        <f t="shared" si="81"/>
        <v>81175164</v>
      </c>
      <c r="H374" s="111">
        <v>18578003</v>
      </c>
      <c r="I374" s="111">
        <v>59795474</v>
      </c>
      <c r="J374" s="111">
        <f t="shared" si="82"/>
        <v>21379690</v>
      </c>
      <c r="K374" s="111">
        <v>41217471</v>
      </c>
      <c r="L374" s="111">
        <v>41217471</v>
      </c>
      <c r="M374" s="111">
        <f t="shared" si="83"/>
        <v>18578003</v>
      </c>
      <c r="N374" s="111">
        <v>81175164</v>
      </c>
      <c r="O374" s="111">
        <f t="shared" si="84"/>
        <v>21379690</v>
      </c>
      <c r="P374" s="111">
        <f t="shared" si="85"/>
        <v>0</v>
      </c>
      <c r="Q374" s="111">
        <f t="shared" si="86"/>
        <v>41217471</v>
      </c>
      <c r="R374" s="100"/>
      <c r="S374" s="96">
        <v>23506</v>
      </c>
      <c r="T374" s="117" t="s">
        <v>204</v>
      </c>
      <c r="U374" s="95">
        <v>0</v>
      </c>
      <c r="V374" s="95">
        <v>0</v>
      </c>
      <c r="W374" s="95">
        <v>0</v>
      </c>
      <c r="X374" s="95">
        <v>81175164</v>
      </c>
      <c r="Y374" s="95">
        <v>81175164</v>
      </c>
      <c r="Z374" s="95">
        <v>0</v>
      </c>
      <c r="AA374" s="95">
        <v>0</v>
      </c>
      <c r="AB374" s="120">
        <v>18578003</v>
      </c>
      <c r="AC374" s="95">
        <v>18578003</v>
      </c>
      <c r="AD374" s="95">
        <v>59795474</v>
      </c>
      <c r="AE374" s="120">
        <v>59795474</v>
      </c>
      <c r="AF374" s="95">
        <v>21379690</v>
      </c>
      <c r="AG374" s="95">
        <v>0</v>
      </c>
      <c r="AH374" s="120">
        <v>41217471</v>
      </c>
      <c r="AI374" s="120">
        <v>41217471</v>
      </c>
      <c r="AJ374" s="84">
        <v>18578003</v>
      </c>
      <c r="AK374" s="84">
        <v>0</v>
      </c>
      <c r="AL374" s="84">
        <v>0</v>
      </c>
      <c r="AM374" s="84">
        <v>81175164</v>
      </c>
      <c r="AN374" s="121">
        <v>81175164</v>
      </c>
      <c r="AO374" s="84">
        <v>21379690</v>
      </c>
      <c r="AP374" s="95">
        <v>0</v>
      </c>
      <c r="AQ374" s="84">
        <v>0</v>
      </c>
      <c r="AS374" s="118">
        <f t="shared" si="80"/>
        <v>0</v>
      </c>
    </row>
    <row r="375" spans="1:45" x14ac:dyDescent="0.25">
      <c r="A375" s="131">
        <v>2350601</v>
      </c>
      <c r="B375" s="86" t="s">
        <v>205</v>
      </c>
      <c r="C375" s="91">
        <v>0</v>
      </c>
      <c r="D375" s="91">
        <v>0</v>
      </c>
      <c r="E375" s="91">
        <v>0</v>
      </c>
      <c r="F375" s="91">
        <v>81175164</v>
      </c>
      <c r="G375" s="91">
        <f t="shared" si="81"/>
        <v>81175164</v>
      </c>
      <c r="H375" s="91">
        <v>18578003</v>
      </c>
      <c r="I375" s="91">
        <v>59795474</v>
      </c>
      <c r="J375" s="91">
        <f t="shared" si="82"/>
        <v>21379690</v>
      </c>
      <c r="K375" s="91">
        <v>41217471</v>
      </c>
      <c r="L375" s="91">
        <v>41217471</v>
      </c>
      <c r="M375" s="91">
        <f t="shared" si="83"/>
        <v>18578003</v>
      </c>
      <c r="N375" s="91">
        <v>81175164</v>
      </c>
      <c r="O375" s="91">
        <f t="shared" si="84"/>
        <v>21379690</v>
      </c>
      <c r="P375" s="91">
        <f t="shared" si="85"/>
        <v>0</v>
      </c>
      <c r="Q375" s="91">
        <f t="shared" si="86"/>
        <v>41217471</v>
      </c>
      <c r="S375" s="96">
        <v>2350601</v>
      </c>
      <c r="T375" s="117" t="s">
        <v>205</v>
      </c>
      <c r="U375" s="95">
        <v>0</v>
      </c>
      <c r="V375" s="95">
        <v>0</v>
      </c>
      <c r="W375" s="95">
        <v>0</v>
      </c>
      <c r="X375" s="95">
        <v>81175164</v>
      </c>
      <c r="Y375" s="95">
        <v>81175164</v>
      </c>
      <c r="Z375" s="95">
        <v>0</v>
      </c>
      <c r="AA375" s="95">
        <v>0</v>
      </c>
      <c r="AB375" s="120">
        <v>18578003</v>
      </c>
      <c r="AC375" s="95">
        <v>18578003</v>
      </c>
      <c r="AD375" s="95">
        <v>59795474</v>
      </c>
      <c r="AE375" s="120">
        <v>59795474</v>
      </c>
      <c r="AF375" s="95">
        <v>21379690</v>
      </c>
      <c r="AG375" s="95">
        <v>0</v>
      </c>
      <c r="AH375" s="120">
        <v>41217471</v>
      </c>
      <c r="AI375" s="120">
        <v>41217471</v>
      </c>
      <c r="AJ375" s="84">
        <v>18578003</v>
      </c>
      <c r="AK375" s="84">
        <v>0</v>
      </c>
      <c r="AL375" s="84">
        <v>0</v>
      </c>
      <c r="AM375" s="84">
        <v>81175164</v>
      </c>
      <c r="AN375" s="121">
        <v>81175164</v>
      </c>
      <c r="AO375" s="84">
        <v>21379690</v>
      </c>
      <c r="AP375" s="95">
        <v>0</v>
      </c>
      <c r="AQ375" s="84">
        <v>0</v>
      </c>
      <c r="AS375" s="118">
        <f t="shared" si="80"/>
        <v>0</v>
      </c>
    </row>
    <row r="376" spans="1:45" x14ac:dyDescent="0.25">
      <c r="A376" s="132">
        <v>23507</v>
      </c>
      <c r="B376" s="86" t="s">
        <v>206</v>
      </c>
      <c r="C376" s="91">
        <v>0</v>
      </c>
      <c r="D376" s="91">
        <v>0</v>
      </c>
      <c r="E376" s="91">
        <v>0</v>
      </c>
      <c r="F376" s="91">
        <v>605226612</v>
      </c>
      <c r="G376" s="91">
        <f t="shared" si="81"/>
        <v>605226612</v>
      </c>
      <c r="H376" s="91">
        <v>133597541</v>
      </c>
      <c r="I376" s="91">
        <v>133597541</v>
      </c>
      <c r="J376" s="91">
        <f t="shared" si="82"/>
        <v>471629071</v>
      </c>
      <c r="K376" s="91">
        <v>0</v>
      </c>
      <c r="L376" s="91">
        <v>0</v>
      </c>
      <c r="M376" s="91">
        <f t="shared" si="83"/>
        <v>133597541</v>
      </c>
      <c r="N376" s="91">
        <v>177013541</v>
      </c>
      <c r="O376" s="91">
        <f t="shared" si="84"/>
        <v>43416000</v>
      </c>
      <c r="P376" s="91">
        <f t="shared" si="85"/>
        <v>428213071</v>
      </c>
      <c r="Q376" s="91">
        <f t="shared" si="86"/>
        <v>0</v>
      </c>
      <c r="S376" s="96">
        <v>23507</v>
      </c>
      <c r="T376" s="117" t="s">
        <v>206</v>
      </c>
      <c r="U376" s="95">
        <v>0</v>
      </c>
      <c r="V376" s="95">
        <v>0</v>
      </c>
      <c r="W376" s="95">
        <v>0</v>
      </c>
      <c r="X376" s="95">
        <v>605226612</v>
      </c>
      <c r="Y376" s="95">
        <v>605226612</v>
      </c>
      <c r="Z376" s="95">
        <v>0</v>
      </c>
      <c r="AA376" s="95">
        <v>0</v>
      </c>
      <c r="AB376" s="120">
        <v>133597541</v>
      </c>
      <c r="AC376" s="95">
        <v>133597541</v>
      </c>
      <c r="AD376" s="95">
        <v>133597541</v>
      </c>
      <c r="AE376" s="120">
        <v>133597541</v>
      </c>
      <c r="AF376" s="95">
        <v>471629071</v>
      </c>
      <c r="AG376" s="95">
        <v>0</v>
      </c>
      <c r="AH376" s="120">
        <v>0</v>
      </c>
      <c r="AI376" s="120">
        <v>0</v>
      </c>
      <c r="AJ376" s="84">
        <v>133597541</v>
      </c>
      <c r="AK376" s="84">
        <v>0</v>
      </c>
      <c r="AL376" s="84">
        <v>177013541</v>
      </c>
      <c r="AM376" s="84">
        <v>177013541</v>
      </c>
      <c r="AN376" s="121">
        <v>177013541</v>
      </c>
      <c r="AO376" s="84">
        <v>43416000</v>
      </c>
      <c r="AP376" s="95">
        <v>428213071</v>
      </c>
      <c r="AQ376" s="84">
        <v>0</v>
      </c>
      <c r="AS376" s="118">
        <f t="shared" si="80"/>
        <v>0</v>
      </c>
    </row>
    <row r="377" spans="1:45" x14ac:dyDescent="0.25">
      <c r="A377" s="132">
        <v>23508</v>
      </c>
      <c r="B377" s="86" t="s">
        <v>207</v>
      </c>
      <c r="C377" s="91">
        <v>0</v>
      </c>
      <c r="D377" s="91">
        <v>0</v>
      </c>
      <c r="E377" s="91">
        <v>0</v>
      </c>
      <c r="F377" s="91">
        <v>658324932</v>
      </c>
      <c r="G377" s="91">
        <f t="shared" si="81"/>
        <v>658324932</v>
      </c>
      <c r="H377" s="91">
        <v>12882000</v>
      </c>
      <c r="I377" s="91">
        <v>35839541</v>
      </c>
      <c r="J377" s="91">
        <f t="shared" si="82"/>
        <v>622485391</v>
      </c>
      <c r="K377" s="91">
        <v>8082000</v>
      </c>
      <c r="L377" s="91">
        <v>31039541</v>
      </c>
      <c r="M377" s="91">
        <f t="shared" si="83"/>
        <v>4800000</v>
      </c>
      <c r="N377" s="91">
        <v>69070141</v>
      </c>
      <c r="O377" s="91">
        <f t="shared" si="84"/>
        <v>33230600</v>
      </c>
      <c r="P377" s="91">
        <f t="shared" si="85"/>
        <v>589254791</v>
      </c>
      <c r="Q377" s="91">
        <f t="shared" si="86"/>
        <v>31039541</v>
      </c>
      <c r="S377" s="96">
        <v>23508</v>
      </c>
      <c r="T377" s="117" t="s">
        <v>207</v>
      </c>
      <c r="U377" s="95">
        <v>0</v>
      </c>
      <c r="V377" s="95">
        <v>0</v>
      </c>
      <c r="W377" s="95">
        <v>0</v>
      </c>
      <c r="X377" s="95">
        <v>658324932</v>
      </c>
      <c r="Y377" s="95">
        <v>658324932</v>
      </c>
      <c r="Z377" s="95">
        <v>0</v>
      </c>
      <c r="AA377" s="95">
        <v>0</v>
      </c>
      <c r="AB377" s="120">
        <v>12882000</v>
      </c>
      <c r="AC377" s="95">
        <v>12882000</v>
      </c>
      <c r="AD377" s="95">
        <v>35839541</v>
      </c>
      <c r="AE377" s="120">
        <v>35839541</v>
      </c>
      <c r="AF377" s="95">
        <v>622485391</v>
      </c>
      <c r="AG377" s="95">
        <v>0</v>
      </c>
      <c r="AH377" s="120">
        <v>8082000</v>
      </c>
      <c r="AI377" s="120">
        <v>31039541</v>
      </c>
      <c r="AJ377" s="84">
        <v>4800000</v>
      </c>
      <c r="AK377" s="84">
        <v>0</v>
      </c>
      <c r="AL377" s="84">
        <v>26700000</v>
      </c>
      <c r="AM377" s="84">
        <v>69070141</v>
      </c>
      <c r="AN377" s="121">
        <v>69070141</v>
      </c>
      <c r="AO377" s="84">
        <v>33230600</v>
      </c>
      <c r="AP377" s="95">
        <v>589254791</v>
      </c>
      <c r="AQ377" s="84">
        <v>0</v>
      </c>
      <c r="AS377" s="118">
        <f t="shared" si="80"/>
        <v>0</v>
      </c>
    </row>
    <row r="378" spans="1:45" x14ac:dyDescent="0.25">
      <c r="A378" s="132">
        <v>23509</v>
      </c>
      <c r="B378" s="86" t="s">
        <v>208</v>
      </c>
      <c r="C378" s="91">
        <v>0</v>
      </c>
      <c r="D378" s="91">
        <v>0</v>
      </c>
      <c r="E378" s="91">
        <v>0</v>
      </c>
      <c r="F378" s="91">
        <v>29204681</v>
      </c>
      <c r="G378" s="91">
        <f t="shared" si="81"/>
        <v>29204681</v>
      </c>
      <c r="H378" s="91">
        <v>6390000</v>
      </c>
      <c r="I378" s="91">
        <v>21856215</v>
      </c>
      <c r="J378" s="91">
        <f t="shared" si="82"/>
        <v>7348466</v>
      </c>
      <c r="K378" s="91">
        <v>12871565</v>
      </c>
      <c r="L378" s="91">
        <v>13856215</v>
      </c>
      <c r="M378" s="91">
        <f t="shared" si="83"/>
        <v>8000000</v>
      </c>
      <c r="N378" s="91">
        <v>25652215</v>
      </c>
      <c r="O378" s="91">
        <f t="shared" si="84"/>
        <v>3796000</v>
      </c>
      <c r="P378" s="91">
        <f t="shared" si="85"/>
        <v>3552466</v>
      </c>
      <c r="Q378" s="91">
        <f t="shared" si="86"/>
        <v>13856215</v>
      </c>
      <c r="S378" s="96">
        <v>23509</v>
      </c>
      <c r="T378" s="117" t="s">
        <v>208</v>
      </c>
      <c r="U378" s="95">
        <v>0</v>
      </c>
      <c r="V378" s="95">
        <v>0</v>
      </c>
      <c r="W378" s="95">
        <v>0</v>
      </c>
      <c r="X378" s="95">
        <v>29204681</v>
      </c>
      <c r="Y378" s="95">
        <v>29204681</v>
      </c>
      <c r="Z378" s="95">
        <v>0</v>
      </c>
      <c r="AA378" s="95">
        <v>0</v>
      </c>
      <c r="AB378" s="120">
        <v>6390000</v>
      </c>
      <c r="AC378" s="95">
        <v>6390000</v>
      </c>
      <c r="AD378" s="95">
        <v>21856215</v>
      </c>
      <c r="AE378" s="120">
        <v>21856215</v>
      </c>
      <c r="AF378" s="95">
        <v>7348466</v>
      </c>
      <c r="AG378" s="95">
        <v>0</v>
      </c>
      <c r="AH378" s="120">
        <v>12871565</v>
      </c>
      <c r="AI378" s="120">
        <v>13856215</v>
      </c>
      <c r="AJ378" s="84">
        <v>8000000</v>
      </c>
      <c r="AK378" s="84">
        <v>0</v>
      </c>
      <c r="AL378" s="84">
        <v>2186000</v>
      </c>
      <c r="AM378" s="84">
        <v>25652215</v>
      </c>
      <c r="AN378" s="121">
        <v>25652215</v>
      </c>
      <c r="AO378" s="84">
        <v>3796000</v>
      </c>
      <c r="AP378" s="95">
        <v>3552466</v>
      </c>
      <c r="AQ378" s="84">
        <v>0</v>
      </c>
      <c r="AS378" s="118">
        <f t="shared" si="80"/>
        <v>0</v>
      </c>
    </row>
    <row r="379" spans="1:45" ht="30" x14ac:dyDescent="0.25">
      <c r="A379" s="132">
        <v>23510</v>
      </c>
      <c r="B379" s="86" t="s">
        <v>209</v>
      </c>
      <c r="C379" s="91">
        <v>0</v>
      </c>
      <c r="D379" s="91">
        <v>0</v>
      </c>
      <c r="E379" s="91">
        <v>0</v>
      </c>
      <c r="F379" s="91">
        <v>66900000</v>
      </c>
      <c r="G379" s="91">
        <f t="shared" si="81"/>
        <v>66900000</v>
      </c>
      <c r="H379" s="91">
        <v>12000000</v>
      </c>
      <c r="I379" s="91">
        <v>12000000</v>
      </c>
      <c r="J379" s="91">
        <f t="shared" si="82"/>
        <v>54900000</v>
      </c>
      <c r="K379" s="91">
        <v>0</v>
      </c>
      <c r="L379" s="91">
        <v>0</v>
      </c>
      <c r="M379" s="91">
        <f t="shared" si="83"/>
        <v>12000000</v>
      </c>
      <c r="N379" s="91">
        <v>53400000</v>
      </c>
      <c r="O379" s="91">
        <f t="shared" si="84"/>
        <v>41400000</v>
      </c>
      <c r="P379" s="91">
        <f t="shared" si="85"/>
        <v>13500000</v>
      </c>
      <c r="Q379" s="91">
        <f t="shared" si="86"/>
        <v>0</v>
      </c>
      <c r="S379" s="96">
        <v>23510</v>
      </c>
      <c r="T379" s="117" t="s">
        <v>209</v>
      </c>
      <c r="U379" s="95">
        <v>0</v>
      </c>
      <c r="V379" s="95">
        <v>0</v>
      </c>
      <c r="W379" s="95">
        <v>0</v>
      </c>
      <c r="X379" s="95">
        <v>66900000</v>
      </c>
      <c r="Y379" s="95">
        <v>66900000</v>
      </c>
      <c r="Z379" s="95">
        <v>0</v>
      </c>
      <c r="AA379" s="95">
        <v>0</v>
      </c>
      <c r="AB379" s="120">
        <v>12000000</v>
      </c>
      <c r="AC379" s="95">
        <v>12000000</v>
      </c>
      <c r="AD379" s="95">
        <v>12000000</v>
      </c>
      <c r="AE379" s="120">
        <v>12000000</v>
      </c>
      <c r="AF379" s="95">
        <v>54900000</v>
      </c>
      <c r="AG379" s="95">
        <v>0</v>
      </c>
      <c r="AH379" s="120">
        <v>0</v>
      </c>
      <c r="AI379" s="120">
        <v>0</v>
      </c>
      <c r="AJ379" s="84">
        <v>12000000</v>
      </c>
      <c r="AK379" s="84">
        <v>0</v>
      </c>
      <c r="AL379" s="84">
        <v>0</v>
      </c>
      <c r="AM379" s="84">
        <v>53400000</v>
      </c>
      <c r="AN379" s="121">
        <v>53400000</v>
      </c>
      <c r="AO379" s="84">
        <v>41400000</v>
      </c>
      <c r="AP379" s="95">
        <v>13500000</v>
      </c>
      <c r="AQ379" s="84">
        <v>0</v>
      </c>
      <c r="AS379" s="118">
        <f t="shared" si="80"/>
        <v>0</v>
      </c>
    </row>
    <row r="380" spans="1:45" x14ac:dyDescent="0.25">
      <c r="A380" s="132">
        <v>23511</v>
      </c>
      <c r="B380" s="86" t="s">
        <v>210</v>
      </c>
      <c r="C380" s="91">
        <v>0</v>
      </c>
      <c r="D380" s="91">
        <v>0</v>
      </c>
      <c r="E380" s="91">
        <v>0</v>
      </c>
      <c r="F380" s="91">
        <v>264556855</v>
      </c>
      <c r="G380" s="91">
        <f t="shared" si="81"/>
        <v>264556855</v>
      </c>
      <c r="H380" s="91">
        <v>77868434</v>
      </c>
      <c r="I380" s="91">
        <v>214998384</v>
      </c>
      <c r="J380" s="91">
        <f t="shared" si="82"/>
        <v>49558471</v>
      </c>
      <c r="K380" s="91">
        <v>56667974</v>
      </c>
      <c r="L380" s="91">
        <v>64829183</v>
      </c>
      <c r="M380" s="91">
        <f t="shared" si="83"/>
        <v>150169201</v>
      </c>
      <c r="N380" s="91">
        <v>264556855</v>
      </c>
      <c r="O380" s="91">
        <f t="shared" si="84"/>
        <v>49558471</v>
      </c>
      <c r="P380" s="91">
        <f t="shared" si="85"/>
        <v>0</v>
      </c>
      <c r="Q380" s="91">
        <f t="shared" si="86"/>
        <v>64829183</v>
      </c>
      <c r="S380" s="96">
        <v>23511</v>
      </c>
      <c r="T380" s="117" t="s">
        <v>210</v>
      </c>
      <c r="U380" s="95">
        <v>0</v>
      </c>
      <c r="V380" s="95">
        <v>0</v>
      </c>
      <c r="W380" s="95">
        <v>0</v>
      </c>
      <c r="X380" s="95">
        <v>264556855</v>
      </c>
      <c r="Y380" s="95">
        <v>264556855</v>
      </c>
      <c r="Z380" s="95">
        <v>0</v>
      </c>
      <c r="AA380" s="95">
        <v>0</v>
      </c>
      <c r="AB380" s="120">
        <v>77868434</v>
      </c>
      <c r="AC380" s="95">
        <v>77868434</v>
      </c>
      <c r="AD380" s="95">
        <v>214998384</v>
      </c>
      <c r="AE380" s="120">
        <v>214998384</v>
      </c>
      <c r="AF380" s="95">
        <v>49558471</v>
      </c>
      <c r="AG380" s="95">
        <v>0</v>
      </c>
      <c r="AH380" s="120">
        <v>56667974</v>
      </c>
      <c r="AI380" s="120">
        <v>64829183</v>
      </c>
      <c r="AJ380" s="84">
        <v>150169201</v>
      </c>
      <c r="AK380" s="84">
        <v>0</v>
      </c>
      <c r="AL380" s="84">
        <v>0</v>
      </c>
      <c r="AM380" s="84">
        <v>264556855</v>
      </c>
      <c r="AN380" s="121">
        <v>264556855</v>
      </c>
      <c r="AO380" s="84">
        <v>49558471</v>
      </c>
      <c r="AP380" s="95">
        <v>0</v>
      </c>
      <c r="AQ380" s="84">
        <v>0</v>
      </c>
      <c r="AS380" s="118">
        <f t="shared" si="80"/>
        <v>0</v>
      </c>
    </row>
    <row r="381" spans="1:45" x14ac:dyDescent="0.25">
      <c r="A381" s="132">
        <v>23512</v>
      </c>
      <c r="B381" s="86" t="s">
        <v>211</v>
      </c>
      <c r="C381" s="91">
        <v>0</v>
      </c>
      <c r="D381" s="91">
        <v>0</v>
      </c>
      <c r="E381" s="91">
        <v>0</v>
      </c>
      <c r="F381" s="91">
        <v>33500000</v>
      </c>
      <c r="G381" s="91">
        <f t="shared" si="81"/>
        <v>33500000</v>
      </c>
      <c r="H381" s="91">
        <v>0</v>
      </c>
      <c r="I381" s="91">
        <v>0</v>
      </c>
      <c r="J381" s="91">
        <f t="shared" si="82"/>
        <v>33500000</v>
      </c>
      <c r="K381" s="91">
        <v>0</v>
      </c>
      <c r="L381" s="91">
        <v>0</v>
      </c>
      <c r="M381" s="91">
        <f t="shared" si="83"/>
        <v>0</v>
      </c>
      <c r="N381" s="91">
        <v>0</v>
      </c>
      <c r="O381" s="91">
        <f t="shared" si="84"/>
        <v>0</v>
      </c>
      <c r="P381" s="91">
        <f t="shared" si="85"/>
        <v>33500000</v>
      </c>
      <c r="Q381" s="91">
        <f t="shared" si="86"/>
        <v>0</v>
      </c>
      <c r="S381" s="96">
        <v>23512</v>
      </c>
      <c r="T381" s="117" t="s">
        <v>211</v>
      </c>
      <c r="U381" s="95">
        <v>0</v>
      </c>
      <c r="V381" s="95">
        <v>0</v>
      </c>
      <c r="W381" s="95">
        <v>0</v>
      </c>
      <c r="X381" s="95">
        <v>33500000</v>
      </c>
      <c r="Y381" s="95">
        <v>33500000</v>
      </c>
      <c r="Z381" s="95">
        <v>0</v>
      </c>
      <c r="AA381" s="95">
        <v>0</v>
      </c>
      <c r="AB381" s="120">
        <v>0</v>
      </c>
      <c r="AC381" s="95">
        <v>0</v>
      </c>
      <c r="AD381" s="95">
        <v>0</v>
      </c>
      <c r="AE381" s="120">
        <v>0</v>
      </c>
      <c r="AF381" s="95">
        <v>33500000</v>
      </c>
      <c r="AG381" s="95">
        <v>0</v>
      </c>
      <c r="AH381" s="120">
        <v>0</v>
      </c>
      <c r="AI381" s="120">
        <v>0</v>
      </c>
      <c r="AJ381" s="84">
        <v>0</v>
      </c>
      <c r="AK381" s="84">
        <v>0</v>
      </c>
      <c r="AL381" s="84">
        <v>0</v>
      </c>
      <c r="AM381" s="84">
        <v>0</v>
      </c>
      <c r="AN381" s="121">
        <v>0</v>
      </c>
      <c r="AO381" s="84">
        <v>0</v>
      </c>
      <c r="AP381" s="95">
        <v>33500000</v>
      </c>
      <c r="AQ381" s="84">
        <v>0</v>
      </c>
      <c r="AS381" s="118">
        <f t="shared" si="80"/>
        <v>0</v>
      </c>
    </row>
    <row r="382" spans="1:45" x14ac:dyDescent="0.25">
      <c r="A382" s="132">
        <v>23513</v>
      </c>
      <c r="B382" s="86" t="s">
        <v>212</v>
      </c>
      <c r="C382" s="91">
        <v>0</v>
      </c>
      <c r="D382" s="91">
        <v>0</v>
      </c>
      <c r="E382" s="91">
        <v>0</v>
      </c>
      <c r="F382" s="91">
        <v>26965898</v>
      </c>
      <c r="G382" s="91">
        <f t="shared" si="81"/>
        <v>26965898</v>
      </c>
      <c r="H382" s="91">
        <v>0</v>
      </c>
      <c r="I382" s="91">
        <v>10465248</v>
      </c>
      <c r="J382" s="91">
        <f t="shared" si="82"/>
        <v>16500650</v>
      </c>
      <c r="K382" s="91">
        <v>0</v>
      </c>
      <c r="L382" s="91">
        <v>0</v>
      </c>
      <c r="M382" s="91">
        <f t="shared" si="83"/>
        <v>10465248</v>
      </c>
      <c r="N382" s="91">
        <v>10465248</v>
      </c>
      <c r="O382" s="91">
        <f t="shared" si="84"/>
        <v>0</v>
      </c>
      <c r="P382" s="91">
        <f t="shared" si="85"/>
        <v>16500650</v>
      </c>
      <c r="Q382" s="91">
        <f t="shared" si="86"/>
        <v>0</v>
      </c>
      <c r="S382" s="96">
        <v>23513</v>
      </c>
      <c r="T382" s="117" t="s">
        <v>212</v>
      </c>
      <c r="U382" s="95">
        <v>0</v>
      </c>
      <c r="V382" s="95">
        <v>0</v>
      </c>
      <c r="W382" s="95">
        <v>0</v>
      </c>
      <c r="X382" s="95">
        <v>26965898</v>
      </c>
      <c r="Y382" s="95">
        <v>26965898</v>
      </c>
      <c r="Z382" s="95">
        <v>0</v>
      </c>
      <c r="AA382" s="95">
        <v>0</v>
      </c>
      <c r="AB382" s="120">
        <v>0</v>
      </c>
      <c r="AC382" s="95">
        <v>0</v>
      </c>
      <c r="AD382" s="95">
        <v>10465248</v>
      </c>
      <c r="AE382" s="120">
        <v>10465248</v>
      </c>
      <c r="AF382" s="95">
        <v>16500650</v>
      </c>
      <c r="AG382" s="95">
        <v>0</v>
      </c>
      <c r="AH382" s="120">
        <v>0</v>
      </c>
      <c r="AI382" s="120">
        <v>0</v>
      </c>
      <c r="AJ382" s="84">
        <v>10465248</v>
      </c>
      <c r="AK382" s="84">
        <v>0</v>
      </c>
      <c r="AL382" s="84">
        <v>0</v>
      </c>
      <c r="AM382" s="84">
        <v>10465248</v>
      </c>
      <c r="AN382" s="121">
        <v>10465248</v>
      </c>
      <c r="AO382" s="84">
        <v>0</v>
      </c>
      <c r="AP382" s="95">
        <v>16500650</v>
      </c>
      <c r="AQ382" s="84">
        <v>0</v>
      </c>
      <c r="AS382" s="118">
        <f t="shared" si="80"/>
        <v>0</v>
      </c>
    </row>
    <row r="383" spans="1:45" x14ac:dyDescent="0.25">
      <c r="A383" s="132">
        <v>23514</v>
      </c>
      <c r="B383" s="86" t="s">
        <v>831</v>
      </c>
      <c r="C383" s="91"/>
      <c r="D383" s="91">
        <v>0</v>
      </c>
      <c r="E383" s="91">
        <v>0</v>
      </c>
      <c r="F383" s="91">
        <v>21144451</v>
      </c>
      <c r="G383" s="91">
        <f t="shared" si="81"/>
        <v>21144451</v>
      </c>
      <c r="H383" s="91">
        <v>0</v>
      </c>
      <c r="I383" s="91">
        <v>0</v>
      </c>
      <c r="J383" s="91"/>
      <c r="K383" s="91">
        <v>0</v>
      </c>
      <c r="L383" s="91">
        <v>0</v>
      </c>
      <c r="M383" s="91"/>
      <c r="N383" s="91">
        <v>0</v>
      </c>
      <c r="O383" s="91"/>
      <c r="P383" s="91"/>
      <c r="Q383" s="91"/>
      <c r="S383" s="96">
        <v>23514</v>
      </c>
      <c r="T383" s="117" t="s">
        <v>831</v>
      </c>
      <c r="U383" s="95">
        <v>0</v>
      </c>
      <c r="V383" s="95">
        <v>0</v>
      </c>
      <c r="W383" s="95">
        <v>0</v>
      </c>
      <c r="X383" s="95">
        <v>21144451</v>
      </c>
      <c r="Y383" s="95">
        <v>21144451</v>
      </c>
      <c r="Z383" s="95">
        <v>0</v>
      </c>
      <c r="AA383" s="95">
        <v>0</v>
      </c>
      <c r="AB383" s="120">
        <v>0</v>
      </c>
      <c r="AC383" s="95">
        <v>0</v>
      </c>
      <c r="AD383" s="95">
        <v>0</v>
      </c>
      <c r="AE383" s="120">
        <v>0</v>
      </c>
      <c r="AF383" s="95">
        <v>21144451</v>
      </c>
      <c r="AG383" s="95">
        <v>0</v>
      </c>
      <c r="AH383" s="120">
        <v>0</v>
      </c>
      <c r="AI383" s="120">
        <v>0</v>
      </c>
      <c r="AJ383" s="84">
        <v>0</v>
      </c>
      <c r="AK383" s="84">
        <v>0</v>
      </c>
      <c r="AL383" s="84">
        <v>0</v>
      </c>
      <c r="AM383" s="84">
        <v>0</v>
      </c>
      <c r="AN383" s="121">
        <v>0</v>
      </c>
      <c r="AO383" s="84">
        <v>0</v>
      </c>
      <c r="AP383" s="95">
        <v>21144451</v>
      </c>
      <c r="AQ383" s="84">
        <v>0</v>
      </c>
      <c r="AS383" s="118">
        <f t="shared" si="80"/>
        <v>0</v>
      </c>
    </row>
    <row r="384" spans="1:45" x14ac:dyDescent="0.25">
      <c r="A384" s="131">
        <v>23517</v>
      </c>
      <c r="B384" s="86" t="s">
        <v>841</v>
      </c>
      <c r="C384" s="91">
        <v>0</v>
      </c>
      <c r="D384" s="91">
        <v>821400131</v>
      </c>
      <c r="E384" s="91">
        <v>0</v>
      </c>
      <c r="F384" s="91">
        <v>0</v>
      </c>
      <c r="G384" s="91">
        <f t="shared" si="81"/>
        <v>821400131</v>
      </c>
      <c r="H384" s="91">
        <v>0</v>
      </c>
      <c r="I384" s="91">
        <v>0</v>
      </c>
      <c r="J384" s="91">
        <f t="shared" si="82"/>
        <v>821400131</v>
      </c>
      <c r="K384" s="91">
        <v>0</v>
      </c>
      <c r="L384" s="91">
        <v>0</v>
      </c>
      <c r="M384" s="91">
        <f t="shared" si="83"/>
        <v>0</v>
      </c>
      <c r="N384" s="91">
        <v>0</v>
      </c>
      <c r="O384" s="91">
        <f t="shared" si="84"/>
        <v>0</v>
      </c>
      <c r="P384" s="91">
        <f t="shared" si="85"/>
        <v>821400131</v>
      </c>
      <c r="Q384" s="91">
        <f t="shared" si="86"/>
        <v>0</v>
      </c>
      <c r="S384" s="96">
        <v>23517</v>
      </c>
      <c r="T384" s="117" t="s">
        <v>213</v>
      </c>
      <c r="U384" s="95">
        <v>0</v>
      </c>
      <c r="V384" s="95">
        <v>821400131</v>
      </c>
      <c r="W384" s="95">
        <v>0</v>
      </c>
      <c r="X384" s="95">
        <v>0</v>
      </c>
      <c r="Y384" s="95">
        <v>821400131</v>
      </c>
      <c r="Z384" s="95">
        <v>0</v>
      </c>
      <c r="AA384" s="95">
        <v>0</v>
      </c>
      <c r="AB384" s="120">
        <v>0</v>
      </c>
      <c r="AC384" s="95">
        <v>0</v>
      </c>
      <c r="AD384" s="95">
        <v>0</v>
      </c>
      <c r="AE384" s="120">
        <v>0</v>
      </c>
      <c r="AF384" s="95">
        <v>821400131</v>
      </c>
      <c r="AG384" s="95">
        <v>0</v>
      </c>
      <c r="AH384" s="120">
        <v>0</v>
      </c>
      <c r="AI384" s="120">
        <v>0</v>
      </c>
      <c r="AJ384" s="84">
        <v>0</v>
      </c>
      <c r="AK384" s="84">
        <v>0</v>
      </c>
      <c r="AL384" s="84">
        <v>0</v>
      </c>
      <c r="AM384" s="84">
        <v>0</v>
      </c>
      <c r="AN384" s="121">
        <v>0</v>
      </c>
      <c r="AO384" s="84">
        <v>0</v>
      </c>
      <c r="AP384" s="95">
        <v>821400131</v>
      </c>
      <c r="AQ384" s="84">
        <v>0</v>
      </c>
      <c r="AS384" s="118">
        <f t="shared" si="80"/>
        <v>0</v>
      </c>
    </row>
    <row r="385" spans="1:45" x14ac:dyDescent="0.25">
      <c r="A385" s="131">
        <v>23518</v>
      </c>
      <c r="B385" s="86" t="s">
        <v>840</v>
      </c>
      <c r="C385" s="91">
        <v>0</v>
      </c>
      <c r="D385" s="91">
        <v>712412336.89999998</v>
      </c>
      <c r="E385" s="91">
        <v>0</v>
      </c>
      <c r="F385" s="91">
        <v>0</v>
      </c>
      <c r="G385" s="91">
        <f t="shared" si="81"/>
        <v>712412336.89999998</v>
      </c>
      <c r="H385" s="91">
        <v>20325617</v>
      </c>
      <c r="I385" s="91">
        <v>20325617</v>
      </c>
      <c r="J385" s="91">
        <f t="shared" si="82"/>
        <v>692086719.89999998</v>
      </c>
      <c r="K385" s="91">
        <v>0</v>
      </c>
      <c r="L385" s="91">
        <v>0</v>
      </c>
      <c r="M385" s="91">
        <f t="shared" si="83"/>
        <v>20325617</v>
      </c>
      <c r="N385" s="91">
        <v>20328917</v>
      </c>
      <c r="O385" s="91">
        <f t="shared" si="84"/>
        <v>3300</v>
      </c>
      <c r="P385" s="91">
        <f t="shared" si="85"/>
        <v>692083419.89999998</v>
      </c>
      <c r="Q385" s="91">
        <f t="shared" si="86"/>
        <v>0</v>
      </c>
      <c r="S385" s="96">
        <v>23518</v>
      </c>
      <c r="T385" s="117" t="s">
        <v>214</v>
      </c>
      <c r="U385" s="95">
        <v>0</v>
      </c>
      <c r="V385" s="95">
        <v>712412336.89999998</v>
      </c>
      <c r="W385" s="95">
        <v>0</v>
      </c>
      <c r="X385" s="95">
        <v>0</v>
      </c>
      <c r="Y385" s="95">
        <v>712412336.89999998</v>
      </c>
      <c r="Z385" s="95">
        <v>0</v>
      </c>
      <c r="AA385" s="95">
        <v>0</v>
      </c>
      <c r="AB385" s="120">
        <v>20325617</v>
      </c>
      <c r="AC385" s="95">
        <v>20325617</v>
      </c>
      <c r="AD385" s="95">
        <v>20325617</v>
      </c>
      <c r="AE385" s="120">
        <v>20325617</v>
      </c>
      <c r="AF385" s="95">
        <v>692086719.89999998</v>
      </c>
      <c r="AG385" s="95">
        <v>0</v>
      </c>
      <c r="AH385" s="120">
        <v>0</v>
      </c>
      <c r="AI385" s="120">
        <v>0</v>
      </c>
      <c r="AJ385" s="84">
        <v>20325617</v>
      </c>
      <c r="AK385" s="84">
        <v>913000</v>
      </c>
      <c r="AL385" s="84">
        <v>0</v>
      </c>
      <c r="AM385" s="84">
        <v>21241917</v>
      </c>
      <c r="AN385" s="121">
        <v>20328917</v>
      </c>
      <c r="AO385" s="84">
        <v>3300</v>
      </c>
      <c r="AP385" s="95">
        <v>692083419.89999998</v>
      </c>
      <c r="AQ385" s="84">
        <v>0</v>
      </c>
      <c r="AS385" s="118">
        <f t="shared" si="80"/>
        <v>0</v>
      </c>
    </row>
    <row r="386" spans="1:45" x14ac:dyDescent="0.25">
      <c r="A386" s="131">
        <v>23519</v>
      </c>
      <c r="B386" s="86" t="s">
        <v>842</v>
      </c>
      <c r="C386" s="91">
        <v>0</v>
      </c>
      <c r="D386" s="91">
        <v>200000000</v>
      </c>
      <c r="E386" s="91">
        <v>0</v>
      </c>
      <c r="F386" s="91">
        <v>0</v>
      </c>
      <c r="G386" s="91">
        <f t="shared" si="81"/>
        <v>200000000</v>
      </c>
      <c r="H386" s="91">
        <v>0</v>
      </c>
      <c r="I386" s="91">
        <v>0</v>
      </c>
      <c r="J386" s="91">
        <f t="shared" si="82"/>
        <v>200000000</v>
      </c>
      <c r="K386" s="91">
        <v>0</v>
      </c>
      <c r="L386" s="91">
        <v>0</v>
      </c>
      <c r="M386" s="91">
        <f t="shared" si="83"/>
        <v>0</v>
      </c>
      <c r="N386" s="91">
        <v>0</v>
      </c>
      <c r="O386" s="91">
        <f t="shared" si="84"/>
        <v>0</v>
      </c>
      <c r="P386" s="91">
        <f t="shared" si="85"/>
        <v>200000000</v>
      </c>
      <c r="Q386" s="91">
        <f t="shared" si="86"/>
        <v>0</v>
      </c>
      <c r="S386" s="96">
        <v>23519</v>
      </c>
      <c r="T386" s="117" t="s">
        <v>215</v>
      </c>
      <c r="U386" s="95">
        <v>0</v>
      </c>
      <c r="V386" s="95">
        <v>200000000</v>
      </c>
      <c r="W386" s="95">
        <v>0</v>
      </c>
      <c r="X386" s="95">
        <v>0</v>
      </c>
      <c r="Y386" s="95">
        <v>200000000</v>
      </c>
      <c r="Z386" s="95">
        <v>0</v>
      </c>
      <c r="AA386" s="95">
        <v>0</v>
      </c>
      <c r="AB386" s="120">
        <v>0</v>
      </c>
      <c r="AC386" s="95">
        <v>0</v>
      </c>
      <c r="AD386" s="95">
        <v>0</v>
      </c>
      <c r="AE386" s="120">
        <v>0</v>
      </c>
      <c r="AF386" s="95">
        <v>200000000</v>
      </c>
      <c r="AG386" s="95">
        <v>0</v>
      </c>
      <c r="AH386" s="120">
        <v>0</v>
      </c>
      <c r="AI386" s="120">
        <v>0</v>
      </c>
      <c r="AJ386" s="84">
        <v>0</v>
      </c>
      <c r="AK386" s="84">
        <v>0</v>
      </c>
      <c r="AL386" s="84">
        <v>0</v>
      </c>
      <c r="AM386" s="84">
        <v>0</v>
      </c>
      <c r="AN386" s="121">
        <v>0</v>
      </c>
      <c r="AO386" s="84">
        <v>0</v>
      </c>
      <c r="AP386" s="95">
        <v>200000000</v>
      </c>
      <c r="AQ386" s="84">
        <v>0</v>
      </c>
      <c r="AS386" s="118">
        <f t="shared" si="80"/>
        <v>0</v>
      </c>
    </row>
    <row r="387" spans="1:45" x14ac:dyDescent="0.25">
      <c r="A387" s="131">
        <v>23520</v>
      </c>
      <c r="B387" s="86" t="s">
        <v>843</v>
      </c>
      <c r="C387" s="91">
        <v>0</v>
      </c>
      <c r="D387" s="91">
        <v>48756553.100000001</v>
      </c>
      <c r="E387" s="91">
        <v>0</v>
      </c>
      <c r="F387" s="91">
        <v>0</v>
      </c>
      <c r="G387" s="91">
        <f t="shared" si="81"/>
        <v>48756553.100000001</v>
      </c>
      <c r="H387" s="91">
        <v>0</v>
      </c>
      <c r="I387" s="91">
        <v>48756553.100000001</v>
      </c>
      <c r="J387" s="91">
        <f t="shared" si="82"/>
        <v>0</v>
      </c>
      <c r="K387" s="91">
        <v>0</v>
      </c>
      <c r="L387" s="91">
        <v>0</v>
      </c>
      <c r="M387" s="91">
        <f t="shared" si="83"/>
        <v>48756553.100000001</v>
      </c>
      <c r="N387" s="91">
        <v>48756553.100000001</v>
      </c>
      <c r="O387" s="91">
        <f t="shared" si="84"/>
        <v>0</v>
      </c>
      <c r="P387" s="91">
        <f t="shared" si="85"/>
        <v>0</v>
      </c>
      <c r="Q387" s="91">
        <f t="shared" si="86"/>
        <v>0</v>
      </c>
      <c r="S387" s="96">
        <v>23520</v>
      </c>
      <c r="T387" s="117" t="s">
        <v>216</v>
      </c>
      <c r="U387" s="95">
        <v>0</v>
      </c>
      <c r="V387" s="95">
        <v>48756553.100000001</v>
      </c>
      <c r="W387" s="95">
        <v>0</v>
      </c>
      <c r="X387" s="95">
        <v>0</v>
      </c>
      <c r="Y387" s="95">
        <v>48756553.100000001</v>
      </c>
      <c r="Z387" s="95">
        <v>0</v>
      </c>
      <c r="AA387" s="95">
        <v>0</v>
      </c>
      <c r="AB387" s="120">
        <v>0</v>
      </c>
      <c r="AC387" s="95">
        <v>0</v>
      </c>
      <c r="AD387" s="95">
        <v>48756553.100000001</v>
      </c>
      <c r="AE387" s="120">
        <v>48756553.100000001</v>
      </c>
      <c r="AF387" s="95">
        <v>0</v>
      </c>
      <c r="AG387" s="95">
        <v>0</v>
      </c>
      <c r="AH387" s="120">
        <v>0</v>
      </c>
      <c r="AI387" s="120">
        <v>0</v>
      </c>
      <c r="AJ387" s="84">
        <v>48756553.100000001</v>
      </c>
      <c r="AK387" s="84">
        <v>0</v>
      </c>
      <c r="AL387" s="84">
        <v>0</v>
      </c>
      <c r="AM387" s="84">
        <v>48756553.100000001</v>
      </c>
      <c r="AN387" s="121">
        <v>48756553.100000001</v>
      </c>
      <c r="AO387" s="84">
        <v>0</v>
      </c>
      <c r="AP387" s="95">
        <v>0</v>
      </c>
      <c r="AQ387" s="84">
        <v>0</v>
      </c>
      <c r="AS387" s="118">
        <f t="shared" si="80"/>
        <v>0</v>
      </c>
    </row>
    <row r="388" spans="1:45" x14ac:dyDescent="0.25">
      <c r="A388" s="131">
        <v>23521</v>
      </c>
      <c r="B388" s="86" t="s">
        <v>844</v>
      </c>
      <c r="C388" s="91">
        <v>0</v>
      </c>
      <c r="D388" s="91">
        <v>400000000</v>
      </c>
      <c r="E388" s="91">
        <v>0</v>
      </c>
      <c r="F388" s="91">
        <v>0</v>
      </c>
      <c r="G388" s="91">
        <f t="shared" si="81"/>
        <v>400000000</v>
      </c>
      <c r="H388" s="91">
        <v>318998061.83999997</v>
      </c>
      <c r="I388" s="91">
        <v>318998061.83999997</v>
      </c>
      <c r="J388" s="91">
        <f t="shared" si="82"/>
        <v>81001938.160000026</v>
      </c>
      <c r="K388" s="91">
        <v>0</v>
      </c>
      <c r="L388" s="91">
        <v>0</v>
      </c>
      <c r="M388" s="91">
        <f t="shared" si="83"/>
        <v>318998061.83999997</v>
      </c>
      <c r="N388" s="91">
        <v>400000000</v>
      </c>
      <c r="O388" s="91">
        <f t="shared" si="84"/>
        <v>81001938.160000026</v>
      </c>
      <c r="P388" s="91">
        <f t="shared" si="85"/>
        <v>0</v>
      </c>
      <c r="Q388" s="91">
        <f t="shared" si="86"/>
        <v>0</v>
      </c>
      <c r="S388" s="96">
        <v>23521</v>
      </c>
      <c r="T388" s="117" t="s">
        <v>217</v>
      </c>
      <c r="U388" s="95">
        <v>0</v>
      </c>
      <c r="V388" s="95">
        <v>400000000</v>
      </c>
      <c r="W388" s="95">
        <v>0</v>
      </c>
      <c r="X388" s="95">
        <v>0</v>
      </c>
      <c r="Y388" s="95">
        <v>400000000</v>
      </c>
      <c r="Z388" s="95">
        <v>0</v>
      </c>
      <c r="AA388" s="95">
        <v>0</v>
      </c>
      <c r="AB388" s="120">
        <v>318998061.83999997</v>
      </c>
      <c r="AC388" s="95">
        <v>318998061.83999997</v>
      </c>
      <c r="AD388" s="95">
        <v>318998061.83999997</v>
      </c>
      <c r="AE388" s="120">
        <v>318998061.83999997</v>
      </c>
      <c r="AF388" s="95">
        <v>81001938.160000026</v>
      </c>
      <c r="AG388" s="95">
        <v>0</v>
      </c>
      <c r="AH388" s="120">
        <v>0</v>
      </c>
      <c r="AI388" s="120">
        <v>0</v>
      </c>
      <c r="AJ388" s="84">
        <v>318998061.83999997</v>
      </c>
      <c r="AK388" s="84">
        <v>0</v>
      </c>
      <c r="AL388" s="84">
        <v>0</v>
      </c>
      <c r="AM388" s="84">
        <v>400000000</v>
      </c>
      <c r="AN388" s="121">
        <v>400000000</v>
      </c>
      <c r="AO388" s="84">
        <v>81001938.160000026</v>
      </c>
      <c r="AP388" s="95">
        <v>0</v>
      </c>
      <c r="AQ388" s="84">
        <v>0</v>
      </c>
      <c r="AS388" s="118">
        <f t="shared" si="80"/>
        <v>0</v>
      </c>
    </row>
    <row r="389" spans="1:45" x14ac:dyDescent="0.25">
      <c r="A389" s="131">
        <v>23522</v>
      </c>
      <c r="B389" s="86" t="s">
        <v>845</v>
      </c>
      <c r="C389" s="91">
        <v>0</v>
      </c>
      <c r="D389" s="91">
        <v>2505552556</v>
      </c>
      <c r="E389" s="91">
        <v>0</v>
      </c>
      <c r="F389" s="91">
        <v>0</v>
      </c>
      <c r="G389" s="91">
        <f t="shared" si="81"/>
        <v>2505552556</v>
      </c>
      <c r="H389" s="91">
        <v>0</v>
      </c>
      <c r="I389" s="91">
        <v>0</v>
      </c>
      <c r="J389" s="91">
        <f t="shared" si="82"/>
        <v>2505552556</v>
      </c>
      <c r="K389" s="91">
        <v>0</v>
      </c>
      <c r="L389" s="91">
        <v>0</v>
      </c>
      <c r="M389" s="91">
        <f t="shared" si="83"/>
        <v>0</v>
      </c>
      <c r="N389" s="91">
        <v>0</v>
      </c>
      <c r="O389" s="91">
        <f t="shared" si="84"/>
        <v>0</v>
      </c>
      <c r="P389" s="91">
        <f t="shared" si="85"/>
        <v>2505552556</v>
      </c>
      <c r="Q389" s="91">
        <f t="shared" si="86"/>
        <v>0</v>
      </c>
      <c r="S389" s="96">
        <v>23522</v>
      </c>
      <c r="T389" s="117" t="s">
        <v>218</v>
      </c>
      <c r="U389" s="95">
        <v>0</v>
      </c>
      <c r="V389" s="95">
        <v>2505552556</v>
      </c>
      <c r="W389" s="95">
        <v>0</v>
      </c>
      <c r="X389" s="95">
        <v>0</v>
      </c>
      <c r="Y389" s="95">
        <v>2505552556</v>
      </c>
      <c r="Z389" s="95">
        <v>0</v>
      </c>
      <c r="AA389" s="95">
        <v>0</v>
      </c>
      <c r="AB389" s="120">
        <v>0</v>
      </c>
      <c r="AC389" s="95">
        <v>0</v>
      </c>
      <c r="AD389" s="95">
        <v>0</v>
      </c>
      <c r="AE389" s="120">
        <v>0</v>
      </c>
      <c r="AF389" s="95">
        <v>2505552556</v>
      </c>
      <c r="AG389" s="95">
        <v>0</v>
      </c>
      <c r="AH389" s="120">
        <v>0</v>
      </c>
      <c r="AI389" s="120">
        <v>0</v>
      </c>
      <c r="AJ389" s="84">
        <v>0</v>
      </c>
      <c r="AK389" s="84">
        <v>0</v>
      </c>
      <c r="AL389" s="84">
        <v>0</v>
      </c>
      <c r="AM389" s="84">
        <v>0</v>
      </c>
      <c r="AN389" s="121">
        <v>0</v>
      </c>
      <c r="AO389" s="84">
        <v>0</v>
      </c>
      <c r="AP389" s="95">
        <v>2505552556</v>
      </c>
      <c r="AQ389" s="84">
        <v>0</v>
      </c>
      <c r="AS389" s="118">
        <f t="shared" si="80"/>
        <v>0</v>
      </c>
    </row>
    <row r="390" spans="1:45" x14ac:dyDescent="0.25">
      <c r="A390" s="131">
        <v>23523</v>
      </c>
      <c r="B390" s="86" t="s">
        <v>846</v>
      </c>
      <c r="C390" s="91">
        <v>0</v>
      </c>
      <c r="D390" s="91">
        <v>178599869</v>
      </c>
      <c r="E390" s="91">
        <v>0</v>
      </c>
      <c r="F390" s="91">
        <v>0</v>
      </c>
      <c r="G390" s="91">
        <f t="shared" si="81"/>
        <v>178599869</v>
      </c>
      <c r="H390" s="91">
        <v>0</v>
      </c>
      <c r="I390" s="91">
        <v>0</v>
      </c>
      <c r="J390" s="91">
        <f t="shared" si="82"/>
        <v>178599869</v>
      </c>
      <c r="K390" s="91">
        <v>0</v>
      </c>
      <c r="L390" s="91">
        <v>0</v>
      </c>
      <c r="M390" s="91">
        <f t="shared" si="83"/>
        <v>0</v>
      </c>
      <c r="N390" s="91">
        <v>0</v>
      </c>
      <c r="O390" s="91">
        <f t="shared" si="84"/>
        <v>0</v>
      </c>
      <c r="P390" s="91">
        <f t="shared" si="85"/>
        <v>178599869</v>
      </c>
      <c r="Q390" s="91">
        <f t="shared" si="86"/>
        <v>0</v>
      </c>
      <c r="S390" s="96">
        <v>23523</v>
      </c>
      <c r="T390" s="117" t="s">
        <v>219</v>
      </c>
      <c r="U390" s="95">
        <v>0</v>
      </c>
      <c r="V390" s="95">
        <v>178599869</v>
      </c>
      <c r="W390" s="95">
        <v>0</v>
      </c>
      <c r="X390" s="95">
        <v>0</v>
      </c>
      <c r="Y390" s="95">
        <v>178599869</v>
      </c>
      <c r="Z390" s="95">
        <v>0</v>
      </c>
      <c r="AA390" s="95">
        <v>0</v>
      </c>
      <c r="AB390" s="120">
        <v>0</v>
      </c>
      <c r="AC390" s="95">
        <v>0</v>
      </c>
      <c r="AD390" s="95">
        <v>0</v>
      </c>
      <c r="AE390" s="120">
        <v>0</v>
      </c>
      <c r="AF390" s="95">
        <v>178599869</v>
      </c>
      <c r="AG390" s="95">
        <v>0</v>
      </c>
      <c r="AH390" s="120">
        <v>0</v>
      </c>
      <c r="AI390" s="120">
        <v>0</v>
      </c>
      <c r="AJ390" s="84">
        <v>0</v>
      </c>
      <c r="AK390" s="84">
        <v>0</v>
      </c>
      <c r="AL390" s="84">
        <v>0</v>
      </c>
      <c r="AM390" s="84">
        <v>0</v>
      </c>
      <c r="AN390" s="121">
        <v>0</v>
      </c>
      <c r="AO390" s="84">
        <v>0</v>
      </c>
      <c r="AP390" s="95">
        <v>178599869</v>
      </c>
      <c r="AQ390" s="84">
        <v>0</v>
      </c>
      <c r="AS390" s="118">
        <f t="shared" si="80"/>
        <v>0</v>
      </c>
    </row>
    <row r="391" spans="1:45" x14ac:dyDescent="0.25">
      <c r="A391" s="132">
        <v>23524</v>
      </c>
      <c r="B391" s="86" t="s">
        <v>832</v>
      </c>
      <c r="C391" s="91"/>
      <c r="D391" s="91">
        <v>0</v>
      </c>
      <c r="E391" s="91">
        <v>0</v>
      </c>
      <c r="F391" s="91">
        <v>38594282.009999998</v>
      </c>
      <c r="G391" s="91">
        <f t="shared" si="81"/>
        <v>38594282.009999998</v>
      </c>
      <c r="H391" s="91">
        <v>0</v>
      </c>
      <c r="I391" s="91">
        <v>0</v>
      </c>
      <c r="J391" s="91"/>
      <c r="K391" s="91">
        <v>0</v>
      </c>
      <c r="L391" s="91">
        <v>0</v>
      </c>
      <c r="M391" s="91"/>
      <c r="N391" s="91">
        <v>0</v>
      </c>
      <c r="O391" s="91"/>
      <c r="P391" s="91"/>
      <c r="Q391" s="91"/>
      <c r="S391" s="96">
        <v>23524</v>
      </c>
      <c r="T391" s="117" t="s">
        <v>832</v>
      </c>
      <c r="U391" s="95">
        <v>0</v>
      </c>
      <c r="V391" s="95">
        <v>0</v>
      </c>
      <c r="W391" s="95">
        <v>0</v>
      </c>
      <c r="X391" s="95">
        <v>38594282.009999998</v>
      </c>
      <c r="Y391" s="95">
        <v>38594282.009999998</v>
      </c>
      <c r="Z391" s="95">
        <v>0</v>
      </c>
      <c r="AA391" s="95">
        <v>0</v>
      </c>
      <c r="AB391" s="120">
        <v>0</v>
      </c>
      <c r="AC391" s="95">
        <v>0</v>
      </c>
      <c r="AD391" s="95">
        <v>0</v>
      </c>
      <c r="AE391" s="120">
        <v>0</v>
      </c>
      <c r="AF391" s="95">
        <v>38594282.009999998</v>
      </c>
      <c r="AG391" s="95">
        <v>0</v>
      </c>
      <c r="AH391" s="120">
        <v>0</v>
      </c>
      <c r="AI391" s="120">
        <v>0</v>
      </c>
      <c r="AJ391" s="84">
        <v>0</v>
      </c>
      <c r="AK391" s="84">
        <v>0</v>
      </c>
      <c r="AL391" s="84">
        <v>0</v>
      </c>
      <c r="AM391" s="84">
        <v>0</v>
      </c>
      <c r="AN391" s="121">
        <v>0</v>
      </c>
      <c r="AO391" s="84">
        <v>0</v>
      </c>
      <c r="AP391" s="95">
        <v>38594282.009999998</v>
      </c>
      <c r="AQ391" s="84">
        <v>0</v>
      </c>
      <c r="AS391" s="118">
        <f t="shared" ref="AS391:AS398" si="87">+E391-W391</f>
        <v>0</v>
      </c>
    </row>
    <row r="392" spans="1:45" x14ac:dyDescent="0.25">
      <c r="A392" s="132">
        <v>23525</v>
      </c>
      <c r="B392" s="86" t="s">
        <v>833</v>
      </c>
      <c r="C392" s="91"/>
      <c r="D392" s="91">
        <v>0</v>
      </c>
      <c r="E392" s="91">
        <v>0</v>
      </c>
      <c r="F392" s="91">
        <v>118102197.2</v>
      </c>
      <c r="G392" s="91">
        <f t="shared" si="81"/>
        <v>118102197.2</v>
      </c>
      <c r="H392" s="91">
        <v>0</v>
      </c>
      <c r="I392" s="91">
        <v>0</v>
      </c>
      <c r="J392" s="91"/>
      <c r="K392" s="91">
        <v>0</v>
      </c>
      <c r="L392" s="91">
        <v>0</v>
      </c>
      <c r="M392" s="91"/>
      <c r="N392" s="91">
        <v>800000</v>
      </c>
      <c r="O392" s="91"/>
      <c r="P392" s="91"/>
      <c r="Q392" s="91"/>
      <c r="S392" s="96">
        <v>23525</v>
      </c>
      <c r="T392" s="117" t="s">
        <v>833</v>
      </c>
      <c r="U392" s="95">
        <v>0</v>
      </c>
      <c r="V392" s="95">
        <v>0</v>
      </c>
      <c r="W392" s="95">
        <v>0</v>
      </c>
      <c r="X392" s="95">
        <v>118102197.2</v>
      </c>
      <c r="Y392" s="95">
        <v>118102197.2</v>
      </c>
      <c r="Z392" s="95">
        <v>0</v>
      </c>
      <c r="AA392" s="95">
        <v>0</v>
      </c>
      <c r="AB392" s="120">
        <v>0</v>
      </c>
      <c r="AC392" s="95">
        <v>0</v>
      </c>
      <c r="AD392" s="95">
        <v>0</v>
      </c>
      <c r="AE392" s="120">
        <v>0</v>
      </c>
      <c r="AF392" s="95">
        <v>118102197.2</v>
      </c>
      <c r="AG392" s="95">
        <v>0</v>
      </c>
      <c r="AH392" s="120">
        <v>0</v>
      </c>
      <c r="AI392" s="120">
        <v>0</v>
      </c>
      <c r="AJ392" s="84">
        <v>0</v>
      </c>
      <c r="AK392" s="84">
        <v>0</v>
      </c>
      <c r="AL392" s="84">
        <v>800000</v>
      </c>
      <c r="AM392" s="84">
        <v>800000</v>
      </c>
      <c r="AN392" s="121">
        <v>800000</v>
      </c>
      <c r="AO392" s="84">
        <v>800000</v>
      </c>
      <c r="AP392" s="95">
        <v>117302197.2</v>
      </c>
      <c r="AQ392" s="84">
        <v>0</v>
      </c>
      <c r="AS392" s="118">
        <f t="shared" si="87"/>
        <v>0</v>
      </c>
    </row>
    <row r="393" spans="1:45" x14ac:dyDescent="0.25">
      <c r="A393" s="132">
        <v>23526</v>
      </c>
      <c r="B393" s="86" t="s">
        <v>834</v>
      </c>
      <c r="C393" s="91"/>
      <c r="D393" s="91">
        <v>0</v>
      </c>
      <c r="E393" s="91">
        <v>0</v>
      </c>
      <c r="F393" s="91">
        <v>41560320.609999999</v>
      </c>
      <c r="G393" s="91">
        <f t="shared" si="81"/>
        <v>41560320.609999999</v>
      </c>
      <c r="H393" s="91">
        <v>0</v>
      </c>
      <c r="I393" s="91">
        <v>0</v>
      </c>
      <c r="J393" s="91"/>
      <c r="K393" s="91">
        <v>0</v>
      </c>
      <c r="L393" s="91">
        <v>0</v>
      </c>
      <c r="M393" s="91"/>
      <c r="N393" s="91">
        <v>0</v>
      </c>
      <c r="O393" s="91"/>
      <c r="P393" s="91"/>
      <c r="Q393" s="91"/>
      <c r="S393" s="96">
        <v>23526</v>
      </c>
      <c r="T393" s="117" t="s">
        <v>834</v>
      </c>
      <c r="U393" s="95">
        <v>0</v>
      </c>
      <c r="V393" s="95">
        <v>0</v>
      </c>
      <c r="W393" s="95">
        <v>0</v>
      </c>
      <c r="X393" s="95">
        <v>41560320.609999999</v>
      </c>
      <c r="Y393" s="95">
        <v>41560320.609999999</v>
      </c>
      <c r="Z393" s="95">
        <v>0</v>
      </c>
      <c r="AA393" s="95">
        <v>0</v>
      </c>
      <c r="AB393" s="120">
        <v>0</v>
      </c>
      <c r="AC393" s="95">
        <v>0</v>
      </c>
      <c r="AD393" s="95">
        <v>0</v>
      </c>
      <c r="AE393" s="120">
        <v>0</v>
      </c>
      <c r="AF393" s="95">
        <v>41560320.609999999</v>
      </c>
      <c r="AG393" s="95">
        <v>0</v>
      </c>
      <c r="AH393" s="120">
        <v>0</v>
      </c>
      <c r="AI393" s="120">
        <v>0</v>
      </c>
      <c r="AJ393" s="84">
        <v>0</v>
      </c>
      <c r="AK393" s="84">
        <v>0</v>
      </c>
      <c r="AL393" s="84">
        <v>0</v>
      </c>
      <c r="AM393" s="84">
        <v>0</v>
      </c>
      <c r="AN393" s="121">
        <v>0</v>
      </c>
      <c r="AO393" s="84">
        <v>0</v>
      </c>
      <c r="AP393" s="95">
        <v>41560320.609999999</v>
      </c>
      <c r="AQ393" s="84">
        <v>0</v>
      </c>
      <c r="AS393" s="118">
        <f t="shared" si="87"/>
        <v>0</v>
      </c>
    </row>
    <row r="394" spans="1:45" x14ac:dyDescent="0.25">
      <c r="A394" s="132">
        <v>23527</v>
      </c>
      <c r="B394" s="86" t="s">
        <v>835</v>
      </c>
      <c r="C394" s="91"/>
      <c r="D394" s="91">
        <v>0</v>
      </c>
      <c r="E394" s="91">
        <v>0</v>
      </c>
      <c r="F394" s="91">
        <v>114572114.70999999</v>
      </c>
      <c r="G394" s="91">
        <f t="shared" si="81"/>
        <v>114572114.70999999</v>
      </c>
      <c r="H394" s="91">
        <v>1525550</v>
      </c>
      <c r="I394" s="91">
        <v>1525550</v>
      </c>
      <c r="J394" s="91"/>
      <c r="K394" s="91">
        <v>1525550</v>
      </c>
      <c r="L394" s="91">
        <v>1525550</v>
      </c>
      <c r="M394" s="91"/>
      <c r="N394" s="91">
        <v>1579650</v>
      </c>
      <c r="O394" s="91"/>
      <c r="P394" s="91"/>
      <c r="Q394" s="91"/>
      <c r="S394" s="96">
        <v>23527</v>
      </c>
      <c r="T394" s="117" t="s">
        <v>835</v>
      </c>
      <c r="U394" s="95">
        <v>0</v>
      </c>
      <c r="V394" s="95">
        <v>0</v>
      </c>
      <c r="W394" s="95">
        <v>0</v>
      </c>
      <c r="X394" s="95">
        <v>114572114.70999999</v>
      </c>
      <c r="Y394" s="95">
        <v>114572114.70999999</v>
      </c>
      <c r="Z394" s="95">
        <v>0</v>
      </c>
      <c r="AA394" s="95">
        <v>0</v>
      </c>
      <c r="AB394" s="120">
        <v>1525550</v>
      </c>
      <c r="AC394" s="95">
        <v>1525550</v>
      </c>
      <c r="AD394" s="95">
        <v>1525550</v>
      </c>
      <c r="AE394" s="120">
        <v>1525550</v>
      </c>
      <c r="AF394" s="95">
        <v>113046564.70999999</v>
      </c>
      <c r="AG394" s="95">
        <v>0</v>
      </c>
      <c r="AH394" s="120">
        <v>1525550</v>
      </c>
      <c r="AI394" s="120">
        <v>1525550</v>
      </c>
      <c r="AJ394" s="84">
        <v>0</v>
      </c>
      <c r="AK394" s="84">
        <v>0</v>
      </c>
      <c r="AL394" s="84">
        <v>1579650</v>
      </c>
      <c r="AM394" s="84">
        <v>1579650</v>
      </c>
      <c r="AN394" s="121">
        <v>1579650</v>
      </c>
      <c r="AO394" s="84">
        <v>54100</v>
      </c>
      <c r="AP394" s="95">
        <v>112992464.70999999</v>
      </c>
      <c r="AQ394" s="84">
        <v>0</v>
      </c>
      <c r="AS394" s="118">
        <f t="shared" si="87"/>
        <v>0</v>
      </c>
    </row>
    <row r="395" spans="1:45" x14ac:dyDescent="0.25">
      <c r="A395" s="132">
        <v>23528</v>
      </c>
      <c r="B395" s="86" t="s">
        <v>836</v>
      </c>
      <c r="C395" s="91"/>
      <c r="D395" s="91">
        <v>0</v>
      </c>
      <c r="E395" s="91">
        <v>0</v>
      </c>
      <c r="F395" s="91">
        <v>132802785.45</v>
      </c>
      <c r="G395" s="91">
        <f t="shared" si="81"/>
        <v>132802785.45</v>
      </c>
      <c r="H395" s="91">
        <v>690659</v>
      </c>
      <c r="I395" s="91">
        <v>475490</v>
      </c>
      <c r="J395" s="91"/>
      <c r="K395" s="91">
        <v>475490</v>
      </c>
      <c r="L395" s="91">
        <v>475490</v>
      </c>
      <c r="M395" s="91"/>
      <c r="N395" s="91">
        <v>475490</v>
      </c>
      <c r="O395" s="91"/>
      <c r="P395" s="91"/>
      <c r="Q395" s="91"/>
      <c r="S395" s="92">
        <v>23528</v>
      </c>
      <c r="T395" s="114" t="s">
        <v>836</v>
      </c>
      <c r="U395" s="84">
        <v>0</v>
      </c>
      <c r="V395" s="84">
        <v>0</v>
      </c>
      <c r="W395" s="84">
        <v>0</v>
      </c>
      <c r="X395" s="84">
        <v>132802785.45</v>
      </c>
      <c r="Y395" s="84">
        <v>132802785.45</v>
      </c>
      <c r="Z395" s="84">
        <v>215169</v>
      </c>
      <c r="AA395" s="84">
        <v>215169</v>
      </c>
      <c r="AB395" s="121">
        <v>690659</v>
      </c>
      <c r="AC395" s="84">
        <v>475490</v>
      </c>
      <c r="AD395" s="84">
        <v>690659</v>
      </c>
      <c r="AE395" s="121">
        <v>475490</v>
      </c>
      <c r="AF395" s="84">
        <v>132327295.45</v>
      </c>
      <c r="AG395" s="84">
        <v>0</v>
      </c>
      <c r="AH395" s="121">
        <v>475490</v>
      </c>
      <c r="AI395" s="121">
        <v>475490</v>
      </c>
      <c r="AJ395" s="84">
        <v>0</v>
      </c>
      <c r="AK395" s="84">
        <v>215169</v>
      </c>
      <c r="AL395" s="84">
        <v>690659</v>
      </c>
      <c r="AM395" s="84">
        <v>690659</v>
      </c>
      <c r="AN395" s="121">
        <v>475490</v>
      </c>
      <c r="AO395" s="84">
        <v>0</v>
      </c>
      <c r="AP395" s="84">
        <v>132327295.45</v>
      </c>
      <c r="AQ395" s="84">
        <v>0</v>
      </c>
      <c r="AS395" s="118">
        <f t="shared" si="87"/>
        <v>0</v>
      </c>
    </row>
    <row r="396" spans="1:45" x14ac:dyDescent="0.25">
      <c r="A396" s="132">
        <v>23529</v>
      </c>
      <c r="B396" s="86" t="s">
        <v>837</v>
      </c>
      <c r="C396" s="91"/>
      <c r="D396" s="91">
        <v>0</v>
      </c>
      <c r="E396" s="91">
        <v>0</v>
      </c>
      <c r="F396" s="91">
        <v>430578182.44</v>
      </c>
      <c r="G396" s="91">
        <f t="shared" si="81"/>
        <v>430578182.44</v>
      </c>
      <c r="H396" s="91">
        <v>24352460</v>
      </c>
      <c r="I396" s="91">
        <v>19926458</v>
      </c>
      <c r="J396" s="91"/>
      <c r="K396" s="91">
        <v>18765109</v>
      </c>
      <c r="L396" s="91">
        <v>18765109</v>
      </c>
      <c r="M396" s="91"/>
      <c r="N396" s="91">
        <v>146274276</v>
      </c>
      <c r="O396" s="91"/>
      <c r="P396" s="91"/>
      <c r="Q396" s="91"/>
      <c r="S396" s="92">
        <v>23529</v>
      </c>
      <c r="T396" s="114" t="s">
        <v>837</v>
      </c>
      <c r="U396" s="84">
        <v>0</v>
      </c>
      <c r="V396" s="84">
        <v>0</v>
      </c>
      <c r="W396" s="84">
        <v>0</v>
      </c>
      <c r="X396" s="84">
        <v>430578182.44</v>
      </c>
      <c r="Y396" s="84">
        <v>430578182.44</v>
      </c>
      <c r="Z396" s="84">
        <v>4426002</v>
      </c>
      <c r="AA396" s="84">
        <v>4426002</v>
      </c>
      <c r="AB396" s="121">
        <v>24352460</v>
      </c>
      <c r="AC396" s="84">
        <v>19926458</v>
      </c>
      <c r="AD396" s="84">
        <v>24352460</v>
      </c>
      <c r="AE396" s="121">
        <v>19926458</v>
      </c>
      <c r="AF396" s="84">
        <v>410651724.44</v>
      </c>
      <c r="AG396" s="84">
        <v>0</v>
      </c>
      <c r="AH396" s="121">
        <v>18765109</v>
      </c>
      <c r="AI396" s="121">
        <v>18765109</v>
      </c>
      <c r="AJ396" s="84">
        <v>1161349</v>
      </c>
      <c r="AK396" s="84">
        <v>4426002</v>
      </c>
      <c r="AL396" s="84">
        <v>150700278</v>
      </c>
      <c r="AM396" s="84">
        <v>150700278</v>
      </c>
      <c r="AN396" s="121">
        <v>146274276</v>
      </c>
      <c r="AO396" s="84">
        <v>126347818</v>
      </c>
      <c r="AP396" s="84">
        <v>284303906.44</v>
      </c>
      <c r="AQ396" s="84">
        <v>0</v>
      </c>
      <c r="AS396" s="118">
        <f t="shared" si="87"/>
        <v>0</v>
      </c>
    </row>
    <row r="397" spans="1:45" x14ac:dyDescent="0.25">
      <c r="A397" s="132">
        <v>23530</v>
      </c>
      <c r="B397" s="86" t="s">
        <v>838</v>
      </c>
      <c r="C397" s="91"/>
      <c r="D397" s="91">
        <v>0</v>
      </c>
      <c r="E397" s="91">
        <v>0</v>
      </c>
      <c r="F397" s="91">
        <v>177269391.56999999</v>
      </c>
      <c r="G397" s="91">
        <f t="shared" si="81"/>
        <v>177269391.56999999</v>
      </c>
      <c r="H397" s="91">
        <v>0</v>
      </c>
      <c r="I397" s="91">
        <v>0</v>
      </c>
      <c r="J397" s="91"/>
      <c r="K397" s="91">
        <v>0</v>
      </c>
      <c r="L397" s="91">
        <v>0</v>
      </c>
      <c r="M397" s="91"/>
      <c r="N397" s="91">
        <v>4829000</v>
      </c>
      <c r="O397" s="91"/>
      <c r="P397" s="91"/>
      <c r="Q397" s="91"/>
      <c r="S397" s="92">
        <v>23530</v>
      </c>
      <c r="T397" s="114" t="s">
        <v>838</v>
      </c>
      <c r="U397" s="84">
        <v>0</v>
      </c>
      <c r="V397" s="84">
        <v>0</v>
      </c>
      <c r="W397" s="84">
        <v>0</v>
      </c>
      <c r="X397" s="84">
        <v>177269391.56999999</v>
      </c>
      <c r="Y397" s="84">
        <v>177269391.56999999</v>
      </c>
      <c r="Z397" s="84">
        <v>0</v>
      </c>
      <c r="AA397" s="84">
        <v>0</v>
      </c>
      <c r="AB397" s="121">
        <v>0</v>
      </c>
      <c r="AC397" s="84">
        <v>0</v>
      </c>
      <c r="AD397" s="84">
        <v>0</v>
      </c>
      <c r="AE397" s="121">
        <v>0</v>
      </c>
      <c r="AF397" s="84">
        <v>177269391.56999999</v>
      </c>
      <c r="AG397" s="84">
        <v>0</v>
      </c>
      <c r="AH397" s="121">
        <v>0</v>
      </c>
      <c r="AI397" s="121">
        <v>0</v>
      </c>
      <c r="AJ397" s="84">
        <v>0</v>
      </c>
      <c r="AK397" s="84">
        <v>0</v>
      </c>
      <c r="AL397" s="84">
        <v>4829000</v>
      </c>
      <c r="AM397" s="84">
        <v>4829000</v>
      </c>
      <c r="AN397" s="121">
        <v>4829000</v>
      </c>
      <c r="AO397" s="84">
        <v>4829000</v>
      </c>
      <c r="AP397" s="84">
        <v>172440391.56999999</v>
      </c>
      <c r="AQ397" s="84">
        <v>0</v>
      </c>
      <c r="AS397" s="118">
        <f>+E397-W397</f>
        <v>0</v>
      </c>
    </row>
    <row r="398" spans="1:45" x14ac:dyDescent="0.25">
      <c r="A398" s="132">
        <v>23531</v>
      </c>
      <c r="B398" s="86" t="s">
        <v>839</v>
      </c>
      <c r="C398" s="91"/>
      <c r="D398" s="91">
        <v>0</v>
      </c>
      <c r="E398" s="91">
        <v>0</v>
      </c>
      <c r="F398" s="91">
        <v>215142209.47999999</v>
      </c>
      <c r="G398" s="91">
        <f t="shared" si="81"/>
        <v>215142209.47999999</v>
      </c>
      <c r="H398" s="91">
        <v>0</v>
      </c>
      <c r="I398" s="91">
        <v>0</v>
      </c>
      <c r="J398" s="91"/>
      <c r="K398" s="91">
        <v>0</v>
      </c>
      <c r="L398" s="91">
        <v>0</v>
      </c>
      <c r="M398" s="91"/>
      <c r="N398" s="91">
        <v>0</v>
      </c>
      <c r="O398" s="91"/>
      <c r="P398" s="91"/>
      <c r="Q398" s="91"/>
      <c r="S398" s="92">
        <v>23531</v>
      </c>
      <c r="T398" s="114" t="s">
        <v>839</v>
      </c>
      <c r="U398" s="84">
        <v>0</v>
      </c>
      <c r="V398" s="84">
        <v>0</v>
      </c>
      <c r="W398" s="84">
        <v>0</v>
      </c>
      <c r="X398" s="84">
        <v>215142209.47999999</v>
      </c>
      <c r="Y398" s="84">
        <v>215142209.47999999</v>
      </c>
      <c r="Z398" s="84">
        <v>0</v>
      </c>
      <c r="AA398" s="84">
        <v>0</v>
      </c>
      <c r="AB398" s="121">
        <v>0</v>
      </c>
      <c r="AC398" s="84">
        <v>0</v>
      </c>
      <c r="AD398" s="84">
        <v>0</v>
      </c>
      <c r="AE398" s="121">
        <v>0</v>
      </c>
      <c r="AF398" s="84">
        <v>215142209.47999999</v>
      </c>
      <c r="AG398" s="84">
        <v>0</v>
      </c>
      <c r="AH398" s="121">
        <v>0</v>
      </c>
      <c r="AI398" s="121">
        <v>0</v>
      </c>
      <c r="AJ398" s="84">
        <v>0</v>
      </c>
      <c r="AK398" s="84">
        <v>0</v>
      </c>
      <c r="AL398" s="84">
        <v>0</v>
      </c>
      <c r="AM398" s="84">
        <v>0</v>
      </c>
      <c r="AN398" s="121">
        <v>0</v>
      </c>
      <c r="AO398" s="84">
        <v>0</v>
      </c>
      <c r="AP398" s="84">
        <v>215142209.47999999</v>
      </c>
      <c r="AQ398" s="84">
        <v>0</v>
      </c>
      <c r="AS398" s="118">
        <f t="shared" si="87"/>
        <v>0</v>
      </c>
    </row>
    <row r="399" spans="1:45" x14ac:dyDescent="0.25">
      <c r="G399" s="89">
        <f>SUBTOTAL(9,G256:G368)</f>
        <v>75224068038.470001</v>
      </c>
    </row>
    <row r="401" spans="2:7" x14ac:dyDescent="0.25">
      <c r="B401" s="84" t="s">
        <v>875</v>
      </c>
      <c r="G401" s="130">
        <v>1809957101</v>
      </c>
    </row>
    <row r="402" spans="2:7" x14ac:dyDescent="0.25">
      <c r="B402" s="84" t="s">
        <v>876</v>
      </c>
      <c r="G402" s="135">
        <v>6594302256</v>
      </c>
    </row>
    <row r="403" spans="2:7" x14ac:dyDescent="0.25">
      <c r="B403" s="84" t="s">
        <v>877</v>
      </c>
      <c r="G403" s="136">
        <v>11640717503</v>
      </c>
    </row>
    <row r="404" spans="2:7" x14ac:dyDescent="0.25">
      <c r="B404" s="84" t="s">
        <v>878</v>
      </c>
      <c r="G404" s="137">
        <v>8000936321</v>
      </c>
    </row>
    <row r="405" spans="2:7" x14ac:dyDescent="0.25">
      <c r="B405" s="84" t="s">
        <v>879</v>
      </c>
      <c r="G405" s="138">
        <v>2974444912.4700003</v>
      </c>
    </row>
    <row r="406" spans="2:7" x14ac:dyDescent="0.25">
      <c r="G406" s="89">
        <f>SUM(G401:G405)</f>
        <v>31020358093.470001</v>
      </c>
    </row>
    <row r="407" spans="2:7" x14ac:dyDescent="0.25">
      <c r="B407" s="84" t="s">
        <v>880</v>
      </c>
      <c r="G407" s="89">
        <f>+G249</f>
        <v>31020358093.469997</v>
      </c>
    </row>
    <row r="408" spans="2:7" x14ac:dyDescent="0.25">
      <c r="B408" s="84" t="s">
        <v>505</v>
      </c>
      <c r="G408" s="89">
        <f>+G6</f>
        <v>152055651742.47</v>
      </c>
    </row>
    <row r="409" spans="2:7" x14ac:dyDescent="0.25">
      <c r="G409" s="89">
        <f>+'[2]5.Consid. Presupuesto 2020'!$C$28</f>
        <v>152055651742.47</v>
      </c>
    </row>
    <row r="410" spans="2:7" x14ac:dyDescent="0.25">
      <c r="G410" s="89">
        <f>+G408-G409</f>
        <v>0</v>
      </c>
    </row>
    <row r="411" spans="2:7" x14ac:dyDescent="0.25">
      <c r="G411" s="89">
        <f>+G7</f>
        <v>121035293649</v>
      </c>
    </row>
    <row r="412" spans="2:7" x14ac:dyDescent="0.25">
      <c r="G412" s="89">
        <f>+G8</f>
        <v>103393294425</v>
      </c>
    </row>
    <row r="413" spans="2:7" x14ac:dyDescent="0.25">
      <c r="G413" s="89">
        <f>+G240</f>
        <v>4366488983</v>
      </c>
    </row>
    <row r="414" spans="2:7" x14ac:dyDescent="0.25">
      <c r="B414" s="84" t="s">
        <v>881</v>
      </c>
      <c r="G414" s="89">
        <f>+G413+G412</f>
        <v>107759783408</v>
      </c>
    </row>
    <row r="415" spans="2:7" x14ac:dyDescent="0.25">
      <c r="G415" s="89">
        <f>+G63</f>
        <v>12490110012</v>
      </c>
    </row>
    <row r="416" spans="2:7" x14ac:dyDescent="0.25">
      <c r="G416" s="89">
        <f>+G241</f>
        <v>768446229</v>
      </c>
    </row>
    <row r="417" spans="2:7" x14ac:dyDescent="0.25">
      <c r="G417" s="89">
        <f>+G238</f>
        <v>16954000</v>
      </c>
    </row>
    <row r="418" spans="2:7" x14ac:dyDescent="0.25">
      <c r="B418" s="84" t="s">
        <v>882</v>
      </c>
      <c r="G418" s="89">
        <f>SUM(G415:G417)</f>
        <v>13275510241</v>
      </c>
    </row>
    <row r="419" spans="2:7" x14ac:dyDescent="0.25">
      <c r="G419" s="89">
        <f>SUM(G412:G416)</f>
        <v>228778123057</v>
      </c>
    </row>
    <row r="420" spans="2:7" x14ac:dyDescent="0.25">
      <c r="G420" s="89">
        <f>+G419-G411</f>
        <v>107742829408</v>
      </c>
    </row>
    <row r="422" spans="2:7" x14ac:dyDescent="0.25">
      <c r="G422" s="89">
        <f>+G414+G418</f>
        <v>121035293649</v>
      </c>
    </row>
    <row r="423" spans="2:7" x14ac:dyDescent="0.25">
      <c r="G423" s="89">
        <f>+G422+G407</f>
        <v>152055651742.47</v>
      </c>
    </row>
    <row r="424" spans="2:7" x14ac:dyDescent="0.25">
      <c r="G424" s="89">
        <f>+G423-G408</f>
        <v>0</v>
      </c>
    </row>
  </sheetData>
  <autoFilter ref="A5:Q398"/>
  <pageMargins left="0.7" right="0.25" top="0.4" bottom="0.75" header="0.3" footer="0.3"/>
  <pageSetup paperSize="506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36"/>
  <sheetViews>
    <sheetView showGridLines="0" topLeftCell="B182" workbookViewId="0">
      <selection activeCell="G214" sqref="G214"/>
    </sheetView>
  </sheetViews>
  <sheetFormatPr baseColWidth="10" defaultColWidth="11.42578125" defaultRowHeight="15" x14ac:dyDescent="0.25"/>
  <cols>
    <col min="1" max="1" width="14" style="1" hidden="1" customWidth="1"/>
    <col min="2" max="2" width="44" style="2" customWidth="1"/>
    <col min="3" max="3" width="19.42578125" style="2" hidden="1" customWidth="1"/>
    <col min="4" max="4" width="17.42578125" style="2" hidden="1" customWidth="1"/>
    <col min="5" max="5" width="12.7109375" style="2" hidden="1" customWidth="1"/>
    <col min="6" max="7" width="18.42578125" style="2" bestFit="1" customWidth="1"/>
    <col min="8" max="8" width="16.42578125" style="2" hidden="1" customWidth="1"/>
    <col min="9" max="9" width="17.42578125" style="2" hidden="1" customWidth="1"/>
    <col min="10" max="10" width="17.42578125" style="2" bestFit="1" customWidth="1"/>
    <col min="11" max="11" width="15.28515625" style="5" hidden="1" customWidth="1"/>
    <col min="12" max="12" width="14.7109375" style="2" hidden="1" customWidth="1"/>
    <col min="13" max="13" width="14" style="2" hidden="1" customWidth="1"/>
    <col min="14" max="14" width="90.85546875" style="2" hidden="1" customWidth="1"/>
    <col min="15" max="15" width="24.7109375" style="2" hidden="1" customWidth="1"/>
    <col min="16" max="16" width="17.42578125" style="2" hidden="1" customWidth="1"/>
    <col min="17" max="17" width="18.140625" style="2" hidden="1" customWidth="1"/>
    <col min="18" max="18" width="18.42578125" style="2" hidden="1" customWidth="1"/>
    <col min="19" max="19" width="24" style="2" hidden="1" customWidth="1"/>
    <col min="20" max="20" width="19.42578125" style="2" hidden="1" customWidth="1"/>
    <col min="21" max="21" width="17.42578125" style="2" hidden="1" customWidth="1"/>
    <col min="22" max="22" width="17.7109375" style="2" hidden="1" customWidth="1"/>
    <col min="23" max="23" width="15.28515625" style="2" hidden="1" customWidth="1"/>
    <col min="24" max="24" width="3.85546875" style="2" hidden="1" customWidth="1"/>
    <col min="25" max="25" width="14.7109375" style="2" hidden="1" customWidth="1"/>
    <col min="26" max="26" width="17.42578125" style="2" hidden="1" customWidth="1"/>
    <col min="27" max="27" width="18.42578125" style="2" hidden="1" customWidth="1"/>
    <col min="28" max="28" width="17.42578125" style="2" hidden="1" customWidth="1"/>
    <col min="29" max="29" width="0" style="2" hidden="1" customWidth="1"/>
    <col min="30" max="30" width="18.42578125" style="2" hidden="1" customWidth="1"/>
    <col min="31" max="31" width="17.42578125" style="2" hidden="1" customWidth="1"/>
    <col min="32" max="32" width="16.42578125" style="2" hidden="1" customWidth="1"/>
    <col min="33" max="33" width="17.42578125" style="2" hidden="1" customWidth="1"/>
    <col min="34" max="34" width="17.7109375" style="2" hidden="1" customWidth="1"/>
    <col min="35" max="35" width="0" style="2" hidden="1" customWidth="1"/>
    <col min="36" max="36" width="14.7109375" style="2" hidden="1" customWidth="1"/>
    <col min="37" max="16384" width="11.42578125" style="2"/>
  </cols>
  <sheetData>
    <row r="1" spans="1:35" x14ac:dyDescent="0.25">
      <c r="G1" s="3"/>
      <c r="J1" s="4"/>
    </row>
    <row r="2" spans="1:35" ht="15.75" thickBot="1" x14ac:dyDescent="0.3">
      <c r="F2" s="4"/>
      <c r="G2" s="4"/>
      <c r="J2" s="4"/>
    </row>
    <row r="3" spans="1:35" s="8" customFormat="1" ht="16.5" thickBot="1" x14ac:dyDescent="0.3">
      <c r="A3" s="6"/>
      <c r="B3" s="7"/>
      <c r="C3" s="427"/>
      <c r="D3" s="427"/>
      <c r="E3" s="427"/>
      <c r="F3" s="427"/>
      <c r="G3" s="427"/>
      <c r="H3" s="427"/>
      <c r="I3" s="427"/>
      <c r="J3" s="427"/>
      <c r="K3" s="427"/>
    </row>
    <row r="4" spans="1:35" s="8" customFormat="1" ht="30" hidden="1" x14ac:dyDescent="0.25">
      <c r="A4" s="9" t="s">
        <v>0</v>
      </c>
      <c r="B4" s="10" t="s">
        <v>1</v>
      </c>
      <c r="C4" s="10" t="s">
        <v>221</v>
      </c>
      <c r="D4" s="10" t="s">
        <v>5</v>
      </c>
      <c r="E4" s="10" t="s">
        <v>222</v>
      </c>
      <c r="F4" s="10" t="s">
        <v>223</v>
      </c>
      <c r="G4" s="10" t="s">
        <v>224</v>
      </c>
      <c r="H4" s="10" t="s">
        <v>225</v>
      </c>
      <c r="I4" s="10" t="s">
        <v>226</v>
      </c>
      <c r="J4" s="10" t="s">
        <v>227</v>
      </c>
      <c r="K4" s="11" t="s">
        <v>228</v>
      </c>
      <c r="L4" s="113"/>
      <c r="M4" s="9" t="s">
        <v>0</v>
      </c>
      <c r="N4" s="10" t="s">
        <v>1</v>
      </c>
      <c r="O4" s="10" t="s">
        <v>221</v>
      </c>
      <c r="P4" s="10" t="s">
        <v>5</v>
      </c>
      <c r="Q4" s="10" t="s">
        <v>222</v>
      </c>
      <c r="R4" s="10" t="s">
        <v>223</v>
      </c>
      <c r="S4" s="10" t="s">
        <v>224</v>
      </c>
      <c r="T4" s="10" t="s">
        <v>225</v>
      </c>
      <c r="U4" s="10" t="s">
        <v>226</v>
      </c>
      <c r="V4" s="10" t="s">
        <v>227</v>
      </c>
      <c r="W4" s="11" t="s">
        <v>228</v>
      </c>
      <c r="Y4" s="9" t="s">
        <v>0</v>
      </c>
      <c r="Z4" s="10" t="s">
        <v>1</v>
      </c>
      <c r="AA4" s="10" t="s">
        <v>221</v>
      </c>
      <c r="AB4" s="10" t="s">
        <v>5</v>
      </c>
      <c r="AC4" s="10" t="s">
        <v>222</v>
      </c>
      <c r="AD4" s="10" t="s">
        <v>223</v>
      </c>
      <c r="AE4" s="10" t="s">
        <v>224</v>
      </c>
      <c r="AF4" s="10" t="s">
        <v>225</v>
      </c>
      <c r="AG4" s="10" t="s">
        <v>226</v>
      </c>
      <c r="AH4" s="10" t="s">
        <v>227</v>
      </c>
      <c r="AI4" s="11" t="s">
        <v>228</v>
      </c>
    </row>
    <row r="5" spans="1:35" hidden="1" x14ac:dyDescent="0.25">
      <c r="A5" s="12">
        <v>1</v>
      </c>
      <c r="B5" s="13" t="s">
        <v>667</v>
      </c>
      <c r="C5" s="14">
        <f>+C6+C160</f>
        <v>128545687388</v>
      </c>
      <c r="D5" s="14">
        <f t="shared" ref="D5:J5" si="0">+D6+D160</f>
        <v>24369960169.77</v>
      </c>
      <c r="E5" s="14">
        <f t="shared" si="0"/>
        <v>0</v>
      </c>
      <c r="F5" s="14">
        <f t="shared" si="0"/>
        <v>152915647557.76999</v>
      </c>
      <c r="G5" s="14">
        <f t="shared" si="0"/>
        <v>87591741449.449997</v>
      </c>
      <c r="H5" s="14">
        <f t="shared" si="0"/>
        <v>8159252731.9800005</v>
      </c>
      <c r="I5" s="14">
        <f t="shared" si="0"/>
        <v>87591741449.449997</v>
      </c>
      <c r="J5" s="14">
        <f t="shared" si="0"/>
        <v>61359708865.639999</v>
      </c>
      <c r="K5" s="15">
        <f t="shared" ref="K5:K69" si="1">+I5/F5</f>
        <v>0.5728108460343061</v>
      </c>
      <c r="L5" s="113">
        <f>+I5-G5</f>
        <v>0</v>
      </c>
      <c r="M5" s="12">
        <v>1</v>
      </c>
      <c r="N5" s="13" t="s">
        <v>229</v>
      </c>
      <c r="O5" s="14">
        <v>128545687388</v>
      </c>
      <c r="P5" s="14">
        <v>24369960169.77</v>
      </c>
      <c r="Q5" s="14">
        <v>0</v>
      </c>
      <c r="R5" s="14">
        <v>152915647557.76999</v>
      </c>
      <c r="S5" s="14">
        <v>73456152802.679993</v>
      </c>
      <c r="T5" s="14">
        <v>8786816296.7900009</v>
      </c>
      <c r="U5" s="14">
        <v>82232338541.940002</v>
      </c>
      <c r="V5" s="14">
        <v>69477042765.779999</v>
      </c>
      <c r="W5" s="15">
        <v>0.5377627460320793</v>
      </c>
      <c r="Y5" s="12">
        <v>1</v>
      </c>
      <c r="Z5" s="13" t="s">
        <v>229</v>
      </c>
      <c r="AA5" s="14">
        <v>128545687388</v>
      </c>
      <c r="AB5" s="14">
        <v>24369960169.77</v>
      </c>
      <c r="AC5" s="14">
        <v>0</v>
      </c>
      <c r="AD5" s="14">
        <v>152915647557.76999</v>
      </c>
      <c r="AE5" s="14">
        <v>86298098046.449997</v>
      </c>
      <c r="AF5" s="14">
        <v>8182110631.9800005</v>
      </c>
      <c r="AG5" s="14">
        <v>86298098046.449997</v>
      </c>
      <c r="AH5" s="14">
        <v>62443212240.639999</v>
      </c>
      <c r="AI5" s="15">
        <v>0.5643509962827542</v>
      </c>
    </row>
    <row r="6" spans="1:35" hidden="1" x14ac:dyDescent="0.25">
      <c r="A6" s="12" t="s">
        <v>230</v>
      </c>
      <c r="B6" s="13" t="s">
        <v>231</v>
      </c>
      <c r="C6" s="14">
        <f>+C7</f>
        <v>128185121191</v>
      </c>
      <c r="D6" s="14">
        <f t="shared" ref="D6:J6" si="2">+D7</f>
        <v>1289139986</v>
      </c>
      <c r="E6" s="14">
        <f t="shared" si="2"/>
        <v>0</v>
      </c>
      <c r="F6" s="14">
        <f t="shared" si="2"/>
        <v>129474261177</v>
      </c>
      <c r="G6" s="14">
        <f t="shared" si="2"/>
        <v>64120473103.849998</v>
      </c>
      <c r="H6" s="14">
        <f t="shared" si="2"/>
        <v>8094494839.8400002</v>
      </c>
      <c r="I6" s="14">
        <f t="shared" si="2"/>
        <v>64120473103.849998</v>
      </c>
      <c r="J6" s="14">
        <f t="shared" si="2"/>
        <v>61389590830.470001</v>
      </c>
      <c r="K6" s="15">
        <f t="shared" si="1"/>
        <v>0.49523721951340594</v>
      </c>
      <c r="L6" s="113">
        <f t="shared" ref="L6:L69" si="3">+I6-G6</f>
        <v>0</v>
      </c>
      <c r="M6" s="12" t="s">
        <v>230</v>
      </c>
      <c r="N6" s="13" t="s">
        <v>231</v>
      </c>
      <c r="O6" s="14">
        <v>128185121191</v>
      </c>
      <c r="P6" s="14">
        <v>1289139986</v>
      </c>
      <c r="Q6" s="14">
        <v>0</v>
      </c>
      <c r="R6" s="14">
        <v>129474261177</v>
      </c>
      <c r="S6" s="14">
        <v>50121382210.229996</v>
      </c>
      <c r="T6" s="14">
        <v>8711445937.7800007</v>
      </c>
      <c r="U6" s="14">
        <v>58825828148.010002</v>
      </c>
      <c r="V6" s="14">
        <v>69442166838.470001</v>
      </c>
      <c r="W6" s="15">
        <v>0.45434380249207329</v>
      </c>
      <c r="Y6" s="12" t="s">
        <v>230</v>
      </c>
      <c r="Z6" s="13" t="s">
        <v>231</v>
      </c>
      <c r="AA6" s="14">
        <v>128185121191</v>
      </c>
      <c r="AB6" s="14">
        <v>1289139986</v>
      </c>
      <c r="AC6" s="14">
        <v>0</v>
      </c>
      <c r="AD6" s="14">
        <v>129474261177</v>
      </c>
      <c r="AE6" s="14">
        <v>63131434742.849998</v>
      </c>
      <c r="AF6" s="14">
        <v>8117352739.8400002</v>
      </c>
      <c r="AG6" s="14">
        <v>63131434742.849998</v>
      </c>
      <c r="AH6" s="14">
        <v>62473094205.470001</v>
      </c>
      <c r="AI6" s="15">
        <v>0.48759833938380304</v>
      </c>
    </row>
    <row r="7" spans="1:35" hidden="1" x14ac:dyDescent="0.25">
      <c r="A7" s="12" t="s">
        <v>232</v>
      </c>
      <c r="B7" s="13" t="s">
        <v>233</v>
      </c>
      <c r="C7" s="14">
        <f>+C8+C126</f>
        <v>128185121191</v>
      </c>
      <c r="D7" s="14">
        <f t="shared" ref="D7:J7" si="4">+D8+D126</f>
        <v>1289139986</v>
      </c>
      <c r="E7" s="14">
        <f t="shared" si="4"/>
        <v>0</v>
      </c>
      <c r="F7" s="14">
        <f t="shared" si="4"/>
        <v>129474261177</v>
      </c>
      <c r="G7" s="14">
        <f t="shared" si="4"/>
        <v>64120473103.849998</v>
      </c>
      <c r="H7" s="14">
        <f t="shared" si="4"/>
        <v>8094494839.8400002</v>
      </c>
      <c r="I7" s="14">
        <f t="shared" si="4"/>
        <v>64120473103.849998</v>
      </c>
      <c r="J7" s="14">
        <f t="shared" si="4"/>
        <v>61389590830.470001</v>
      </c>
      <c r="K7" s="15">
        <f t="shared" si="1"/>
        <v>0.49523721951340594</v>
      </c>
      <c r="L7" s="113">
        <f t="shared" si="3"/>
        <v>0</v>
      </c>
      <c r="M7" s="12" t="s">
        <v>232</v>
      </c>
      <c r="N7" s="13" t="s">
        <v>233</v>
      </c>
      <c r="O7" s="14">
        <v>128185121191</v>
      </c>
      <c r="P7" s="14">
        <v>1289139986</v>
      </c>
      <c r="Q7" s="14">
        <v>0</v>
      </c>
      <c r="R7" s="14">
        <v>129474261177</v>
      </c>
      <c r="S7" s="14">
        <v>50121382210.229996</v>
      </c>
      <c r="T7" s="14">
        <v>8711445937.7800007</v>
      </c>
      <c r="U7" s="14">
        <v>58825828148.010002</v>
      </c>
      <c r="V7" s="14">
        <v>69442166838.470001</v>
      </c>
      <c r="W7" s="15">
        <v>0.45434380249207329</v>
      </c>
      <c r="Y7" s="12" t="s">
        <v>232</v>
      </c>
      <c r="Z7" s="13" t="s">
        <v>233</v>
      </c>
      <c r="AA7" s="14">
        <v>128185121191</v>
      </c>
      <c r="AB7" s="14">
        <v>1289139986</v>
      </c>
      <c r="AC7" s="14">
        <v>0</v>
      </c>
      <c r="AD7" s="14">
        <v>129474261177</v>
      </c>
      <c r="AE7" s="14">
        <v>63131434742.849998</v>
      </c>
      <c r="AF7" s="14">
        <v>8117352739.8400002</v>
      </c>
      <c r="AG7" s="14">
        <v>63131434742.849998</v>
      </c>
      <c r="AH7" s="14">
        <v>62473094205.470001</v>
      </c>
      <c r="AI7" s="15">
        <v>0.48759833938380304</v>
      </c>
    </row>
    <row r="8" spans="1:35" hidden="1" x14ac:dyDescent="0.25">
      <c r="A8" s="12" t="s">
        <v>234</v>
      </c>
      <c r="B8" s="13" t="s">
        <v>235</v>
      </c>
      <c r="C8" s="14">
        <f>+C9+C84</f>
        <v>46439868581</v>
      </c>
      <c r="D8" s="14">
        <f t="shared" ref="D8:J8" si="5">+D9+D84</f>
        <v>0</v>
      </c>
      <c r="E8" s="14">
        <f t="shared" si="5"/>
        <v>0</v>
      </c>
      <c r="F8" s="14">
        <f t="shared" si="5"/>
        <v>46439868581</v>
      </c>
      <c r="G8" s="14">
        <f t="shared" si="5"/>
        <v>19191183067.529999</v>
      </c>
      <c r="H8" s="14">
        <f t="shared" si="5"/>
        <v>2425456952</v>
      </c>
      <c r="I8" s="14">
        <f t="shared" si="5"/>
        <v>19191183067.529999</v>
      </c>
      <c r="J8" s="14">
        <f t="shared" si="5"/>
        <v>23316949787.470001</v>
      </c>
      <c r="K8" s="15">
        <f t="shared" si="1"/>
        <v>0.41324800551614205</v>
      </c>
      <c r="L8" s="113">
        <f t="shared" si="3"/>
        <v>0</v>
      </c>
      <c r="M8" s="12" t="s">
        <v>234</v>
      </c>
      <c r="N8" s="13" t="s">
        <v>235</v>
      </c>
      <c r="O8" s="14">
        <v>46439868581</v>
      </c>
      <c r="P8" s="14">
        <v>0</v>
      </c>
      <c r="Q8" s="14">
        <v>0</v>
      </c>
      <c r="R8" s="14">
        <v>46439868581</v>
      </c>
      <c r="S8" s="14">
        <v>15958736655.75</v>
      </c>
      <c r="T8" s="14">
        <v>689473499.77999997</v>
      </c>
      <c r="U8" s="14">
        <v>16641210155.530001</v>
      </c>
      <c r="V8" s="14">
        <v>28643231229.470001</v>
      </c>
      <c r="W8" s="15">
        <v>0.35833887269737968</v>
      </c>
      <c r="Y8" s="12" t="s">
        <v>234</v>
      </c>
      <c r="Z8" s="13" t="s">
        <v>235</v>
      </c>
      <c r="AA8" s="14">
        <v>46439868581</v>
      </c>
      <c r="AB8" s="14">
        <v>0</v>
      </c>
      <c r="AC8" s="14">
        <v>0</v>
      </c>
      <c r="AD8" s="14">
        <v>46439868581</v>
      </c>
      <c r="AE8" s="14">
        <v>19285648081.529999</v>
      </c>
      <c r="AF8" s="14">
        <v>2448314852</v>
      </c>
      <c r="AG8" s="14">
        <v>19285648081.529999</v>
      </c>
      <c r="AH8" s="14">
        <v>23316949787.470001</v>
      </c>
      <c r="AI8" s="15">
        <v>0.41528214163423277</v>
      </c>
    </row>
    <row r="9" spans="1:35" s="20" customFormat="1" hidden="1" x14ac:dyDescent="0.25">
      <c r="A9" s="16" t="s">
        <v>236</v>
      </c>
      <c r="B9" s="17" t="s">
        <v>237</v>
      </c>
      <c r="C9" s="18">
        <f>+C10+C81</f>
        <v>44746571785</v>
      </c>
      <c r="D9" s="18">
        <f t="shared" ref="D9:J9" si="6">+D10+D81</f>
        <v>0</v>
      </c>
      <c r="E9" s="18">
        <f t="shared" si="6"/>
        <v>0</v>
      </c>
      <c r="F9" s="18">
        <f t="shared" si="6"/>
        <v>44746571785</v>
      </c>
      <c r="G9" s="18">
        <f t="shared" si="6"/>
        <v>18337865443.529999</v>
      </c>
      <c r="H9" s="18">
        <f t="shared" si="6"/>
        <v>2322738735</v>
      </c>
      <c r="I9" s="18">
        <f t="shared" si="6"/>
        <v>18337865443.529999</v>
      </c>
      <c r="J9" s="18">
        <f t="shared" si="6"/>
        <v>22476970615.470001</v>
      </c>
      <c r="K9" s="19">
        <f t="shared" si="1"/>
        <v>0.40981609790444862</v>
      </c>
      <c r="L9" s="113">
        <f t="shared" si="3"/>
        <v>0</v>
      </c>
      <c r="M9" s="16" t="s">
        <v>236</v>
      </c>
      <c r="N9" s="17" t="s">
        <v>237</v>
      </c>
      <c r="O9" s="18">
        <v>44746571785</v>
      </c>
      <c r="P9" s="18">
        <v>0</v>
      </c>
      <c r="Q9" s="18">
        <v>0</v>
      </c>
      <c r="R9" s="18">
        <v>44746571785</v>
      </c>
      <c r="S9" s="18">
        <v>15423640602.75</v>
      </c>
      <c r="T9" s="18">
        <v>598486105.77999997</v>
      </c>
      <c r="U9" s="18">
        <v>16015126708.530001</v>
      </c>
      <c r="V9" s="18">
        <v>28731445076.470001</v>
      </c>
      <c r="W9" s="19">
        <v>0.35790734506947436</v>
      </c>
      <c r="Y9" s="16" t="s">
        <v>236</v>
      </c>
      <c r="Z9" s="17" t="s">
        <v>237</v>
      </c>
      <c r="AA9" s="18">
        <v>44746571785</v>
      </c>
      <c r="AB9" s="18">
        <v>0</v>
      </c>
      <c r="AC9" s="18">
        <v>0</v>
      </c>
      <c r="AD9" s="18">
        <v>44746571785</v>
      </c>
      <c r="AE9" s="18">
        <v>18337865443.529999</v>
      </c>
      <c r="AF9" s="18">
        <v>2322738735</v>
      </c>
      <c r="AG9" s="18">
        <v>18337865443.529999</v>
      </c>
      <c r="AH9" s="18">
        <v>22476970615.470001</v>
      </c>
      <c r="AI9" s="19">
        <v>0.40981609790444862</v>
      </c>
    </row>
    <row r="10" spans="1:35" s="20" customFormat="1" hidden="1" x14ac:dyDescent="0.25">
      <c r="A10" s="16" t="s">
        <v>238</v>
      </c>
      <c r="B10" s="17" t="s">
        <v>239</v>
      </c>
      <c r="C10" s="18">
        <f>+C11</f>
        <v>44516571785</v>
      </c>
      <c r="D10" s="18">
        <f t="shared" ref="D10:J11" si="7">+D11</f>
        <v>0</v>
      </c>
      <c r="E10" s="18">
        <f t="shared" si="7"/>
        <v>0</v>
      </c>
      <c r="F10" s="18">
        <f t="shared" si="7"/>
        <v>44516571785</v>
      </c>
      <c r="G10" s="18">
        <f t="shared" si="7"/>
        <v>18297931383.529999</v>
      </c>
      <c r="H10" s="18">
        <f t="shared" si="7"/>
        <v>2322738735</v>
      </c>
      <c r="I10" s="18">
        <f t="shared" si="7"/>
        <v>18297931383.529999</v>
      </c>
      <c r="J10" s="18">
        <f t="shared" si="7"/>
        <v>22286904675.470001</v>
      </c>
      <c r="K10" s="19">
        <f t="shared" si="1"/>
        <v>0.41103639947619564</v>
      </c>
      <c r="L10" s="113">
        <f t="shared" si="3"/>
        <v>0</v>
      </c>
      <c r="M10" s="16" t="s">
        <v>238</v>
      </c>
      <c r="N10" s="17" t="s">
        <v>239</v>
      </c>
      <c r="O10" s="18">
        <v>44516571785</v>
      </c>
      <c r="P10" s="18">
        <v>0</v>
      </c>
      <c r="Q10" s="18">
        <v>0</v>
      </c>
      <c r="R10" s="18">
        <v>44516571785</v>
      </c>
      <c r="S10" s="18">
        <v>15383706542.75</v>
      </c>
      <c r="T10" s="18">
        <v>598486105.77999997</v>
      </c>
      <c r="U10" s="18">
        <v>15975192648.530001</v>
      </c>
      <c r="V10" s="18">
        <v>28541379136.470001</v>
      </c>
      <c r="W10" s="19">
        <v>0.35885945408565562</v>
      </c>
      <c r="Y10" s="16" t="s">
        <v>238</v>
      </c>
      <c r="Z10" s="17" t="s">
        <v>239</v>
      </c>
      <c r="AA10" s="18">
        <v>44516571785</v>
      </c>
      <c r="AB10" s="18">
        <v>0</v>
      </c>
      <c r="AC10" s="18">
        <v>0</v>
      </c>
      <c r="AD10" s="18">
        <v>44516571785</v>
      </c>
      <c r="AE10" s="18">
        <v>18297931383.529999</v>
      </c>
      <c r="AF10" s="18">
        <v>2322738735</v>
      </c>
      <c r="AG10" s="18">
        <v>18297931383.529999</v>
      </c>
      <c r="AH10" s="18">
        <v>22286904675.470001</v>
      </c>
      <c r="AI10" s="19">
        <v>0.41103639947619564</v>
      </c>
    </row>
    <row r="11" spans="1:35" s="20" customFormat="1" hidden="1" x14ac:dyDescent="0.25">
      <c r="A11" s="16" t="s">
        <v>240</v>
      </c>
      <c r="B11" s="17" t="s">
        <v>241</v>
      </c>
      <c r="C11" s="18">
        <f>+C12</f>
        <v>44516571785</v>
      </c>
      <c r="D11" s="18">
        <f t="shared" si="7"/>
        <v>0</v>
      </c>
      <c r="E11" s="18">
        <f t="shared" si="7"/>
        <v>0</v>
      </c>
      <c r="F11" s="18">
        <f t="shared" si="7"/>
        <v>44516571785</v>
      </c>
      <c r="G11" s="18">
        <f t="shared" si="7"/>
        <v>18297931383.529999</v>
      </c>
      <c r="H11" s="18">
        <f t="shared" si="7"/>
        <v>2322738735</v>
      </c>
      <c r="I11" s="18">
        <f t="shared" si="7"/>
        <v>18297931383.529999</v>
      </c>
      <c r="J11" s="18">
        <f t="shared" si="7"/>
        <v>22286904675.470001</v>
      </c>
      <c r="K11" s="19">
        <f t="shared" si="1"/>
        <v>0.41103639947619564</v>
      </c>
      <c r="L11" s="113">
        <f t="shared" si="3"/>
        <v>0</v>
      </c>
      <c r="M11" s="16" t="s">
        <v>240</v>
      </c>
      <c r="N11" s="17" t="s">
        <v>241</v>
      </c>
      <c r="O11" s="18">
        <v>44516571785</v>
      </c>
      <c r="P11" s="18">
        <v>0</v>
      </c>
      <c r="Q11" s="18">
        <v>0</v>
      </c>
      <c r="R11" s="18">
        <v>44516571785</v>
      </c>
      <c r="S11" s="18">
        <v>15383706542.75</v>
      </c>
      <c r="T11" s="18">
        <v>598486105.77999997</v>
      </c>
      <c r="U11" s="18">
        <v>15975192648.530001</v>
      </c>
      <c r="V11" s="18">
        <v>28541379136.470001</v>
      </c>
      <c r="W11" s="19">
        <v>0.35885945408565562</v>
      </c>
      <c r="Y11" s="16" t="s">
        <v>240</v>
      </c>
      <c r="Z11" s="17" t="s">
        <v>241</v>
      </c>
      <c r="AA11" s="18">
        <v>44516571785</v>
      </c>
      <c r="AB11" s="18">
        <v>0</v>
      </c>
      <c r="AC11" s="18">
        <v>0</v>
      </c>
      <c r="AD11" s="18">
        <v>44516571785</v>
      </c>
      <c r="AE11" s="18">
        <v>18297931383.529999</v>
      </c>
      <c r="AF11" s="18">
        <v>2322738735</v>
      </c>
      <c r="AG11" s="18">
        <v>18297931383.529999</v>
      </c>
      <c r="AH11" s="18">
        <v>22286904675.470001</v>
      </c>
      <c r="AI11" s="19">
        <v>0.41103639947619564</v>
      </c>
    </row>
    <row r="12" spans="1:35" s="20" customFormat="1" hidden="1" x14ac:dyDescent="0.25">
      <c r="A12" s="16" t="s">
        <v>242</v>
      </c>
      <c r="B12" s="17" t="s">
        <v>243</v>
      </c>
      <c r="C12" s="18">
        <f>+C13+C27+C45</f>
        <v>44516571785</v>
      </c>
      <c r="D12" s="18">
        <f t="shared" ref="D12:J12" si="8">+D13+D27+D45</f>
        <v>0</v>
      </c>
      <c r="E12" s="18">
        <f t="shared" si="8"/>
        <v>0</v>
      </c>
      <c r="F12" s="18">
        <f t="shared" si="8"/>
        <v>44516571785</v>
      </c>
      <c r="G12" s="18">
        <f t="shared" si="8"/>
        <v>18297931383.529999</v>
      </c>
      <c r="H12" s="18">
        <f t="shared" si="8"/>
        <v>2322738735</v>
      </c>
      <c r="I12" s="18">
        <f t="shared" si="8"/>
        <v>18297931383.529999</v>
      </c>
      <c r="J12" s="18">
        <f t="shared" si="8"/>
        <v>22286904675.470001</v>
      </c>
      <c r="K12" s="19">
        <f t="shared" si="1"/>
        <v>0.41103639947619564</v>
      </c>
      <c r="L12" s="113">
        <f t="shared" si="3"/>
        <v>0</v>
      </c>
      <c r="M12" s="16" t="s">
        <v>242</v>
      </c>
      <c r="N12" s="17" t="s">
        <v>243</v>
      </c>
      <c r="O12" s="18">
        <v>44516571785</v>
      </c>
      <c r="P12" s="18">
        <v>0</v>
      </c>
      <c r="Q12" s="18">
        <v>0</v>
      </c>
      <c r="R12" s="18">
        <v>44516571785</v>
      </c>
      <c r="S12" s="18">
        <v>15383706542.75</v>
      </c>
      <c r="T12" s="18">
        <v>598486105.77999997</v>
      </c>
      <c r="U12" s="18">
        <v>15975192648.530001</v>
      </c>
      <c r="V12" s="18">
        <v>28541379136.470001</v>
      </c>
      <c r="W12" s="19">
        <v>0.35885945408565562</v>
      </c>
      <c r="Y12" s="16" t="s">
        <v>242</v>
      </c>
      <c r="Z12" s="17" t="s">
        <v>243</v>
      </c>
      <c r="AA12" s="18">
        <v>44516571785</v>
      </c>
      <c r="AB12" s="18">
        <v>0</v>
      </c>
      <c r="AC12" s="18">
        <v>0</v>
      </c>
      <c r="AD12" s="18">
        <v>44516571785</v>
      </c>
      <c r="AE12" s="18">
        <v>18297931383.529999</v>
      </c>
      <c r="AF12" s="18">
        <v>2322738735</v>
      </c>
      <c r="AG12" s="18">
        <v>18297931383.529999</v>
      </c>
      <c r="AH12" s="18">
        <v>22286904675.470001</v>
      </c>
      <c r="AI12" s="19">
        <v>0.41103639947619564</v>
      </c>
    </row>
    <row r="13" spans="1:35" s="20" customFormat="1" hidden="1" x14ac:dyDescent="0.25">
      <c r="A13" s="16" t="s">
        <v>244</v>
      </c>
      <c r="B13" s="17" t="s">
        <v>245</v>
      </c>
      <c r="C13" s="18">
        <f>SUM(C14)</f>
        <v>32250745169</v>
      </c>
      <c r="D13" s="18">
        <f t="shared" ref="D13:J13" si="9">SUM(D14)</f>
        <v>0</v>
      </c>
      <c r="E13" s="18">
        <f t="shared" si="9"/>
        <v>0</v>
      </c>
      <c r="F13" s="18">
        <f t="shared" si="9"/>
        <v>32250745169</v>
      </c>
      <c r="G13" s="18">
        <f t="shared" si="9"/>
        <v>12380388672.280001</v>
      </c>
      <c r="H13" s="18">
        <f t="shared" si="9"/>
        <v>1857730232</v>
      </c>
      <c r="I13" s="18">
        <f t="shared" si="9"/>
        <v>12380388672.280001</v>
      </c>
      <c r="J13" s="18">
        <f t="shared" si="9"/>
        <v>19870356496.720001</v>
      </c>
      <c r="K13" s="19">
        <f t="shared" si="1"/>
        <v>0.38387915092827851</v>
      </c>
      <c r="L13" s="113">
        <f t="shared" si="3"/>
        <v>0</v>
      </c>
      <c r="M13" s="16" t="s">
        <v>244</v>
      </c>
      <c r="N13" s="17" t="s">
        <v>245</v>
      </c>
      <c r="O13" s="18">
        <v>32250745169</v>
      </c>
      <c r="P13" s="18">
        <v>0</v>
      </c>
      <c r="Q13" s="18">
        <v>0</v>
      </c>
      <c r="R13" s="18">
        <v>32250745169</v>
      </c>
      <c r="S13" s="18">
        <v>10372939245.280001</v>
      </c>
      <c r="T13" s="18">
        <v>149719195</v>
      </c>
      <c r="U13" s="18">
        <v>10522658440.280001</v>
      </c>
      <c r="V13" s="18">
        <v>21728086728.720001</v>
      </c>
      <c r="W13" s="19">
        <v>0.32627644369577452</v>
      </c>
      <c r="Y13" s="16" t="s">
        <v>244</v>
      </c>
      <c r="Z13" s="17" t="s">
        <v>245</v>
      </c>
      <c r="AA13" s="18">
        <v>32250745169</v>
      </c>
      <c r="AB13" s="18">
        <v>0</v>
      </c>
      <c r="AC13" s="18">
        <v>0</v>
      </c>
      <c r="AD13" s="18">
        <v>32250745169</v>
      </c>
      <c r="AE13" s="18">
        <v>12380388672.280001</v>
      </c>
      <c r="AF13" s="18">
        <v>1857730232</v>
      </c>
      <c r="AG13" s="18">
        <v>12380388672.280001</v>
      </c>
      <c r="AH13" s="18">
        <v>19870356496.720001</v>
      </c>
      <c r="AI13" s="19">
        <v>0.38387915092827851</v>
      </c>
    </row>
    <row r="14" spans="1:35" hidden="1" x14ac:dyDescent="0.25">
      <c r="A14" s="21" t="s">
        <v>246</v>
      </c>
      <c r="B14" s="22" t="s">
        <v>247</v>
      </c>
      <c r="C14" s="23">
        <f>SUM(C15:C26)</f>
        <v>32250745169</v>
      </c>
      <c r="D14" s="23">
        <f t="shared" ref="D14:J14" si="10">SUM(D15:D26)</f>
        <v>0</v>
      </c>
      <c r="E14" s="23">
        <f t="shared" si="10"/>
        <v>0</v>
      </c>
      <c r="F14" s="23">
        <f t="shared" si="10"/>
        <v>32250745169</v>
      </c>
      <c r="G14" s="23">
        <f t="shared" si="10"/>
        <v>12380388672.280001</v>
      </c>
      <c r="H14" s="23">
        <f t="shared" si="10"/>
        <v>1857730232</v>
      </c>
      <c r="I14" s="23">
        <f t="shared" si="10"/>
        <v>12380388672.280001</v>
      </c>
      <c r="J14" s="23">
        <f t="shared" si="10"/>
        <v>19870356496.720001</v>
      </c>
      <c r="K14" s="24">
        <f t="shared" si="1"/>
        <v>0.38387915092827851</v>
      </c>
      <c r="L14" s="113">
        <f t="shared" si="3"/>
        <v>0</v>
      </c>
      <c r="M14" s="21" t="s">
        <v>246</v>
      </c>
      <c r="N14" s="22" t="s">
        <v>247</v>
      </c>
      <c r="O14" s="23">
        <v>32250745169</v>
      </c>
      <c r="P14" s="23">
        <v>0</v>
      </c>
      <c r="Q14" s="23">
        <v>0</v>
      </c>
      <c r="R14" s="23">
        <v>32250745169</v>
      </c>
      <c r="S14" s="23">
        <v>10372939245.280001</v>
      </c>
      <c r="T14" s="23">
        <v>149719195</v>
      </c>
      <c r="U14" s="23">
        <v>10522658440.280001</v>
      </c>
      <c r="V14" s="23">
        <v>21728086728.720001</v>
      </c>
      <c r="W14" s="24">
        <v>0.32627644369577452</v>
      </c>
      <c r="Y14" s="21" t="s">
        <v>246</v>
      </c>
      <c r="Z14" s="22" t="s">
        <v>247</v>
      </c>
      <c r="AA14" s="23">
        <v>32250745169</v>
      </c>
      <c r="AB14" s="23">
        <v>0</v>
      </c>
      <c r="AC14" s="23">
        <v>0</v>
      </c>
      <c r="AD14" s="23">
        <v>32250745169</v>
      </c>
      <c r="AE14" s="23">
        <v>12380388672.280001</v>
      </c>
      <c r="AF14" s="23">
        <v>1857730232</v>
      </c>
      <c r="AG14" s="23">
        <v>12380388672.280001</v>
      </c>
      <c r="AH14" s="23">
        <v>19870356496.720001</v>
      </c>
      <c r="AI14" s="24">
        <v>0.38387915092827851</v>
      </c>
    </row>
    <row r="15" spans="1:35" hidden="1" x14ac:dyDescent="0.25">
      <c r="A15" s="25" t="s">
        <v>248</v>
      </c>
      <c r="B15" s="26" t="s">
        <v>249</v>
      </c>
      <c r="C15" s="27">
        <v>1755025978</v>
      </c>
      <c r="D15" s="28"/>
      <c r="E15" s="29"/>
      <c r="F15" s="30">
        <f t="shared" ref="F15:F78" si="11">+C15+D15</f>
        <v>1755025978</v>
      </c>
      <c r="G15" s="31">
        <v>0</v>
      </c>
      <c r="H15" s="27"/>
      <c r="I15" s="31">
        <v>0</v>
      </c>
      <c r="J15" s="32">
        <f t="shared" ref="J15:J78" si="12">SUM(F15-I15)</f>
        <v>1755025978</v>
      </c>
      <c r="K15" s="33">
        <f t="shared" si="1"/>
        <v>0</v>
      </c>
      <c r="L15" s="113">
        <f t="shared" si="3"/>
        <v>0</v>
      </c>
      <c r="M15" s="25" t="s">
        <v>248</v>
      </c>
      <c r="N15" s="26" t="s">
        <v>249</v>
      </c>
      <c r="O15" s="27">
        <v>1755025978</v>
      </c>
      <c r="P15" s="28"/>
      <c r="Q15" s="29"/>
      <c r="R15" s="30">
        <v>1755025978</v>
      </c>
      <c r="S15" s="31">
        <v>0</v>
      </c>
      <c r="T15" s="27"/>
      <c r="U15" s="31">
        <v>0</v>
      </c>
      <c r="V15" s="32">
        <v>1755025978</v>
      </c>
      <c r="W15" s="33">
        <v>0</v>
      </c>
      <c r="Y15" s="25" t="s">
        <v>248</v>
      </c>
      <c r="Z15" s="26" t="s">
        <v>249</v>
      </c>
      <c r="AA15" s="27">
        <v>1755025978</v>
      </c>
      <c r="AB15" s="28"/>
      <c r="AC15" s="29"/>
      <c r="AD15" s="30">
        <v>1755025978</v>
      </c>
      <c r="AE15" s="31">
        <v>0</v>
      </c>
      <c r="AF15" s="27"/>
      <c r="AG15" s="31">
        <v>0</v>
      </c>
      <c r="AH15" s="32">
        <v>1755025978</v>
      </c>
      <c r="AI15" s="33">
        <v>0</v>
      </c>
    </row>
    <row r="16" spans="1:35" hidden="1" x14ac:dyDescent="0.25">
      <c r="A16" s="25" t="s">
        <v>250</v>
      </c>
      <c r="B16" s="26" t="s">
        <v>251</v>
      </c>
      <c r="C16" s="27">
        <v>27484600657</v>
      </c>
      <c r="D16" s="27"/>
      <c r="E16" s="34"/>
      <c r="F16" s="30">
        <f t="shared" si="11"/>
        <v>27484600657</v>
      </c>
      <c r="G16" s="31">
        <v>11136600412.280001</v>
      </c>
      <c r="H16" s="27">
        <v>1570322273</v>
      </c>
      <c r="I16" s="31">
        <v>11136600412.280001</v>
      </c>
      <c r="J16" s="32">
        <f t="shared" si="12"/>
        <v>16348000244.719999</v>
      </c>
      <c r="K16" s="33">
        <f t="shared" si="1"/>
        <v>0.40519418678341396</v>
      </c>
      <c r="L16" s="113">
        <f t="shared" si="3"/>
        <v>0</v>
      </c>
      <c r="M16" s="25" t="s">
        <v>250</v>
      </c>
      <c r="N16" s="26" t="s">
        <v>251</v>
      </c>
      <c r="O16" s="27">
        <v>27484600657</v>
      </c>
      <c r="P16" s="27"/>
      <c r="Q16" s="34"/>
      <c r="R16" s="30">
        <v>27484600657</v>
      </c>
      <c r="S16" s="31">
        <v>9484827514.2800007</v>
      </c>
      <c r="T16" s="27">
        <v>81450625</v>
      </c>
      <c r="U16" s="31">
        <v>9566278139.2800007</v>
      </c>
      <c r="V16" s="32">
        <v>17918322517.720001</v>
      </c>
      <c r="W16" s="33">
        <v>0.34805956465092697</v>
      </c>
      <c r="Y16" s="25" t="s">
        <v>250</v>
      </c>
      <c r="Z16" s="26" t="s">
        <v>251</v>
      </c>
      <c r="AA16" s="27">
        <v>27484600657</v>
      </c>
      <c r="AB16" s="27"/>
      <c r="AC16" s="34"/>
      <c r="AD16" s="30">
        <v>27484600657</v>
      </c>
      <c r="AE16" s="31">
        <v>11136600412.280001</v>
      </c>
      <c r="AF16" s="27">
        <v>1570322273</v>
      </c>
      <c r="AG16" s="31">
        <v>11136600412.280001</v>
      </c>
      <c r="AH16" s="32">
        <v>16348000244.719999</v>
      </c>
      <c r="AI16" s="33">
        <v>0.40519418678341396</v>
      </c>
    </row>
    <row r="17" spans="1:35" hidden="1" x14ac:dyDescent="0.25">
      <c r="A17" s="25" t="s">
        <v>252</v>
      </c>
      <c r="B17" s="26" t="s">
        <v>253</v>
      </c>
      <c r="C17" s="27">
        <v>10000764</v>
      </c>
      <c r="D17" s="27"/>
      <c r="E17" s="34"/>
      <c r="F17" s="30">
        <f t="shared" si="11"/>
        <v>10000764</v>
      </c>
      <c r="G17" s="31">
        <v>21234271</v>
      </c>
      <c r="H17" s="27"/>
      <c r="I17" s="31">
        <v>21234271</v>
      </c>
      <c r="J17" s="32">
        <f t="shared" si="12"/>
        <v>-11233507</v>
      </c>
      <c r="K17" s="33">
        <f t="shared" si="1"/>
        <v>2.1232648825629723</v>
      </c>
      <c r="L17" s="113">
        <f t="shared" si="3"/>
        <v>0</v>
      </c>
      <c r="M17" s="25" t="s">
        <v>252</v>
      </c>
      <c r="N17" s="26" t="s">
        <v>253</v>
      </c>
      <c r="O17" s="27">
        <v>10000764</v>
      </c>
      <c r="P17" s="27"/>
      <c r="Q17" s="34"/>
      <c r="R17" s="30">
        <v>10000764</v>
      </c>
      <c r="S17" s="31">
        <v>20918262</v>
      </c>
      <c r="T17" s="27">
        <v>316009</v>
      </c>
      <c r="U17" s="31">
        <v>21234271</v>
      </c>
      <c r="V17" s="32">
        <v>-11233507</v>
      </c>
      <c r="W17" s="33">
        <v>2.1232648825629723</v>
      </c>
      <c r="Y17" s="25" t="s">
        <v>252</v>
      </c>
      <c r="Z17" s="26" t="s">
        <v>253</v>
      </c>
      <c r="AA17" s="27">
        <v>10000764</v>
      </c>
      <c r="AB17" s="27"/>
      <c r="AC17" s="34"/>
      <c r="AD17" s="30">
        <v>10000764</v>
      </c>
      <c r="AE17" s="31">
        <v>21234271</v>
      </c>
      <c r="AF17" s="27"/>
      <c r="AG17" s="31">
        <v>21234271</v>
      </c>
      <c r="AH17" s="32">
        <v>-11233507</v>
      </c>
      <c r="AI17" s="33">
        <v>2.1232648825629723</v>
      </c>
    </row>
    <row r="18" spans="1:35" hidden="1" x14ac:dyDescent="0.25">
      <c r="A18" s="25" t="s">
        <v>254</v>
      </c>
      <c r="B18" s="26" t="s">
        <v>255</v>
      </c>
      <c r="C18" s="27">
        <v>1796956253</v>
      </c>
      <c r="D18" s="27"/>
      <c r="E18" s="34"/>
      <c r="F18" s="30">
        <f t="shared" si="11"/>
        <v>1796956253</v>
      </c>
      <c r="G18" s="31">
        <v>608761153</v>
      </c>
      <c r="H18" s="27">
        <v>40847000</v>
      </c>
      <c r="I18" s="31">
        <v>608761153</v>
      </c>
      <c r="J18" s="32">
        <f t="shared" si="12"/>
        <v>1188195100</v>
      </c>
      <c r="K18" s="33">
        <f t="shared" si="1"/>
        <v>0.33877349656324662</v>
      </c>
      <c r="L18" s="113">
        <f t="shared" si="3"/>
        <v>0</v>
      </c>
      <c r="M18" s="25" t="s">
        <v>254</v>
      </c>
      <c r="N18" s="26" t="s">
        <v>255</v>
      </c>
      <c r="O18" s="27">
        <v>1796956253</v>
      </c>
      <c r="P18" s="27"/>
      <c r="Q18" s="34"/>
      <c r="R18" s="30">
        <v>1796956253</v>
      </c>
      <c r="S18" s="31">
        <v>529812153</v>
      </c>
      <c r="T18" s="27">
        <v>38102000</v>
      </c>
      <c r="U18" s="31">
        <v>567914153</v>
      </c>
      <c r="V18" s="32">
        <v>1229042100</v>
      </c>
      <c r="W18" s="33">
        <v>0.31604228096920733</v>
      </c>
      <c r="Y18" s="25" t="s">
        <v>254</v>
      </c>
      <c r="Z18" s="26" t="s">
        <v>255</v>
      </c>
      <c r="AA18" s="27">
        <v>1796956253</v>
      </c>
      <c r="AB18" s="27"/>
      <c r="AC18" s="34"/>
      <c r="AD18" s="30">
        <v>1796956253</v>
      </c>
      <c r="AE18" s="31">
        <v>608761153</v>
      </c>
      <c r="AF18" s="27">
        <v>40847000</v>
      </c>
      <c r="AG18" s="31">
        <v>608761153</v>
      </c>
      <c r="AH18" s="32">
        <v>1188195100</v>
      </c>
      <c r="AI18" s="33">
        <v>0.33877349656324662</v>
      </c>
    </row>
    <row r="19" spans="1:35" hidden="1" x14ac:dyDescent="0.25">
      <c r="A19" s="25" t="s">
        <v>256</v>
      </c>
      <c r="B19" s="26" t="s">
        <v>257</v>
      </c>
      <c r="C19" s="27">
        <v>5182800</v>
      </c>
      <c r="D19" s="27"/>
      <c r="E19" s="29"/>
      <c r="F19" s="30">
        <f t="shared" si="11"/>
        <v>5182800</v>
      </c>
      <c r="G19" s="31">
        <v>1050000</v>
      </c>
      <c r="H19" s="27"/>
      <c r="I19" s="31">
        <v>1050000</v>
      </c>
      <c r="J19" s="32">
        <f t="shared" si="12"/>
        <v>4132800</v>
      </c>
      <c r="K19" s="35">
        <f t="shared" si="1"/>
        <v>0.2025931928687196</v>
      </c>
      <c r="L19" s="113">
        <f t="shared" si="3"/>
        <v>0</v>
      </c>
      <c r="M19" s="25" t="s">
        <v>256</v>
      </c>
      <c r="N19" s="26" t="s">
        <v>257</v>
      </c>
      <c r="O19" s="27">
        <v>5182800</v>
      </c>
      <c r="P19" s="27"/>
      <c r="Q19" s="29"/>
      <c r="R19" s="30">
        <v>5182800</v>
      </c>
      <c r="S19" s="31">
        <v>1020000</v>
      </c>
      <c r="T19" s="27">
        <v>30000</v>
      </c>
      <c r="U19" s="31">
        <v>1050000</v>
      </c>
      <c r="V19" s="32">
        <v>4132800</v>
      </c>
      <c r="W19" s="35">
        <v>0.2025931928687196</v>
      </c>
      <c r="Y19" s="25" t="s">
        <v>256</v>
      </c>
      <c r="Z19" s="26" t="s">
        <v>257</v>
      </c>
      <c r="AA19" s="27">
        <v>5182800</v>
      </c>
      <c r="AB19" s="27"/>
      <c r="AC19" s="29"/>
      <c r="AD19" s="30">
        <v>5182800</v>
      </c>
      <c r="AE19" s="31">
        <v>1050000</v>
      </c>
      <c r="AF19" s="27"/>
      <c r="AG19" s="31">
        <v>1050000</v>
      </c>
      <c r="AH19" s="32">
        <v>4132800</v>
      </c>
      <c r="AI19" s="35">
        <v>0.2025931928687196</v>
      </c>
    </row>
    <row r="20" spans="1:35" hidden="1" x14ac:dyDescent="0.25">
      <c r="A20" s="25" t="s">
        <v>258</v>
      </c>
      <c r="B20" s="26" t="s">
        <v>259</v>
      </c>
      <c r="C20" s="27">
        <v>87550000</v>
      </c>
      <c r="D20" s="27"/>
      <c r="E20" s="34"/>
      <c r="F20" s="30">
        <f t="shared" si="11"/>
        <v>87550000</v>
      </c>
      <c r="G20" s="31">
        <v>78986323</v>
      </c>
      <c r="H20" s="27">
        <v>6541369</v>
      </c>
      <c r="I20" s="31">
        <v>78986323</v>
      </c>
      <c r="J20" s="32">
        <f t="shared" si="12"/>
        <v>8563677</v>
      </c>
      <c r="K20" s="33">
        <f t="shared" si="1"/>
        <v>0.90218529982866935</v>
      </c>
      <c r="L20" s="113">
        <f t="shared" si="3"/>
        <v>0</v>
      </c>
      <c r="M20" s="25" t="s">
        <v>258</v>
      </c>
      <c r="N20" s="26" t="s">
        <v>259</v>
      </c>
      <c r="O20" s="27">
        <v>87550000</v>
      </c>
      <c r="P20" s="27"/>
      <c r="Q20" s="34"/>
      <c r="R20" s="30">
        <v>87550000</v>
      </c>
      <c r="S20" s="31">
        <v>65329154</v>
      </c>
      <c r="T20" s="27">
        <v>7115800</v>
      </c>
      <c r="U20" s="31">
        <v>72444954</v>
      </c>
      <c r="V20" s="32">
        <v>15105046</v>
      </c>
      <c r="W20" s="33">
        <v>0.82746949171901774</v>
      </c>
      <c r="Y20" s="25" t="s">
        <v>258</v>
      </c>
      <c r="Z20" s="26" t="s">
        <v>259</v>
      </c>
      <c r="AA20" s="27">
        <v>87550000</v>
      </c>
      <c r="AB20" s="27"/>
      <c r="AC20" s="34"/>
      <c r="AD20" s="30">
        <v>87550000</v>
      </c>
      <c r="AE20" s="31">
        <v>78986323</v>
      </c>
      <c r="AF20" s="27">
        <v>6541369</v>
      </c>
      <c r="AG20" s="31">
        <v>78986323</v>
      </c>
      <c r="AH20" s="32">
        <v>8563677</v>
      </c>
      <c r="AI20" s="33">
        <v>0.90218529982866935</v>
      </c>
    </row>
    <row r="21" spans="1:35" hidden="1" x14ac:dyDescent="0.25">
      <c r="A21" s="25" t="s">
        <v>260</v>
      </c>
      <c r="B21" s="26" t="s">
        <v>261</v>
      </c>
      <c r="C21" s="27">
        <v>13081000</v>
      </c>
      <c r="D21" s="27"/>
      <c r="E21" s="34"/>
      <c r="F21" s="30">
        <f t="shared" si="11"/>
        <v>13081000</v>
      </c>
      <c r="G21" s="31">
        <v>2332000</v>
      </c>
      <c r="H21" s="27"/>
      <c r="I21" s="31">
        <v>2332000</v>
      </c>
      <c r="J21" s="32">
        <f t="shared" si="12"/>
        <v>10749000</v>
      </c>
      <c r="K21" s="33">
        <f t="shared" si="1"/>
        <v>0.17827383227581989</v>
      </c>
      <c r="L21" s="113">
        <f t="shared" si="3"/>
        <v>0</v>
      </c>
      <c r="M21" s="25" t="s">
        <v>260</v>
      </c>
      <c r="N21" s="26" t="s">
        <v>261</v>
      </c>
      <c r="O21" s="27">
        <v>13081000</v>
      </c>
      <c r="P21" s="27"/>
      <c r="Q21" s="34"/>
      <c r="R21" s="30">
        <v>13081000</v>
      </c>
      <c r="S21" s="31">
        <v>832000</v>
      </c>
      <c r="T21" s="27">
        <v>1500000</v>
      </c>
      <c r="U21" s="31">
        <v>2332000</v>
      </c>
      <c r="V21" s="32">
        <v>10749000</v>
      </c>
      <c r="W21" s="33">
        <v>0.17827383227581989</v>
      </c>
      <c r="Y21" s="25" t="s">
        <v>260</v>
      </c>
      <c r="Z21" s="26" t="s">
        <v>261</v>
      </c>
      <c r="AA21" s="27">
        <v>13081000</v>
      </c>
      <c r="AB21" s="27"/>
      <c r="AC21" s="34"/>
      <c r="AD21" s="30">
        <v>13081000</v>
      </c>
      <c r="AE21" s="31">
        <v>2332000</v>
      </c>
      <c r="AF21" s="27"/>
      <c r="AG21" s="31">
        <v>2332000</v>
      </c>
      <c r="AH21" s="32">
        <v>10749000</v>
      </c>
      <c r="AI21" s="33">
        <v>0.17827383227581989</v>
      </c>
    </row>
    <row r="22" spans="1:35" hidden="1" x14ac:dyDescent="0.25">
      <c r="A22" s="25" t="s">
        <v>262</v>
      </c>
      <c r="B22" s="26" t="s">
        <v>263</v>
      </c>
      <c r="C22" s="27">
        <v>61800000</v>
      </c>
      <c r="D22" s="27"/>
      <c r="E22" s="34"/>
      <c r="F22" s="30">
        <f t="shared" si="11"/>
        <v>61800000</v>
      </c>
      <c r="G22" s="31">
        <v>31076128</v>
      </c>
      <c r="H22" s="27">
        <v>185882</v>
      </c>
      <c r="I22" s="31">
        <v>31076128</v>
      </c>
      <c r="J22" s="32">
        <f t="shared" si="12"/>
        <v>30723872</v>
      </c>
      <c r="K22" s="33">
        <f t="shared" si="1"/>
        <v>0.50284996763754042</v>
      </c>
      <c r="L22" s="113">
        <f t="shared" si="3"/>
        <v>0</v>
      </c>
      <c r="M22" s="25" t="s">
        <v>262</v>
      </c>
      <c r="N22" s="26" t="s">
        <v>263</v>
      </c>
      <c r="O22" s="27">
        <v>61800000</v>
      </c>
      <c r="P22" s="27"/>
      <c r="Q22" s="34"/>
      <c r="R22" s="30">
        <v>61800000</v>
      </c>
      <c r="S22" s="31">
        <v>30602346</v>
      </c>
      <c r="T22" s="27">
        <v>287900</v>
      </c>
      <c r="U22" s="31">
        <v>30890246</v>
      </c>
      <c r="V22" s="32">
        <v>30909754</v>
      </c>
      <c r="W22" s="33">
        <v>0.49984216828478967</v>
      </c>
      <c r="Y22" s="25" t="s">
        <v>262</v>
      </c>
      <c r="Z22" s="26" t="s">
        <v>263</v>
      </c>
      <c r="AA22" s="27">
        <v>61800000</v>
      </c>
      <c r="AB22" s="27"/>
      <c r="AC22" s="34"/>
      <c r="AD22" s="30">
        <v>61800000</v>
      </c>
      <c r="AE22" s="31">
        <v>31076128</v>
      </c>
      <c r="AF22" s="27">
        <v>185882</v>
      </c>
      <c r="AG22" s="31">
        <v>31076128</v>
      </c>
      <c r="AH22" s="32">
        <v>30723872</v>
      </c>
      <c r="AI22" s="33">
        <v>0.50284996763754042</v>
      </c>
    </row>
    <row r="23" spans="1:35" hidden="1" x14ac:dyDescent="0.25">
      <c r="A23" s="25" t="s">
        <v>264</v>
      </c>
      <c r="B23" s="26" t="s">
        <v>265</v>
      </c>
      <c r="C23" s="27">
        <v>7004000</v>
      </c>
      <c r="D23" s="27"/>
      <c r="E23" s="34"/>
      <c r="F23" s="30">
        <f t="shared" si="11"/>
        <v>7004000</v>
      </c>
      <c r="G23" s="31">
        <v>1996500</v>
      </c>
      <c r="H23" s="27">
        <v>300000</v>
      </c>
      <c r="I23" s="31">
        <v>1996500</v>
      </c>
      <c r="J23" s="32">
        <f t="shared" si="12"/>
        <v>5007500</v>
      </c>
      <c r="K23" s="33">
        <f t="shared" si="1"/>
        <v>0.28505139920045686</v>
      </c>
      <c r="L23" s="113">
        <f t="shared" si="3"/>
        <v>0</v>
      </c>
      <c r="M23" s="25" t="s">
        <v>264</v>
      </c>
      <c r="N23" s="26" t="s">
        <v>265</v>
      </c>
      <c r="O23" s="27">
        <v>7004000</v>
      </c>
      <c r="P23" s="27"/>
      <c r="Q23" s="34"/>
      <c r="R23" s="30">
        <v>7004000</v>
      </c>
      <c r="S23" s="31">
        <v>1635500</v>
      </c>
      <c r="T23" s="27">
        <v>61000</v>
      </c>
      <c r="U23" s="31">
        <v>1696500</v>
      </c>
      <c r="V23" s="32">
        <v>5307500</v>
      </c>
      <c r="W23" s="33">
        <v>0.24221873215305539</v>
      </c>
      <c r="Y23" s="25" t="s">
        <v>264</v>
      </c>
      <c r="Z23" s="26" t="s">
        <v>265</v>
      </c>
      <c r="AA23" s="27">
        <v>7004000</v>
      </c>
      <c r="AB23" s="27"/>
      <c r="AC23" s="34"/>
      <c r="AD23" s="30">
        <v>7004000</v>
      </c>
      <c r="AE23" s="31">
        <v>1996500</v>
      </c>
      <c r="AF23" s="27">
        <v>300000</v>
      </c>
      <c r="AG23" s="31">
        <v>1996500</v>
      </c>
      <c r="AH23" s="32">
        <v>5007500</v>
      </c>
      <c r="AI23" s="33">
        <v>0.28505139920045686</v>
      </c>
    </row>
    <row r="24" spans="1:35" hidden="1" x14ac:dyDescent="0.25">
      <c r="A24" s="25" t="s">
        <v>266</v>
      </c>
      <c r="B24" s="26" t="s">
        <v>267</v>
      </c>
      <c r="C24" s="27">
        <v>15000000</v>
      </c>
      <c r="D24" s="27"/>
      <c r="E24" s="34"/>
      <c r="F24" s="30">
        <f>+C24+D24</f>
        <v>15000000</v>
      </c>
      <c r="G24" s="31">
        <v>17203200</v>
      </c>
      <c r="H24" s="27">
        <v>226000</v>
      </c>
      <c r="I24" s="31">
        <v>17203200</v>
      </c>
      <c r="J24" s="32">
        <f>SUM(F24-I24)</f>
        <v>-2203200</v>
      </c>
      <c r="K24" s="33">
        <f t="shared" si="1"/>
        <v>1.1468799999999999</v>
      </c>
      <c r="L24" s="113">
        <f t="shared" si="3"/>
        <v>0</v>
      </c>
      <c r="M24" s="25" t="s">
        <v>266</v>
      </c>
      <c r="N24" s="26" t="s">
        <v>267</v>
      </c>
      <c r="O24" s="27">
        <v>15000000</v>
      </c>
      <c r="P24" s="27"/>
      <c r="Q24" s="34"/>
      <c r="R24" s="30">
        <v>15000000</v>
      </c>
      <c r="S24" s="31">
        <v>16750700</v>
      </c>
      <c r="T24" s="27">
        <v>226500</v>
      </c>
      <c r="U24" s="31">
        <v>16977200</v>
      </c>
      <c r="V24" s="32">
        <v>-1977200</v>
      </c>
      <c r="W24" s="33">
        <v>1.1318133333333333</v>
      </c>
      <c r="Y24" s="25" t="s">
        <v>266</v>
      </c>
      <c r="Z24" s="26" t="s">
        <v>267</v>
      </c>
      <c r="AA24" s="27">
        <v>15000000</v>
      </c>
      <c r="AB24" s="27"/>
      <c r="AC24" s="34"/>
      <c r="AD24" s="30">
        <v>15000000</v>
      </c>
      <c r="AE24" s="31">
        <v>17203200</v>
      </c>
      <c r="AF24" s="27">
        <v>226000</v>
      </c>
      <c r="AG24" s="31">
        <v>17203200</v>
      </c>
      <c r="AH24" s="32">
        <v>-2203200</v>
      </c>
      <c r="AI24" s="33">
        <v>1.1468799999999999</v>
      </c>
    </row>
    <row r="25" spans="1:35" hidden="1" x14ac:dyDescent="0.25">
      <c r="A25" s="25" t="s">
        <v>268</v>
      </c>
      <c r="B25" s="26" t="s">
        <v>269</v>
      </c>
      <c r="C25" s="27">
        <v>940383717</v>
      </c>
      <c r="D25" s="27"/>
      <c r="E25" s="34"/>
      <c r="F25" s="30">
        <f>+C25+D25</f>
        <v>940383717</v>
      </c>
      <c r="G25" s="31">
        <v>473408071</v>
      </c>
      <c r="H25" s="27">
        <v>236679644</v>
      </c>
      <c r="I25" s="31">
        <v>473408071</v>
      </c>
      <c r="J25" s="32">
        <f>SUM(F25-I25)</f>
        <v>466975646</v>
      </c>
      <c r="K25" s="33">
        <f t="shared" si="1"/>
        <v>0.50342010653933944</v>
      </c>
      <c r="L25" s="113">
        <f t="shared" si="3"/>
        <v>0</v>
      </c>
      <c r="M25" s="25" t="s">
        <v>268</v>
      </c>
      <c r="N25" s="26" t="s">
        <v>269</v>
      </c>
      <c r="O25" s="27">
        <v>940383717</v>
      </c>
      <c r="P25" s="27"/>
      <c r="Q25" s="34"/>
      <c r="R25" s="30">
        <v>940383717</v>
      </c>
      <c r="S25" s="31">
        <v>216319066</v>
      </c>
      <c r="T25" s="27">
        <v>20409361</v>
      </c>
      <c r="U25" s="31">
        <v>236728427</v>
      </c>
      <c r="V25" s="32">
        <v>703655290</v>
      </c>
      <c r="W25" s="33">
        <v>0.25173599108586009</v>
      </c>
      <c r="Y25" s="25" t="s">
        <v>268</v>
      </c>
      <c r="Z25" s="26" t="s">
        <v>269</v>
      </c>
      <c r="AA25" s="27">
        <v>940383717</v>
      </c>
      <c r="AB25" s="27"/>
      <c r="AC25" s="34"/>
      <c r="AD25" s="30">
        <v>940383717</v>
      </c>
      <c r="AE25" s="31">
        <v>473408071</v>
      </c>
      <c r="AF25" s="27">
        <v>236679644</v>
      </c>
      <c r="AG25" s="31">
        <v>473408071</v>
      </c>
      <c r="AH25" s="32">
        <v>466975646</v>
      </c>
      <c r="AI25" s="33">
        <v>0.50342010653933944</v>
      </c>
    </row>
    <row r="26" spans="1:35" hidden="1" x14ac:dyDescent="0.25">
      <c r="A26" s="25" t="s">
        <v>270</v>
      </c>
      <c r="B26" s="26" t="s">
        <v>271</v>
      </c>
      <c r="C26" s="27">
        <v>74160000</v>
      </c>
      <c r="D26" s="27"/>
      <c r="E26" s="34"/>
      <c r="F26" s="30">
        <f>+C26+D26</f>
        <v>74160000</v>
      </c>
      <c r="G26" s="31">
        <v>7740614</v>
      </c>
      <c r="H26" s="27">
        <v>2628064</v>
      </c>
      <c r="I26" s="31">
        <v>7740614</v>
      </c>
      <c r="J26" s="32">
        <f>SUM(F26-I26)</f>
        <v>66419386</v>
      </c>
      <c r="K26" s="33">
        <f t="shared" si="1"/>
        <v>0.1043772114347357</v>
      </c>
      <c r="L26" s="113">
        <f t="shared" si="3"/>
        <v>0</v>
      </c>
      <c r="M26" s="25" t="s">
        <v>270</v>
      </c>
      <c r="N26" s="26" t="s">
        <v>271</v>
      </c>
      <c r="O26" s="27">
        <v>74160000</v>
      </c>
      <c r="P26" s="27"/>
      <c r="Q26" s="34"/>
      <c r="R26" s="30">
        <v>74160000</v>
      </c>
      <c r="S26" s="31">
        <v>4892550</v>
      </c>
      <c r="T26" s="27">
        <v>220000</v>
      </c>
      <c r="U26" s="31">
        <v>5112550</v>
      </c>
      <c r="V26" s="32">
        <v>69047450</v>
      </c>
      <c r="W26" s="33">
        <v>6.8939455231930957E-2</v>
      </c>
      <c r="Y26" s="25" t="s">
        <v>270</v>
      </c>
      <c r="Z26" s="26" t="s">
        <v>271</v>
      </c>
      <c r="AA26" s="27">
        <v>74160000</v>
      </c>
      <c r="AB26" s="27"/>
      <c r="AC26" s="34"/>
      <c r="AD26" s="30">
        <v>74160000</v>
      </c>
      <c r="AE26" s="31">
        <v>7740614</v>
      </c>
      <c r="AF26" s="27">
        <v>2628064</v>
      </c>
      <c r="AG26" s="31">
        <v>7740614</v>
      </c>
      <c r="AH26" s="32">
        <v>66419386</v>
      </c>
      <c r="AI26" s="33">
        <v>0.1043772114347357</v>
      </c>
    </row>
    <row r="27" spans="1:35" s="20" customFormat="1" hidden="1" x14ac:dyDescent="0.25">
      <c r="A27" s="16" t="s">
        <v>272</v>
      </c>
      <c r="B27" s="17" t="s">
        <v>273</v>
      </c>
      <c r="C27" s="18">
        <f>+C28+C34+C39</f>
        <v>9796488332</v>
      </c>
      <c r="D27" s="18">
        <f t="shared" ref="D27:J27" si="13">+D28+D34+D39</f>
        <v>0</v>
      </c>
      <c r="E27" s="18">
        <f t="shared" si="13"/>
        <v>0</v>
      </c>
      <c r="F27" s="18">
        <f t="shared" si="13"/>
        <v>9796488332</v>
      </c>
      <c r="G27" s="18">
        <f t="shared" si="13"/>
        <v>4380576036</v>
      </c>
      <c r="H27" s="18">
        <f t="shared" si="13"/>
        <v>134520159</v>
      </c>
      <c r="I27" s="18">
        <f t="shared" si="13"/>
        <v>4380576036</v>
      </c>
      <c r="J27" s="18">
        <f t="shared" si="13"/>
        <v>1484176570</v>
      </c>
      <c r="K27" s="19">
        <f t="shared" si="1"/>
        <v>0.44715778629480429</v>
      </c>
      <c r="L27" s="113">
        <f t="shared" si="3"/>
        <v>0</v>
      </c>
      <c r="M27" s="16" t="s">
        <v>272</v>
      </c>
      <c r="N27" s="17" t="s">
        <v>273</v>
      </c>
      <c r="O27" s="18">
        <v>9796488332</v>
      </c>
      <c r="P27" s="18">
        <v>0</v>
      </c>
      <c r="Q27" s="18">
        <v>0</v>
      </c>
      <c r="R27" s="18">
        <v>9796488332</v>
      </c>
      <c r="S27" s="18">
        <v>4015292460</v>
      </c>
      <c r="T27" s="18">
        <v>230763417</v>
      </c>
      <c r="U27" s="18">
        <v>4246055877</v>
      </c>
      <c r="V27" s="18">
        <v>5550432455</v>
      </c>
      <c r="W27" s="19">
        <v>0.433426319013759</v>
      </c>
      <c r="Y27" s="16" t="s">
        <v>272</v>
      </c>
      <c r="Z27" s="17" t="s">
        <v>273</v>
      </c>
      <c r="AA27" s="18">
        <v>9796488332</v>
      </c>
      <c r="AB27" s="18">
        <v>0</v>
      </c>
      <c r="AC27" s="18">
        <v>0</v>
      </c>
      <c r="AD27" s="18">
        <v>9796488332</v>
      </c>
      <c r="AE27" s="18">
        <v>4380576036</v>
      </c>
      <c r="AF27" s="18">
        <v>134520159</v>
      </c>
      <c r="AG27" s="18">
        <v>4380576036</v>
      </c>
      <c r="AH27" s="18">
        <v>1484176570</v>
      </c>
      <c r="AI27" s="19">
        <v>0.44715778629480429</v>
      </c>
    </row>
    <row r="28" spans="1:35" hidden="1" x14ac:dyDescent="0.25">
      <c r="A28" s="21" t="s">
        <v>274</v>
      </c>
      <c r="B28" s="22" t="s">
        <v>275</v>
      </c>
      <c r="C28" s="23">
        <f>SUM(C29:C33)</f>
        <v>4983476830</v>
      </c>
      <c r="D28" s="23">
        <f t="shared" ref="D28:J28" si="14">SUM(D29:D33)</f>
        <v>0</v>
      </c>
      <c r="E28" s="23">
        <f t="shared" si="14"/>
        <v>0</v>
      </c>
      <c r="F28" s="23">
        <f t="shared" si="14"/>
        <v>4983476830</v>
      </c>
      <c r="G28" s="23">
        <f t="shared" si="14"/>
        <v>2110914166</v>
      </c>
      <c r="H28" s="23">
        <f t="shared" si="14"/>
        <v>65769761</v>
      </c>
      <c r="I28" s="23">
        <f t="shared" si="14"/>
        <v>2110914166</v>
      </c>
      <c r="J28" s="23">
        <f t="shared" si="14"/>
        <v>664975378</v>
      </c>
      <c r="K28" s="36">
        <f t="shared" si="1"/>
        <v>0.42358261872364317</v>
      </c>
      <c r="L28" s="113">
        <f t="shared" si="3"/>
        <v>0</v>
      </c>
      <c r="M28" s="21" t="s">
        <v>274</v>
      </c>
      <c r="N28" s="22" t="s">
        <v>275</v>
      </c>
      <c r="O28" s="23">
        <v>4983476830</v>
      </c>
      <c r="P28" s="23">
        <v>0</v>
      </c>
      <c r="Q28" s="23">
        <v>0</v>
      </c>
      <c r="R28" s="23">
        <v>4983476830</v>
      </c>
      <c r="S28" s="23">
        <v>1990939778</v>
      </c>
      <c r="T28" s="23">
        <v>54204627</v>
      </c>
      <c r="U28" s="23">
        <v>2045144405</v>
      </c>
      <c r="V28" s="23">
        <v>2938332425</v>
      </c>
      <c r="W28" s="36">
        <v>0.41038505340055931</v>
      </c>
      <c r="Y28" s="21" t="s">
        <v>274</v>
      </c>
      <c r="Z28" s="22" t="s">
        <v>275</v>
      </c>
      <c r="AA28" s="23">
        <v>4983476830</v>
      </c>
      <c r="AB28" s="23">
        <v>0</v>
      </c>
      <c r="AC28" s="23">
        <v>0</v>
      </c>
      <c r="AD28" s="23">
        <v>4983476830</v>
      </c>
      <c r="AE28" s="23">
        <v>2110914166</v>
      </c>
      <c r="AF28" s="23">
        <v>65769761</v>
      </c>
      <c r="AG28" s="23">
        <v>2110914166</v>
      </c>
      <c r="AH28" s="23">
        <v>664975378</v>
      </c>
      <c r="AI28" s="36">
        <v>0.42358261872364317</v>
      </c>
    </row>
    <row r="29" spans="1:35" hidden="1" x14ac:dyDescent="0.25">
      <c r="A29" s="25" t="s">
        <v>276</v>
      </c>
      <c r="B29" s="26" t="s">
        <v>249</v>
      </c>
      <c r="C29" s="27">
        <v>176410005</v>
      </c>
      <c r="D29" s="27"/>
      <c r="E29" s="34"/>
      <c r="F29" s="30">
        <f t="shared" si="11"/>
        <v>176410005</v>
      </c>
      <c r="G29" s="31">
        <v>41052000</v>
      </c>
      <c r="H29" s="27"/>
      <c r="I29" s="31">
        <v>41052000</v>
      </c>
      <c r="J29" s="32">
        <v>21234271</v>
      </c>
      <c r="K29" s="33">
        <f t="shared" si="1"/>
        <v>0.23270788978210163</v>
      </c>
      <c r="L29" s="113">
        <f t="shared" si="3"/>
        <v>0</v>
      </c>
      <c r="M29" s="25" t="s">
        <v>276</v>
      </c>
      <c r="N29" s="26" t="s">
        <v>249</v>
      </c>
      <c r="O29" s="27">
        <v>176410005</v>
      </c>
      <c r="P29" s="27"/>
      <c r="Q29" s="34"/>
      <c r="R29" s="30">
        <v>176410005</v>
      </c>
      <c r="S29" s="31">
        <v>41052000</v>
      </c>
      <c r="T29" s="27"/>
      <c r="U29" s="31">
        <v>41052000</v>
      </c>
      <c r="V29" s="32">
        <v>135358005</v>
      </c>
      <c r="W29" s="33">
        <v>0.23270788978210163</v>
      </c>
      <c r="Y29" s="25" t="s">
        <v>276</v>
      </c>
      <c r="Z29" s="26" t="s">
        <v>249</v>
      </c>
      <c r="AA29" s="27">
        <v>176410005</v>
      </c>
      <c r="AB29" s="27"/>
      <c r="AC29" s="34"/>
      <c r="AD29" s="30">
        <v>176410005</v>
      </c>
      <c r="AE29" s="31">
        <v>41052000</v>
      </c>
      <c r="AF29" s="27"/>
      <c r="AG29" s="31">
        <v>41052000</v>
      </c>
      <c r="AH29" s="32">
        <v>21234271</v>
      </c>
      <c r="AI29" s="33">
        <v>0.23270788978210163</v>
      </c>
    </row>
    <row r="30" spans="1:35" hidden="1" x14ac:dyDescent="0.25">
      <c r="A30" s="25" t="s">
        <v>277</v>
      </c>
      <c r="B30" s="26" t="s">
        <v>251</v>
      </c>
      <c r="C30" s="27">
        <v>4000596877</v>
      </c>
      <c r="D30" s="27"/>
      <c r="E30" s="34"/>
      <c r="F30" s="30">
        <f t="shared" si="11"/>
        <v>4000596877</v>
      </c>
      <c r="G30" s="31">
        <v>1909914753</v>
      </c>
      <c r="H30" s="27">
        <v>62765986</v>
      </c>
      <c r="I30" s="31">
        <v>1909914753</v>
      </c>
      <c r="J30" s="32">
        <v>567914153</v>
      </c>
      <c r="K30" s="33">
        <f t="shared" si="1"/>
        <v>0.47740744986838624</v>
      </c>
      <c r="L30" s="113">
        <f t="shared" si="3"/>
        <v>0</v>
      </c>
      <c r="M30" s="25" t="s">
        <v>277</v>
      </c>
      <c r="N30" s="26" t="s">
        <v>251</v>
      </c>
      <c r="O30" s="27">
        <v>4000596877</v>
      </c>
      <c r="P30" s="27"/>
      <c r="Q30" s="34"/>
      <c r="R30" s="30">
        <v>4000596877</v>
      </c>
      <c r="S30" s="31">
        <v>1799132140</v>
      </c>
      <c r="T30" s="27">
        <v>48016627</v>
      </c>
      <c r="U30" s="31">
        <v>1847148767</v>
      </c>
      <c r="V30" s="32">
        <v>2153448110</v>
      </c>
      <c r="W30" s="33">
        <v>0.46171829449238455</v>
      </c>
      <c r="Y30" s="25" t="s">
        <v>277</v>
      </c>
      <c r="Z30" s="26" t="s">
        <v>251</v>
      </c>
      <c r="AA30" s="27">
        <v>4000596877</v>
      </c>
      <c r="AB30" s="27"/>
      <c r="AC30" s="34"/>
      <c r="AD30" s="30">
        <v>4000596877</v>
      </c>
      <c r="AE30" s="31">
        <v>1909914753</v>
      </c>
      <c r="AF30" s="27">
        <v>62765986</v>
      </c>
      <c r="AG30" s="31">
        <v>1909914753</v>
      </c>
      <c r="AH30" s="32">
        <v>567914153</v>
      </c>
      <c r="AI30" s="33">
        <v>0.47740744986838624</v>
      </c>
    </row>
    <row r="31" spans="1:35" hidden="1" x14ac:dyDescent="0.25">
      <c r="A31" s="25" t="s">
        <v>278</v>
      </c>
      <c r="B31" s="26" t="s">
        <v>279</v>
      </c>
      <c r="C31" s="27">
        <v>594153640</v>
      </c>
      <c r="D31" s="27"/>
      <c r="E31" s="34"/>
      <c r="F31" s="30">
        <f t="shared" si="11"/>
        <v>594153640</v>
      </c>
      <c r="G31" s="31">
        <v>128199638</v>
      </c>
      <c r="H31" s="27"/>
      <c r="I31" s="31">
        <v>128199638</v>
      </c>
      <c r="J31" s="32">
        <v>1050000</v>
      </c>
      <c r="K31" s="33">
        <f t="shared" si="1"/>
        <v>0.2157684971853408</v>
      </c>
      <c r="L31" s="113">
        <f t="shared" si="3"/>
        <v>0</v>
      </c>
      <c r="M31" s="25" t="s">
        <v>278</v>
      </c>
      <c r="N31" s="26" t="s">
        <v>279</v>
      </c>
      <c r="O31" s="27">
        <v>594153640</v>
      </c>
      <c r="P31" s="27"/>
      <c r="Q31" s="34"/>
      <c r="R31" s="30">
        <v>594153640</v>
      </c>
      <c r="S31" s="31">
        <v>128199638</v>
      </c>
      <c r="T31" s="27"/>
      <c r="U31" s="31">
        <v>128199638</v>
      </c>
      <c r="V31" s="32">
        <v>465954002</v>
      </c>
      <c r="W31" s="33">
        <v>0.2157684971853408</v>
      </c>
      <c r="Y31" s="25" t="s">
        <v>278</v>
      </c>
      <c r="Z31" s="26" t="s">
        <v>279</v>
      </c>
      <c r="AA31" s="27">
        <v>594153640</v>
      </c>
      <c r="AB31" s="27"/>
      <c r="AC31" s="34"/>
      <c r="AD31" s="30">
        <v>594153640</v>
      </c>
      <c r="AE31" s="31">
        <v>128199638</v>
      </c>
      <c r="AF31" s="27"/>
      <c r="AG31" s="31">
        <v>128199638</v>
      </c>
      <c r="AH31" s="32">
        <v>1050000</v>
      </c>
      <c r="AI31" s="33">
        <v>0.2157684971853408</v>
      </c>
    </row>
    <row r="32" spans="1:35" hidden="1" x14ac:dyDescent="0.25">
      <c r="A32" s="25" t="s">
        <v>280</v>
      </c>
      <c r="B32" s="26" t="s">
        <v>281</v>
      </c>
      <c r="C32" s="27">
        <v>44607920</v>
      </c>
      <c r="D32" s="27"/>
      <c r="E32" s="34"/>
      <c r="F32" s="30">
        <f t="shared" si="11"/>
        <v>44607920</v>
      </c>
      <c r="G32" s="31">
        <v>3003775</v>
      </c>
      <c r="H32" s="27">
        <v>3003775</v>
      </c>
      <c r="I32" s="31">
        <v>3003775</v>
      </c>
      <c r="J32" s="32">
        <v>72444954</v>
      </c>
      <c r="K32" s="33">
        <f t="shared" si="1"/>
        <v>6.733725759909899E-2</v>
      </c>
      <c r="L32" s="113">
        <f t="shared" si="3"/>
        <v>0</v>
      </c>
      <c r="M32" s="25" t="s">
        <v>280</v>
      </c>
      <c r="N32" s="26" t="s">
        <v>281</v>
      </c>
      <c r="O32" s="27">
        <v>44607920</v>
      </c>
      <c r="P32" s="27"/>
      <c r="Q32" s="34"/>
      <c r="R32" s="30">
        <v>44607920</v>
      </c>
      <c r="S32" s="31">
        <v>0</v>
      </c>
      <c r="T32" s="27"/>
      <c r="U32" s="31">
        <v>0</v>
      </c>
      <c r="V32" s="32">
        <v>44607920</v>
      </c>
      <c r="W32" s="33">
        <v>0</v>
      </c>
      <c r="Y32" s="25" t="s">
        <v>280</v>
      </c>
      <c r="Z32" s="26" t="s">
        <v>281</v>
      </c>
      <c r="AA32" s="27">
        <v>44607920</v>
      </c>
      <c r="AB32" s="27"/>
      <c r="AC32" s="34"/>
      <c r="AD32" s="30">
        <v>44607920</v>
      </c>
      <c r="AE32" s="31">
        <v>3003775</v>
      </c>
      <c r="AF32" s="27">
        <v>3003775</v>
      </c>
      <c r="AG32" s="27">
        <v>3003775</v>
      </c>
      <c r="AH32" s="32">
        <v>72444954</v>
      </c>
      <c r="AI32" s="33">
        <v>6.733725759909899E-2</v>
      </c>
    </row>
    <row r="33" spans="1:35" hidden="1" x14ac:dyDescent="0.25">
      <c r="A33" s="25" t="s">
        <v>282</v>
      </c>
      <c r="B33" s="26" t="s">
        <v>255</v>
      </c>
      <c r="C33" s="27">
        <v>167708388</v>
      </c>
      <c r="D33" s="27"/>
      <c r="E33" s="34"/>
      <c r="F33" s="30">
        <f t="shared" si="11"/>
        <v>167708388</v>
      </c>
      <c r="G33" s="31">
        <v>28744000</v>
      </c>
      <c r="H33" s="27"/>
      <c r="I33" s="31">
        <v>28744000</v>
      </c>
      <c r="J33" s="32">
        <v>2332000</v>
      </c>
      <c r="K33" s="33">
        <f t="shared" si="1"/>
        <v>0.17139273916341025</v>
      </c>
      <c r="L33" s="113">
        <f t="shared" si="3"/>
        <v>0</v>
      </c>
      <c r="M33" s="25" t="s">
        <v>282</v>
      </c>
      <c r="N33" s="26" t="s">
        <v>255</v>
      </c>
      <c r="O33" s="27">
        <v>167708388</v>
      </c>
      <c r="P33" s="27"/>
      <c r="Q33" s="34"/>
      <c r="R33" s="30">
        <v>167708388</v>
      </c>
      <c r="S33" s="31">
        <v>22556000</v>
      </c>
      <c r="T33" s="27">
        <v>6188000</v>
      </c>
      <c r="U33" s="31">
        <v>28744000</v>
      </c>
      <c r="V33" s="32">
        <v>138964388</v>
      </c>
      <c r="W33" s="33">
        <v>0.17139273916341025</v>
      </c>
      <c r="Y33" s="25" t="s">
        <v>282</v>
      </c>
      <c r="Z33" s="26" t="s">
        <v>255</v>
      </c>
      <c r="AA33" s="27">
        <v>167708388</v>
      </c>
      <c r="AB33" s="27"/>
      <c r="AC33" s="34"/>
      <c r="AD33" s="30">
        <v>167708388</v>
      </c>
      <c r="AE33" s="31">
        <v>28744000</v>
      </c>
      <c r="AF33" s="27"/>
      <c r="AG33" s="31">
        <v>28744000</v>
      </c>
      <c r="AH33" s="32">
        <v>2332000</v>
      </c>
      <c r="AI33" s="33">
        <v>0.17139273916341025</v>
      </c>
    </row>
    <row r="34" spans="1:35" hidden="1" x14ac:dyDescent="0.25">
      <c r="A34" s="21" t="s">
        <v>283</v>
      </c>
      <c r="B34" s="22" t="s">
        <v>284</v>
      </c>
      <c r="C34" s="23">
        <f>SUM(C35:C38)</f>
        <v>3817074480</v>
      </c>
      <c r="D34" s="23">
        <f t="shared" ref="D34:J34" si="15">SUM(D35:D38)</f>
        <v>0</v>
      </c>
      <c r="E34" s="23">
        <f t="shared" si="15"/>
        <v>0</v>
      </c>
      <c r="F34" s="23">
        <f t="shared" si="15"/>
        <v>3817074480</v>
      </c>
      <c r="G34" s="23">
        <f t="shared" si="15"/>
        <v>1832411363</v>
      </c>
      <c r="H34" s="23">
        <f t="shared" si="15"/>
        <v>66154087</v>
      </c>
      <c r="I34" s="23">
        <f t="shared" si="15"/>
        <v>1832411363</v>
      </c>
      <c r="J34" s="23">
        <f t="shared" si="15"/>
        <v>260514677</v>
      </c>
      <c r="K34" s="36">
        <f t="shared" si="1"/>
        <v>0.48005648634867609</v>
      </c>
      <c r="L34" s="113">
        <f t="shared" si="3"/>
        <v>0</v>
      </c>
      <c r="M34" s="21" t="s">
        <v>283</v>
      </c>
      <c r="N34" s="22" t="s">
        <v>284</v>
      </c>
      <c r="O34" s="23">
        <v>3817074480</v>
      </c>
      <c r="P34" s="23">
        <v>0</v>
      </c>
      <c r="Q34" s="23">
        <v>0</v>
      </c>
      <c r="R34" s="23">
        <v>3817074480</v>
      </c>
      <c r="S34" s="23">
        <v>1703948155</v>
      </c>
      <c r="T34" s="23">
        <v>62309121</v>
      </c>
      <c r="U34" s="23">
        <v>1766257276</v>
      </c>
      <c r="V34" s="23">
        <v>2050817204</v>
      </c>
      <c r="W34" s="36">
        <v>0.46272538962876092</v>
      </c>
      <c r="Y34" s="21" t="s">
        <v>283</v>
      </c>
      <c r="Z34" s="22" t="s">
        <v>284</v>
      </c>
      <c r="AA34" s="23">
        <v>3817074480</v>
      </c>
      <c r="AB34" s="23">
        <v>0</v>
      </c>
      <c r="AC34" s="23">
        <v>0</v>
      </c>
      <c r="AD34" s="23">
        <v>3817074480</v>
      </c>
      <c r="AE34" s="23">
        <v>1832411363</v>
      </c>
      <c r="AF34" s="23">
        <v>66154087</v>
      </c>
      <c r="AG34" s="23">
        <v>1832411363</v>
      </c>
      <c r="AH34" s="23">
        <v>260514677</v>
      </c>
      <c r="AI34" s="36">
        <v>0.48005648634867609</v>
      </c>
    </row>
    <row r="35" spans="1:35" hidden="1" x14ac:dyDescent="0.25">
      <c r="A35" s="25" t="s">
        <v>285</v>
      </c>
      <c r="B35" s="26" t="s">
        <v>249</v>
      </c>
      <c r="C35" s="27">
        <v>73640621</v>
      </c>
      <c r="D35" s="27"/>
      <c r="E35" s="34"/>
      <c r="F35" s="30">
        <f t="shared" si="11"/>
        <v>73640621</v>
      </c>
      <c r="G35" s="31">
        <v>11119600</v>
      </c>
      <c r="H35" s="27"/>
      <c r="I35" s="31">
        <v>11119600</v>
      </c>
      <c r="J35" s="32">
        <v>1696500</v>
      </c>
      <c r="K35" s="33">
        <f t="shared" si="1"/>
        <v>0.15099818346181518</v>
      </c>
      <c r="L35" s="113">
        <f t="shared" si="3"/>
        <v>0</v>
      </c>
      <c r="M35" s="25" t="s">
        <v>285</v>
      </c>
      <c r="N35" s="26" t="s">
        <v>249</v>
      </c>
      <c r="O35" s="27">
        <v>73640621</v>
      </c>
      <c r="P35" s="27"/>
      <c r="Q35" s="34"/>
      <c r="R35" s="30">
        <v>73640621</v>
      </c>
      <c r="S35" s="31">
        <v>11119600</v>
      </c>
      <c r="T35" s="27"/>
      <c r="U35" s="31">
        <v>11119600</v>
      </c>
      <c r="V35" s="32">
        <v>62521021</v>
      </c>
      <c r="W35" s="33">
        <v>0.15099818346181518</v>
      </c>
      <c r="Y35" s="25" t="s">
        <v>285</v>
      </c>
      <c r="Z35" s="26" t="s">
        <v>249</v>
      </c>
      <c r="AA35" s="27">
        <v>73640621</v>
      </c>
      <c r="AB35" s="27"/>
      <c r="AC35" s="34"/>
      <c r="AD35" s="30">
        <v>73640621</v>
      </c>
      <c r="AE35" s="31">
        <v>11119600</v>
      </c>
      <c r="AF35" s="27"/>
      <c r="AG35" s="31">
        <v>11119600</v>
      </c>
      <c r="AH35" s="32">
        <v>1696500</v>
      </c>
      <c r="AI35" s="33">
        <v>0.15099818346181518</v>
      </c>
    </row>
    <row r="36" spans="1:35" hidden="1" x14ac:dyDescent="0.25">
      <c r="A36" s="25" t="s">
        <v>286</v>
      </c>
      <c r="B36" s="26" t="s">
        <v>251</v>
      </c>
      <c r="C36" s="27">
        <v>3469054021</v>
      </c>
      <c r="D36" s="27"/>
      <c r="E36" s="34"/>
      <c r="F36" s="30">
        <f t="shared" si="11"/>
        <v>3469054021</v>
      </c>
      <c r="G36" s="31">
        <v>1819625517</v>
      </c>
      <c r="H36" s="27">
        <v>64487841</v>
      </c>
      <c r="I36" s="31">
        <v>1819625517</v>
      </c>
      <c r="J36" s="32">
        <v>16977200</v>
      </c>
      <c r="K36" s="33">
        <f t="shared" si="1"/>
        <v>0.52453075275993233</v>
      </c>
      <c r="L36" s="113">
        <f t="shared" si="3"/>
        <v>0</v>
      </c>
      <c r="M36" s="25" t="s">
        <v>286</v>
      </c>
      <c r="N36" s="26" t="s">
        <v>251</v>
      </c>
      <c r="O36" s="27">
        <v>3469054021</v>
      </c>
      <c r="P36" s="27"/>
      <c r="Q36" s="34"/>
      <c r="R36" s="30">
        <v>3469054021</v>
      </c>
      <c r="S36" s="31">
        <v>1692828555</v>
      </c>
      <c r="T36" s="27">
        <v>62309121</v>
      </c>
      <c r="U36" s="31">
        <v>1755137676</v>
      </c>
      <c r="V36" s="32">
        <v>1713916345</v>
      </c>
      <c r="W36" s="33">
        <v>0.5059412927487531</v>
      </c>
      <c r="Y36" s="25" t="s">
        <v>286</v>
      </c>
      <c r="Z36" s="26" t="s">
        <v>251</v>
      </c>
      <c r="AA36" s="27">
        <v>3469054021</v>
      </c>
      <c r="AB36" s="27"/>
      <c r="AC36" s="34"/>
      <c r="AD36" s="30">
        <v>3469054021</v>
      </c>
      <c r="AE36" s="31">
        <v>1819625517</v>
      </c>
      <c r="AF36" s="27">
        <v>64487841</v>
      </c>
      <c r="AG36" s="31">
        <v>1819625517</v>
      </c>
      <c r="AH36" s="32">
        <v>16977200</v>
      </c>
      <c r="AI36" s="33">
        <v>0.52453075275993233</v>
      </c>
    </row>
    <row r="37" spans="1:35" hidden="1" x14ac:dyDescent="0.25">
      <c r="A37" s="25" t="s">
        <v>287</v>
      </c>
      <c r="B37" s="26" t="s">
        <v>279</v>
      </c>
      <c r="C37" s="27">
        <v>266109890</v>
      </c>
      <c r="D37" s="27"/>
      <c r="E37" s="34"/>
      <c r="F37" s="30">
        <f t="shared" si="11"/>
        <v>266109890</v>
      </c>
      <c r="G37" s="31">
        <v>0</v>
      </c>
      <c r="H37" s="27"/>
      <c r="I37" s="31"/>
      <c r="J37" s="32">
        <v>236728427</v>
      </c>
      <c r="K37" s="33">
        <f t="shared" si="1"/>
        <v>0</v>
      </c>
      <c r="L37" s="113">
        <f t="shared" si="3"/>
        <v>0</v>
      </c>
      <c r="M37" s="25" t="s">
        <v>287</v>
      </c>
      <c r="N37" s="26" t="s">
        <v>279</v>
      </c>
      <c r="O37" s="27">
        <v>266109890</v>
      </c>
      <c r="P37" s="27"/>
      <c r="Q37" s="34"/>
      <c r="R37" s="30">
        <v>266109890</v>
      </c>
      <c r="S37" s="31"/>
      <c r="T37" s="27"/>
      <c r="U37" s="31"/>
      <c r="V37" s="32">
        <v>266109890</v>
      </c>
      <c r="W37" s="33">
        <v>0</v>
      </c>
      <c r="Y37" s="25" t="s">
        <v>287</v>
      </c>
      <c r="Z37" s="26" t="s">
        <v>279</v>
      </c>
      <c r="AA37" s="27">
        <v>266109890</v>
      </c>
      <c r="AB37" s="27"/>
      <c r="AC37" s="34"/>
      <c r="AD37" s="30">
        <v>266109890</v>
      </c>
      <c r="AE37" s="31">
        <v>0</v>
      </c>
      <c r="AF37" s="27"/>
      <c r="AG37" s="31"/>
      <c r="AH37" s="32">
        <v>236728427</v>
      </c>
      <c r="AI37" s="33">
        <v>0</v>
      </c>
    </row>
    <row r="38" spans="1:35" hidden="1" x14ac:dyDescent="0.25">
      <c r="A38" s="25" t="s">
        <v>288</v>
      </c>
      <c r="B38" s="26" t="s">
        <v>281</v>
      </c>
      <c r="C38" s="27">
        <v>8269948</v>
      </c>
      <c r="D38" s="27"/>
      <c r="E38" s="34"/>
      <c r="F38" s="30">
        <f t="shared" si="11"/>
        <v>8269948</v>
      </c>
      <c r="G38" s="31">
        <v>1666246</v>
      </c>
      <c r="H38" s="27">
        <v>1666246</v>
      </c>
      <c r="I38" s="31">
        <v>1666246</v>
      </c>
      <c r="J38" s="32">
        <v>5112550</v>
      </c>
      <c r="K38" s="33">
        <f t="shared" si="1"/>
        <v>0.2014820407576928</v>
      </c>
      <c r="L38" s="113">
        <f t="shared" si="3"/>
        <v>0</v>
      </c>
      <c r="M38" s="25" t="s">
        <v>288</v>
      </c>
      <c r="N38" s="26" t="s">
        <v>281</v>
      </c>
      <c r="O38" s="27">
        <v>8269948</v>
      </c>
      <c r="P38" s="27"/>
      <c r="Q38" s="34"/>
      <c r="R38" s="30">
        <v>8269948</v>
      </c>
      <c r="S38" s="31">
        <v>0</v>
      </c>
      <c r="T38" s="27"/>
      <c r="U38" s="31">
        <v>0</v>
      </c>
      <c r="V38" s="32">
        <v>8269948</v>
      </c>
      <c r="W38" s="33">
        <v>0</v>
      </c>
      <c r="Y38" s="25" t="s">
        <v>288</v>
      </c>
      <c r="Z38" s="26" t="s">
        <v>281</v>
      </c>
      <c r="AA38" s="27">
        <v>8269948</v>
      </c>
      <c r="AB38" s="27"/>
      <c r="AC38" s="34"/>
      <c r="AD38" s="30">
        <v>8269948</v>
      </c>
      <c r="AE38" s="31">
        <v>1666246</v>
      </c>
      <c r="AF38" s="27">
        <v>1666246</v>
      </c>
      <c r="AG38" s="27">
        <v>1666246</v>
      </c>
      <c r="AH38" s="32">
        <v>5112550</v>
      </c>
      <c r="AI38" s="33">
        <v>0.2014820407576928</v>
      </c>
    </row>
    <row r="39" spans="1:35" hidden="1" x14ac:dyDescent="0.25">
      <c r="A39" s="21" t="s">
        <v>289</v>
      </c>
      <c r="B39" s="22" t="s">
        <v>290</v>
      </c>
      <c r="C39" s="23">
        <f>SUM(C40:C44)</f>
        <v>995937022</v>
      </c>
      <c r="D39" s="23">
        <f t="shared" ref="D39:J39" si="16">SUM(D40:D44)</f>
        <v>0</v>
      </c>
      <c r="E39" s="23">
        <f t="shared" si="16"/>
        <v>0</v>
      </c>
      <c r="F39" s="23">
        <f t="shared" si="16"/>
        <v>995937022</v>
      </c>
      <c r="G39" s="23">
        <f t="shared" si="16"/>
        <v>437250507</v>
      </c>
      <c r="H39" s="23">
        <f t="shared" si="16"/>
        <v>2596311</v>
      </c>
      <c r="I39" s="23">
        <f t="shared" si="16"/>
        <v>437250507</v>
      </c>
      <c r="J39" s="23">
        <f t="shared" si="16"/>
        <v>558686515</v>
      </c>
      <c r="K39" s="36">
        <f t="shared" si="1"/>
        <v>0.43903429367645297</v>
      </c>
      <c r="L39" s="113">
        <f t="shared" si="3"/>
        <v>0</v>
      </c>
      <c r="M39" s="21" t="s">
        <v>289</v>
      </c>
      <c r="N39" s="22" t="s">
        <v>290</v>
      </c>
      <c r="O39" s="23">
        <v>995937022</v>
      </c>
      <c r="P39" s="23">
        <v>0</v>
      </c>
      <c r="Q39" s="23">
        <v>0</v>
      </c>
      <c r="R39" s="23">
        <v>995937022</v>
      </c>
      <c r="S39" s="23">
        <v>320404527</v>
      </c>
      <c r="T39" s="23">
        <v>114249669</v>
      </c>
      <c r="U39" s="23">
        <v>434654196</v>
      </c>
      <c r="V39" s="23">
        <v>561282826</v>
      </c>
      <c r="W39" s="36">
        <v>0.43642739088777444</v>
      </c>
      <c r="Y39" s="21" t="s">
        <v>289</v>
      </c>
      <c r="Z39" s="22" t="s">
        <v>290</v>
      </c>
      <c r="AA39" s="23">
        <v>995937022</v>
      </c>
      <c r="AB39" s="23">
        <v>0</v>
      </c>
      <c r="AC39" s="23">
        <v>0</v>
      </c>
      <c r="AD39" s="23">
        <v>995937022</v>
      </c>
      <c r="AE39" s="23">
        <v>437250507</v>
      </c>
      <c r="AF39" s="23">
        <v>2596311</v>
      </c>
      <c r="AG39" s="23">
        <v>437250507</v>
      </c>
      <c r="AH39" s="23">
        <v>558686515</v>
      </c>
      <c r="AI39" s="36">
        <v>0.43903429367645297</v>
      </c>
    </row>
    <row r="40" spans="1:35" hidden="1" x14ac:dyDescent="0.25">
      <c r="A40" s="25" t="s">
        <v>291</v>
      </c>
      <c r="B40" s="26" t="s">
        <v>292</v>
      </c>
      <c r="C40" s="27">
        <v>123593826</v>
      </c>
      <c r="D40" s="27"/>
      <c r="E40" s="34"/>
      <c r="F40" s="30">
        <f t="shared" si="11"/>
        <v>123593826</v>
      </c>
      <c r="G40" s="31">
        <v>66591903</v>
      </c>
      <c r="H40" s="27">
        <v>2194508</v>
      </c>
      <c r="I40" s="31">
        <v>66591903</v>
      </c>
      <c r="J40" s="32">
        <f t="shared" si="12"/>
        <v>57001923</v>
      </c>
      <c r="K40" s="33">
        <f t="shared" si="1"/>
        <v>0.53879635541018045</v>
      </c>
      <c r="L40" s="113">
        <f t="shared" si="3"/>
        <v>0</v>
      </c>
      <c r="M40" s="25" t="s">
        <v>291</v>
      </c>
      <c r="N40" s="26" t="s">
        <v>292</v>
      </c>
      <c r="O40" s="27">
        <v>123593826</v>
      </c>
      <c r="P40" s="27"/>
      <c r="Q40" s="34"/>
      <c r="R40" s="30">
        <v>123593826</v>
      </c>
      <c r="S40" s="31">
        <v>64397395</v>
      </c>
      <c r="T40" s="27"/>
      <c r="U40" s="31">
        <v>64397395</v>
      </c>
      <c r="V40" s="32">
        <v>59196431</v>
      </c>
      <c r="W40" s="33">
        <v>0.52104054938796052</v>
      </c>
      <c r="Y40" s="25" t="s">
        <v>291</v>
      </c>
      <c r="Z40" s="26" t="s">
        <v>292</v>
      </c>
      <c r="AA40" s="27">
        <v>123593826</v>
      </c>
      <c r="AB40" s="27"/>
      <c r="AC40" s="34"/>
      <c r="AD40" s="30">
        <v>123593826</v>
      </c>
      <c r="AE40" s="31">
        <v>66591903</v>
      </c>
      <c r="AF40" s="27">
        <v>2194508</v>
      </c>
      <c r="AG40" s="31">
        <v>66591903</v>
      </c>
      <c r="AH40" s="32">
        <v>57001923</v>
      </c>
      <c r="AI40" s="33">
        <v>0.53879635541018045</v>
      </c>
    </row>
    <row r="41" spans="1:35" hidden="1" x14ac:dyDescent="0.25">
      <c r="A41" s="25" t="s">
        <v>293</v>
      </c>
      <c r="B41" s="26" t="s">
        <v>294</v>
      </c>
      <c r="C41" s="27">
        <v>436733306</v>
      </c>
      <c r="D41" s="27"/>
      <c r="E41" s="34"/>
      <c r="F41" s="30">
        <f t="shared" si="11"/>
        <v>436733306</v>
      </c>
      <c r="G41" s="31">
        <v>208278819</v>
      </c>
      <c r="H41" s="27">
        <v>401803</v>
      </c>
      <c r="I41" s="31">
        <v>208278819</v>
      </c>
      <c r="J41" s="32">
        <f t="shared" si="12"/>
        <v>228454487</v>
      </c>
      <c r="K41" s="33">
        <f t="shared" si="1"/>
        <v>0.47690161510145967</v>
      </c>
      <c r="L41" s="113">
        <f t="shared" si="3"/>
        <v>0</v>
      </c>
      <c r="M41" s="25" t="s">
        <v>293</v>
      </c>
      <c r="N41" s="26" t="s">
        <v>294</v>
      </c>
      <c r="O41" s="27">
        <v>436733306</v>
      </c>
      <c r="P41" s="27"/>
      <c r="Q41" s="34"/>
      <c r="R41" s="30">
        <v>436733306</v>
      </c>
      <c r="S41" s="31">
        <v>105860416</v>
      </c>
      <c r="T41" s="27">
        <v>102016600</v>
      </c>
      <c r="U41" s="31">
        <v>207877016</v>
      </c>
      <c r="V41" s="32">
        <v>228856290</v>
      </c>
      <c r="W41" s="33">
        <v>0.47598159596282313</v>
      </c>
      <c r="Y41" s="25" t="s">
        <v>293</v>
      </c>
      <c r="Z41" s="26" t="s">
        <v>294</v>
      </c>
      <c r="AA41" s="27">
        <v>436733306</v>
      </c>
      <c r="AB41" s="27"/>
      <c r="AC41" s="34"/>
      <c r="AD41" s="30">
        <v>436733306</v>
      </c>
      <c r="AE41" s="31">
        <v>208278819</v>
      </c>
      <c r="AF41" s="27">
        <v>401803</v>
      </c>
      <c r="AG41" s="31">
        <v>208278819</v>
      </c>
      <c r="AH41" s="32">
        <v>228454487</v>
      </c>
      <c r="AI41" s="33">
        <v>0.47690161510145967</v>
      </c>
    </row>
    <row r="42" spans="1:35" hidden="1" x14ac:dyDescent="0.25">
      <c r="A42" s="25" t="s">
        <v>295</v>
      </c>
      <c r="B42" s="26" t="s">
        <v>296</v>
      </c>
      <c r="C42" s="27">
        <v>93285640</v>
      </c>
      <c r="D42" s="27"/>
      <c r="E42" s="34"/>
      <c r="F42" s="30">
        <f t="shared" si="11"/>
        <v>93285640</v>
      </c>
      <c r="G42" s="31">
        <v>36142618</v>
      </c>
      <c r="H42" s="27"/>
      <c r="I42" s="31">
        <v>36142618</v>
      </c>
      <c r="J42" s="32">
        <f t="shared" si="12"/>
        <v>57143022</v>
      </c>
      <c r="K42" s="33">
        <f t="shared" si="1"/>
        <v>0.38744031771663889</v>
      </c>
      <c r="L42" s="113">
        <f t="shared" si="3"/>
        <v>0</v>
      </c>
      <c r="M42" s="25" t="s">
        <v>295</v>
      </c>
      <c r="N42" s="26" t="s">
        <v>296</v>
      </c>
      <c r="O42" s="27">
        <v>93285640</v>
      </c>
      <c r="P42" s="27"/>
      <c r="Q42" s="34"/>
      <c r="R42" s="30">
        <v>93285640</v>
      </c>
      <c r="S42" s="31">
        <v>31437594</v>
      </c>
      <c r="T42" s="27">
        <v>4705024</v>
      </c>
      <c r="U42" s="31">
        <v>36142618</v>
      </c>
      <c r="V42" s="32">
        <v>57143022</v>
      </c>
      <c r="W42" s="33">
        <v>0.38744031771663889</v>
      </c>
      <c r="Y42" s="25" t="s">
        <v>295</v>
      </c>
      <c r="Z42" s="26" t="s">
        <v>296</v>
      </c>
      <c r="AA42" s="27">
        <v>93285640</v>
      </c>
      <c r="AB42" s="27"/>
      <c r="AC42" s="34"/>
      <c r="AD42" s="30">
        <v>93285640</v>
      </c>
      <c r="AE42" s="31">
        <v>36142618</v>
      </c>
      <c r="AF42" s="27"/>
      <c r="AG42" s="31">
        <v>36142618</v>
      </c>
      <c r="AH42" s="32">
        <v>57143022</v>
      </c>
      <c r="AI42" s="33">
        <v>0.38744031771663889</v>
      </c>
    </row>
    <row r="43" spans="1:35" hidden="1" x14ac:dyDescent="0.25">
      <c r="A43" s="25" t="s">
        <v>297</v>
      </c>
      <c r="B43" s="26" t="s">
        <v>298</v>
      </c>
      <c r="C43" s="27">
        <v>262129868</v>
      </c>
      <c r="D43" s="27"/>
      <c r="E43" s="34"/>
      <c r="F43" s="30">
        <f t="shared" si="11"/>
        <v>262129868</v>
      </c>
      <c r="G43" s="31">
        <v>82928225</v>
      </c>
      <c r="H43" s="27"/>
      <c r="I43" s="31">
        <v>82928225</v>
      </c>
      <c r="J43" s="32">
        <f t="shared" si="12"/>
        <v>179201643</v>
      </c>
      <c r="K43" s="33">
        <f t="shared" si="1"/>
        <v>0.31636312806597072</v>
      </c>
      <c r="L43" s="113">
        <f t="shared" si="3"/>
        <v>0</v>
      </c>
      <c r="M43" s="25" t="s">
        <v>297</v>
      </c>
      <c r="N43" s="26" t="s">
        <v>298</v>
      </c>
      <c r="O43" s="27">
        <v>262129868</v>
      </c>
      <c r="P43" s="27"/>
      <c r="Q43" s="34"/>
      <c r="R43" s="30">
        <v>262129868</v>
      </c>
      <c r="S43" s="31">
        <v>75400180</v>
      </c>
      <c r="T43" s="27">
        <v>7528045</v>
      </c>
      <c r="U43" s="31">
        <v>82928225</v>
      </c>
      <c r="V43" s="32">
        <v>179201643</v>
      </c>
      <c r="W43" s="33">
        <v>0.31636312806597072</v>
      </c>
      <c r="Y43" s="25" t="s">
        <v>297</v>
      </c>
      <c r="Z43" s="26" t="s">
        <v>298</v>
      </c>
      <c r="AA43" s="27">
        <v>262129868</v>
      </c>
      <c r="AB43" s="27"/>
      <c r="AC43" s="34"/>
      <c r="AD43" s="30">
        <v>262129868</v>
      </c>
      <c r="AE43" s="31">
        <v>82928225</v>
      </c>
      <c r="AF43" s="27"/>
      <c r="AG43" s="31">
        <v>82928225</v>
      </c>
      <c r="AH43" s="32">
        <v>179201643</v>
      </c>
      <c r="AI43" s="33">
        <v>0.31636312806597072</v>
      </c>
    </row>
    <row r="44" spans="1:35" hidden="1" x14ac:dyDescent="0.25">
      <c r="A44" s="25" t="s">
        <v>299</v>
      </c>
      <c r="B44" s="26" t="s">
        <v>300</v>
      </c>
      <c r="C44" s="27">
        <v>80194382</v>
      </c>
      <c r="D44" s="27"/>
      <c r="E44" s="34"/>
      <c r="F44" s="30">
        <f t="shared" si="11"/>
        <v>80194382</v>
      </c>
      <c r="G44" s="31">
        <v>43308942</v>
      </c>
      <c r="H44" s="27"/>
      <c r="I44" s="31">
        <v>43308942</v>
      </c>
      <c r="J44" s="32">
        <f t="shared" si="12"/>
        <v>36885440</v>
      </c>
      <c r="K44" s="33">
        <f t="shared" si="1"/>
        <v>0.54004957604137405</v>
      </c>
      <c r="L44" s="113">
        <f t="shared" si="3"/>
        <v>0</v>
      </c>
      <c r="M44" s="25" t="s">
        <v>299</v>
      </c>
      <c r="N44" s="26" t="s">
        <v>300</v>
      </c>
      <c r="O44" s="27">
        <v>80194382</v>
      </c>
      <c r="P44" s="27"/>
      <c r="Q44" s="34"/>
      <c r="R44" s="30">
        <v>80194382</v>
      </c>
      <c r="S44" s="31">
        <v>43308942</v>
      </c>
      <c r="T44" s="27"/>
      <c r="U44" s="31">
        <v>43308942</v>
      </c>
      <c r="V44" s="32">
        <v>36885440</v>
      </c>
      <c r="W44" s="33">
        <v>0.54004957604137405</v>
      </c>
      <c r="Y44" s="25" t="s">
        <v>299</v>
      </c>
      <c r="Z44" s="26" t="s">
        <v>300</v>
      </c>
      <c r="AA44" s="27">
        <v>80194382</v>
      </c>
      <c r="AB44" s="27"/>
      <c r="AC44" s="34"/>
      <c r="AD44" s="30">
        <v>80194382</v>
      </c>
      <c r="AE44" s="31">
        <v>43308942</v>
      </c>
      <c r="AF44" s="27"/>
      <c r="AG44" s="31">
        <v>43308942</v>
      </c>
      <c r="AH44" s="32">
        <v>36885440</v>
      </c>
      <c r="AI44" s="33">
        <v>0.54004957604137405</v>
      </c>
    </row>
    <row r="45" spans="1:35" hidden="1" x14ac:dyDescent="0.25">
      <c r="A45" s="21" t="s">
        <v>301</v>
      </c>
      <c r="B45" s="22" t="s">
        <v>302</v>
      </c>
      <c r="C45" s="23">
        <f>SUM(C46:C80)</f>
        <v>2469338284</v>
      </c>
      <c r="D45" s="23">
        <f t="shared" ref="D45:J45" si="17">SUM(D46:D80)</f>
        <v>0</v>
      </c>
      <c r="E45" s="23">
        <f t="shared" si="17"/>
        <v>0</v>
      </c>
      <c r="F45" s="23">
        <f t="shared" si="17"/>
        <v>2469338284</v>
      </c>
      <c r="G45" s="23">
        <f t="shared" si="17"/>
        <v>1536966675.25</v>
      </c>
      <c r="H45" s="23">
        <f t="shared" si="17"/>
        <v>330488344</v>
      </c>
      <c r="I45" s="23">
        <f t="shared" si="17"/>
        <v>1536966675.25</v>
      </c>
      <c r="J45" s="23">
        <f t="shared" si="17"/>
        <v>932371608.75</v>
      </c>
      <c r="K45" s="36">
        <f t="shared" si="1"/>
        <v>0.6224204618738256</v>
      </c>
      <c r="L45" s="113">
        <f t="shared" si="3"/>
        <v>0</v>
      </c>
      <c r="M45" s="21" t="s">
        <v>301</v>
      </c>
      <c r="N45" s="22" t="s">
        <v>302</v>
      </c>
      <c r="O45" s="23">
        <v>2469338284</v>
      </c>
      <c r="P45" s="23">
        <v>0</v>
      </c>
      <c r="Q45" s="23">
        <v>0</v>
      </c>
      <c r="R45" s="23">
        <v>2469338284</v>
      </c>
      <c r="S45" s="23">
        <v>995474837.47000003</v>
      </c>
      <c r="T45" s="23">
        <v>218003493.78</v>
      </c>
      <c r="U45" s="23">
        <v>1206478331.25</v>
      </c>
      <c r="V45" s="23">
        <v>1262859952.75</v>
      </c>
      <c r="W45" s="36">
        <v>0.48858365784361685</v>
      </c>
      <c r="Y45" s="21" t="s">
        <v>301</v>
      </c>
      <c r="Z45" s="22" t="s">
        <v>302</v>
      </c>
      <c r="AA45" s="23">
        <v>2469338284</v>
      </c>
      <c r="AB45" s="23">
        <v>0</v>
      </c>
      <c r="AC45" s="23">
        <v>0</v>
      </c>
      <c r="AD45" s="23">
        <v>2469338284</v>
      </c>
      <c r="AE45" s="23">
        <v>1536966675.25</v>
      </c>
      <c r="AF45" s="23">
        <v>330488344</v>
      </c>
      <c r="AG45" s="23">
        <v>1536966675.25</v>
      </c>
      <c r="AH45" s="23">
        <v>932371608.75</v>
      </c>
      <c r="AI45" s="36">
        <v>0.6224204618738256</v>
      </c>
    </row>
    <row r="46" spans="1:35" hidden="1" x14ac:dyDescent="0.25">
      <c r="A46" s="25" t="s">
        <v>303</v>
      </c>
      <c r="B46" s="26" t="s">
        <v>304</v>
      </c>
      <c r="C46" s="27">
        <v>30000000</v>
      </c>
      <c r="D46" s="27"/>
      <c r="E46" s="34"/>
      <c r="F46" s="30">
        <f t="shared" si="11"/>
        <v>30000000</v>
      </c>
      <c r="G46" s="31">
        <v>1067000</v>
      </c>
      <c r="H46" s="27">
        <v>618000</v>
      </c>
      <c r="I46" s="31">
        <v>1067000</v>
      </c>
      <c r="J46" s="32">
        <f t="shared" si="12"/>
        <v>28933000</v>
      </c>
      <c r="K46" s="33">
        <f t="shared" si="1"/>
        <v>3.556666666666667E-2</v>
      </c>
      <c r="L46" s="113">
        <f t="shared" si="3"/>
        <v>0</v>
      </c>
      <c r="M46" s="25" t="s">
        <v>303</v>
      </c>
      <c r="N46" s="26" t="s">
        <v>304</v>
      </c>
      <c r="O46" s="27">
        <v>30000000</v>
      </c>
      <c r="P46" s="27"/>
      <c r="Q46" s="34"/>
      <c r="R46" s="30">
        <v>30000000</v>
      </c>
      <c r="S46" s="31"/>
      <c r="T46" s="27">
        <v>449000</v>
      </c>
      <c r="U46" s="31">
        <v>449000</v>
      </c>
      <c r="V46" s="32">
        <v>29551000</v>
      </c>
      <c r="W46" s="33">
        <v>1.4966666666666666E-2</v>
      </c>
      <c r="Y46" s="25" t="s">
        <v>303</v>
      </c>
      <c r="Z46" s="26" t="s">
        <v>304</v>
      </c>
      <c r="AA46" s="27">
        <v>30000000</v>
      </c>
      <c r="AB46" s="27"/>
      <c r="AC46" s="34"/>
      <c r="AD46" s="30">
        <v>30000000</v>
      </c>
      <c r="AE46" s="31">
        <v>1067000</v>
      </c>
      <c r="AF46" s="27">
        <v>618000</v>
      </c>
      <c r="AG46" s="31">
        <v>1067000</v>
      </c>
      <c r="AH46" s="32">
        <v>28933000</v>
      </c>
      <c r="AI46" s="33">
        <v>3.556666666666667E-2</v>
      </c>
    </row>
    <row r="47" spans="1:35" hidden="1" x14ac:dyDescent="0.25">
      <c r="A47" s="25">
        <v>11251101132</v>
      </c>
      <c r="B47" s="26" t="s">
        <v>305</v>
      </c>
      <c r="C47" s="27">
        <v>4500000</v>
      </c>
      <c r="D47" s="27"/>
      <c r="E47" s="34"/>
      <c r="F47" s="30">
        <f t="shared" si="11"/>
        <v>4500000</v>
      </c>
      <c r="G47" s="31">
        <v>8062359</v>
      </c>
      <c r="H47" s="27"/>
      <c r="I47" s="31">
        <v>8062359</v>
      </c>
      <c r="J47" s="32">
        <f t="shared" si="12"/>
        <v>-3562359</v>
      </c>
      <c r="K47" s="33">
        <f t="shared" si="1"/>
        <v>1.7916353333333332</v>
      </c>
      <c r="L47" s="113">
        <f t="shared" si="3"/>
        <v>0</v>
      </c>
      <c r="M47" s="25">
        <v>11251101132</v>
      </c>
      <c r="N47" s="26" t="s">
        <v>305</v>
      </c>
      <c r="O47" s="27">
        <v>4500000</v>
      </c>
      <c r="P47" s="27"/>
      <c r="Q47" s="34"/>
      <c r="R47" s="30">
        <v>4500000</v>
      </c>
      <c r="S47" s="31"/>
      <c r="T47" s="27">
        <v>8062359</v>
      </c>
      <c r="U47" s="31">
        <v>8062359</v>
      </c>
      <c r="V47" s="32">
        <v>-3562359</v>
      </c>
      <c r="W47" s="33">
        <v>1.7916353333333332</v>
      </c>
      <c r="Y47" s="25">
        <v>11251101132</v>
      </c>
      <c r="Z47" s="26" t="s">
        <v>305</v>
      </c>
      <c r="AA47" s="27">
        <v>4500000</v>
      </c>
      <c r="AB47" s="27"/>
      <c r="AC47" s="34"/>
      <c r="AD47" s="30">
        <v>4500000</v>
      </c>
      <c r="AE47" s="31">
        <v>8062359</v>
      </c>
      <c r="AF47" s="27"/>
      <c r="AG47" s="31">
        <v>8062359</v>
      </c>
      <c r="AH47" s="32">
        <v>-3562359</v>
      </c>
      <c r="AI47" s="33">
        <v>1.7916353333333332</v>
      </c>
    </row>
    <row r="48" spans="1:35" hidden="1" x14ac:dyDescent="0.25">
      <c r="A48" s="25">
        <v>11251101133</v>
      </c>
      <c r="B48" s="26" t="s">
        <v>306</v>
      </c>
      <c r="C48" s="27">
        <v>22000000</v>
      </c>
      <c r="D48" s="27"/>
      <c r="E48" s="34"/>
      <c r="F48" s="30">
        <f t="shared" si="11"/>
        <v>22000000</v>
      </c>
      <c r="G48" s="31">
        <v>58140913</v>
      </c>
      <c r="H48" s="27"/>
      <c r="I48" s="31">
        <v>58140913</v>
      </c>
      <c r="J48" s="32">
        <f t="shared" si="12"/>
        <v>-36140913</v>
      </c>
      <c r="K48" s="33">
        <f t="shared" si="1"/>
        <v>2.6427687727272726</v>
      </c>
      <c r="L48" s="113">
        <f t="shared" si="3"/>
        <v>0</v>
      </c>
      <c r="M48" s="25">
        <v>11251101133</v>
      </c>
      <c r="N48" s="26" t="s">
        <v>306</v>
      </c>
      <c r="O48" s="27">
        <v>22000000</v>
      </c>
      <c r="P48" s="27"/>
      <c r="Q48" s="34"/>
      <c r="R48" s="30">
        <v>22000000</v>
      </c>
      <c r="S48" s="31">
        <v>5941735</v>
      </c>
      <c r="T48" s="27">
        <v>52199178</v>
      </c>
      <c r="U48" s="31">
        <v>58140913</v>
      </c>
      <c r="V48" s="32">
        <v>-36140913</v>
      </c>
      <c r="W48" s="33">
        <v>2.6427687727272726</v>
      </c>
      <c r="Y48" s="25">
        <v>11251101133</v>
      </c>
      <c r="Z48" s="26" t="s">
        <v>306</v>
      </c>
      <c r="AA48" s="27">
        <v>22000000</v>
      </c>
      <c r="AB48" s="27"/>
      <c r="AC48" s="34"/>
      <c r="AD48" s="30">
        <v>22000000</v>
      </c>
      <c r="AE48" s="31">
        <v>58140913</v>
      </c>
      <c r="AF48" s="27"/>
      <c r="AG48" s="31">
        <v>58140913</v>
      </c>
      <c r="AH48" s="32">
        <v>-36140913</v>
      </c>
      <c r="AI48" s="33">
        <v>2.6427687727272726</v>
      </c>
    </row>
    <row r="49" spans="1:35" hidden="1" x14ac:dyDescent="0.25">
      <c r="A49" s="25">
        <v>11251101134</v>
      </c>
      <c r="B49" s="26" t="s">
        <v>307</v>
      </c>
      <c r="C49" s="27">
        <v>18000000</v>
      </c>
      <c r="D49" s="27"/>
      <c r="E49" s="34"/>
      <c r="F49" s="30">
        <f t="shared" si="11"/>
        <v>18000000</v>
      </c>
      <c r="G49" s="31">
        <v>3090334</v>
      </c>
      <c r="H49" s="27"/>
      <c r="I49" s="31">
        <v>3090334</v>
      </c>
      <c r="J49" s="32">
        <f t="shared" si="12"/>
        <v>14909666</v>
      </c>
      <c r="K49" s="33">
        <f t="shared" si="1"/>
        <v>0.17168522222222221</v>
      </c>
      <c r="L49" s="113">
        <f t="shared" si="3"/>
        <v>0</v>
      </c>
      <c r="M49" s="25">
        <v>11251101134</v>
      </c>
      <c r="N49" s="26" t="s">
        <v>307</v>
      </c>
      <c r="O49" s="27">
        <v>18000000</v>
      </c>
      <c r="P49" s="27"/>
      <c r="Q49" s="34"/>
      <c r="R49" s="30">
        <v>18000000</v>
      </c>
      <c r="S49" s="31"/>
      <c r="T49" s="27">
        <v>3090334</v>
      </c>
      <c r="U49" s="31">
        <v>3090334</v>
      </c>
      <c r="V49" s="32">
        <v>14909666</v>
      </c>
      <c r="W49" s="33">
        <v>0.17168522222222221</v>
      </c>
      <c r="Y49" s="25">
        <v>11251101134</v>
      </c>
      <c r="Z49" s="26" t="s">
        <v>307</v>
      </c>
      <c r="AA49" s="27">
        <v>18000000</v>
      </c>
      <c r="AB49" s="27"/>
      <c r="AC49" s="34"/>
      <c r="AD49" s="30">
        <v>18000000</v>
      </c>
      <c r="AE49" s="31">
        <v>3090334</v>
      </c>
      <c r="AF49" s="27"/>
      <c r="AG49" s="31">
        <v>3090334</v>
      </c>
      <c r="AH49" s="32">
        <v>14909666</v>
      </c>
      <c r="AI49" s="33">
        <v>0.17168522222222221</v>
      </c>
    </row>
    <row r="50" spans="1:35" hidden="1" x14ac:dyDescent="0.25">
      <c r="A50" s="25">
        <v>11251101135</v>
      </c>
      <c r="B50" s="26" t="s">
        <v>308</v>
      </c>
      <c r="C50" s="27"/>
      <c r="D50" s="27"/>
      <c r="E50" s="34"/>
      <c r="F50" s="30">
        <f t="shared" si="11"/>
        <v>0</v>
      </c>
      <c r="G50" s="31">
        <v>6577305</v>
      </c>
      <c r="H50" s="27"/>
      <c r="I50" s="31">
        <v>6577305</v>
      </c>
      <c r="J50" s="32">
        <f t="shared" si="12"/>
        <v>-6577305</v>
      </c>
      <c r="K50" s="33" t="e">
        <f t="shared" si="1"/>
        <v>#DIV/0!</v>
      </c>
      <c r="L50" s="113">
        <f t="shared" si="3"/>
        <v>0</v>
      </c>
      <c r="M50" s="25">
        <v>11251101135</v>
      </c>
      <c r="N50" s="26" t="s">
        <v>308</v>
      </c>
      <c r="O50" s="27"/>
      <c r="P50" s="27"/>
      <c r="Q50" s="34"/>
      <c r="R50" s="30">
        <v>0</v>
      </c>
      <c r="S50" s="31">
        <v>6066172</v>
      </c>
      <c r="T50" s="27">
        <v>511133</v>
      </c>
      <c r="U50" s="31">
        <v>6577305</v>
      </c>
      <c r="V50" s="32">
        <v>-6577305</v>
      </c>
      <c r="W50" s="33" t="e">
        <v>#DIV/0!</v>
      </c>
      <c r="Y50" s="25">
        <v>11251101135</v>
      </c>
      <c r="Z50" s="26" t="s">
        <v>308</v>
      </c>
      <c r="AA50" s="27"/>
      <c r="AB50" s="27"/>
      <c r="AC50" s="34"/>
      <c r="AD50" s="30">
        <v>0</v>
      </c>
      <c r="AE50" s="31">
        <v>6577305</v>
      </c>
      <c r="AF50" s="27"/>
      <c r="AG50" s="31">
        <v>6577305</v>
      </c>
      <c r="AH50" s="32">
        <v>-6577305</v>
      </c>
      <c r="AI50" s="33" t="e">
        <v>#DIV/0!</v>
      </c>
    </row>
    <row r="51" spans="1:35" hidden="1" x14ac:dyDescent="0.25">
      <c r="A51" s="25">
        <v>11251101136</v>
      </c>
      <c r="B51" s="26" t="s">
        <v>309</v>
      </c>
      <c r="C51" s="27">
        <v>33682873</v>
      </c>
      <c r="D51" s="27"/>
      <c r="E51" s="34"/>
      <c r="F51" s="30">
        <f t="shared" si="11"/>
        <v>33682873</v>
      </c>
      <c r="G51" s="31">
        <v>2963192</v>
      </c>
      <c r="H51" s="27">
        <v>224704</v>
      </c>
      <c r="I51" s="31">
        <v>2963192</v>
      </c>
      <c r="J51" s="32">
        <f t="shared" si="12"/>
        <v>30719681</v>
      </c>
      <c r="K51" s="33">
        <f t="shared" si="1"/>
        <v>8.7973255725543362E-2</v>
      </c>
      <c r="L51" s="113">
        <f t="shared" si="3"/>
        <v>0</v>
      </c>
      <c r="M51" s="25">
        <v>11251101136</v>
      </c>
      <c r="N51" s="26" t="s">
        <v>309</v>
      </c>
      <c r="O51" s="27">
        <v>33682873</v>
      </c>
      <c r="P51" s="27"/>
      <c r="Q51" s="34"/>
      <c r="R51" s="30">
        <v>33682873</v>
      </c>
      <c r="S51" s="31">
        <v>2569960</v>
      </c>
      <c r="T51" s="27">
        <v>168528</v>
      </c>
      <c r="U51" s="31">
        <v>2738488</v>
      </c>
      <c r="V51" s="32">
        <v>30944385</v>
      </c>
      <c r="W51" s="33">
        <v>8.1302090828178464E-2</v>
      </c>
      <c r="Y51" s="25">
        <v>11251101136</v>
      </c>
      <c r="Z51" s="26" t="s">
        <v>309</v>
      </c>
      <c r="AA51" s="27">
        <v>33682873</v>
      </c>
      <c r="AB51" s="27"/>
      <c r="AC51" s="34"/>
      <c r="AD51" s="30">
        <v>33682873</v>
      </c>
      <c r="AE51" s="31">
        <v>2963192</v>
      </c>
      <c r="AF51" s="27">
        <v>224704</v>
      </c>
      <c r="AG51" s="31">
        <v>2963192</v>
      </c>
      <c r="AH51" s="32">
        <v>30719681</v>
      </c>
      <c r="AI51" s="33">
        <v>8.7973255725543362E-2</v>
      </c>
    </row>
    <row r="52" spans="1:35" hidden="1" x14ac:dyDescent="0.25">
      <c r="A52" s="25">
        <v>11251101137</v>
      </c>
      <c r="B52" s="26" t="s">
        <v>310</v>
      </c>
      <c r="C52" s="27">
        <v>32920000</v>
      </c>
      <c r="D52" s="27"/>
      <c r="E52" s="34"/>
      <c r="F52" s="30">
        <f t="shared" si="11"/>
        <v>32920000</v>
      </c>
      <c r="G52" s="31">
        <v>7756676</v>
      </c>
      <c r="H52" s="27"/>
      <c r="I52" s="31">
        <v>7756676</v>
      </c>
      <c r="J52" s="32">
        <f t="shared" si="12"/>
        <v>25163324</v>
      </c>
      <c r="K52" s="33">
        <f t="shared" si="1"/>
        <v>0.23562199270959902</v>
      </c>
      <c r="L52" s="113">
        <f t="shared" si="3"/>
        <v>0</v>
      </c>
      <c r="M52" s="25">
        <v>11251101137</v>
      </c>
      <c r="N52" s="26" t="s">
        <v>310</v>
      </c>
      <c r="O52" s="27">
        <v>32920000</v>
      </c>
      <c r="P52" s="27"/>
      <c r="Q52" s="34"/>
      <c r="R52" s="30">
        <v>32920000</v>
      </c>
      <c r="S52" s="31">
        <v>7419600</v>
      </c>
      <c r="T52" s="27">
        <v>337076</v>
      </c>
      <c r="U52" s="31">
        <v>7756676</v>
      </c>
      <c r="V52" s="32">
        <v>25163324</v>
      </c>
      <c r="W52" s="33">
        <v>0.23562199270959902</v>
      </c>
      <c r="Y52" s="25">
        <v>11251101137</v>
      </c>
      <c r="Z52" s="26" t="s">
        <v>310</v>
      </c>
      <c r="AA52" s="27">
        <v>32920000</v>
      </c>
      <c r="AB52" s="27"/>
      <c r="AC52" s="34"/>
      <c r="AD52" s="30">
        <v>32920000</v>
      </c>
      <c r="AE52" s="31">
        <v>7756676</v>
      </c>
      <c r="AF52" s="27"/>
      <c r="AG52" s="31">
        <v>7756676</v>
      </c>
      <c r="AH52" s="32">
        <v>25163324</v>
      </c>
      <c r="AI52" s="33">
        <v>0.23562199270959902</v>
      </c>
    </row>
    <row r="53" spans="1:35" hidden="1" x14ac:dyDescent="0.25">
      <c r="A53" s="25">
        <v>11251101138</v>
      </c>
      <c r="B53" s="26" t="s">
        <v>311</v>
      </c>
      <c r="C53" s="27">
        <v>320000000</v>
      </c>
      <c r="D53" s="27"/>
      <c r="E53" s="34"/>
      <c r="F53" s="30">
        <f t="shared" si="11"/>
        <v>320000000</v>
      </c>
      <c r="G53" s="31">
        <v>254828420</v>
      </c>
      <c r="H53" s="27"/>
      <c r="I53" s="31">
        <v>254828420</v>
      </c>
      <c r="J53" s="32">
        <f t="shared" si="12"/>
        <v>65171580</v>
      </c>
      <c r="K53" s="33">
        <f t="shared" si="1"/>
        <v>0.79633881250000005</v>
      </c>
      <c r="L53" s="113">
        <f t="shared" si="3"/>
        <v>0</v>
      </c>
      <c r="M53" s="25">
        <v>11251101138</v>
      </c>
      <c r="N53" s="26" t="s">
        <v>311</v>
      </c>
      <c r="O53" s="27">
        <v>320000000</v>
      </c>
      <c r="P53" s="27"/>
      <c r="Q53" s="34"/>
      <c r="R53" s="30">
        <v>320000000</v>
      </c>
      <c r="S53" s="31">
        <v>254828420</v>
      </c>
      <c r="T53" s="27"/>
      <c r="U53" s="31">
        <v>254828420</v>
      </c>
      <c r="V53" s="32">
        <v>65171580</v>
      </c>
      <c r="W53" s="33">
        <v>0.79633881250000005</v>
      </c>
      <c r="Y53" s="25">
        <v>11251101138</v>
      </c>
      <c r="Z53" s="26" t="s">
        <v>311</v>
      </c>
      <c r="AA53" s="27">
        <v>320000000</v>
      </c>
      <c r="AB53" s="27"/>
      <c r="AC53" s="34"/>
      <c r="AD53" s="30">
        <v>320000000</v>
      </c>
      <c r="AE53" s="31">
        <v>254828420</v>
      </c>
      <c r="AF53" s="27"/>
      <c r="AG53" s="31">
        <v>254828420</v>
      </c>
      <c r="AH53" s="32">
        <v>65171580</v>
      </c>
      <c r="AI53" s="33">
        <v>0.79633881250000005</v>
      </c>
    </row>
    <row r="54" spans="1:35" hidden="1" x14ac:dyDescent="0.25">
      <c r="A54" s="25">
        <v>11251101139</v>
      </c>
      <c r="B54" s="26" t="s">
        <v>312</v>
      </c>
      <c r="C54" s="27">
        <v>140000000</v>
      </c>
      <c r="D54" s="27"/>
      <c r="E54" s="34"/>
      <c r="F54" s="30">
        <f t="shared" si="11"/>
        <v>140000000</v>
      </c>
      <c r="G54" s="31">
        <v>7203180</v>
      </c>
      <c r="H54" s="27"/>
      <c r="I54" s="31">
        <v>7203180</v>
      </c>
      <c r="J54" s="32">
        <f t="shared" si="12"/>
        <v>132796820</v>
      </c>
      <c r="K54" s="33">
        <f t="shared" si="1"/>
        <v>5.1451285714285713E-2</v>
      </c>
      <c r="L54" s="113">
        <f t="shared" si="3"/>
        <v>0</v>
      </c>
      <c r="M54" s="25">
        <v>11251101139</v>
      </c>
      <c r="N54" s="26" t="s">
        <v>312</v>
      </c>
      <c r="O54" s="27">
        <v>140000000</v>
      </c>
      <c r="P54" s="27"/>
      <c r="Q54" s="34"/>
      <c r="R54" s="30">
        <v>140000000</v>
      </c>
      <c r="S54" s="31">
        <v>7115400</v>
      </c>
      <c r="T54" s="27">
        <v>87780</v>
      </c>
      <c r="U54" s="31">
        <v>7203180</v>
      </c>
      <c r="V54" s="32">
        <v>132796820</v>
      </c>
      <c r="W54" s="33">
        <v>5.1451285714285713E-2</v>
      </c>
      <c r="Y54" s="25">
        <v>11251101139</v>
      </c>
      <c r="Z54" s="26" t="s">
        <v>312</v>
      </c>
      <c r="AA54" s="27">
        <v>140000000</v>
      </c>
      <c r="AB54" s="27"/>
      <c r="AC54" s="34"/>
      <c r="AD54" s="30">
        <v>140000000</v>
      </c>
      <c r="AE54" s="31">
        <v>7203180</v>
      </c>
      <c r="AF54" s="27"/>
      <c r="AG54" s="31">
        <v>7203180</v>
      </c>
      <c r="AH54" s="32">
        <v>132796820</v>
      </c>
      <c r="AI54" s="33">
        <v>5.1451285714285713E-2</v>
      </c>
    </row>
    <row r="55" spans="1:35" hidden="1" x14ac:dyDescent="0.25">
      <c r="A55" s="25" t="s">
        <v>313</v>
      </c>
      <c r="B55" s="26" t="s">
        <v>314</v>
      </c>
      <c r="C55" s="27">
        <v>240000000</v>
      </c>
      <c r="D55" s="27"/>
      <c r="E55" s="34"/>
      <c r="F55" s="30">
        <f t="shared" si="11"/>
        <v>240000000</v>
      </c>
      <c r="G55" s="31">
        <v>87282643</v>
      </c>
      <c r="H55" s="27">
        <v>87282643</v>
      </c>
      <c r="I55" s="31">
        <v>87282643</v>
      </c>
      <c r="J55" s="32">
        <f t="shared" si="12"/>
        <v>152717357</v>
      </c>
      <c r="K55" s="33">
        <f t="shared" si="1"/>
        <v>0.36367767916666666</v>
      </c>
      <c r="L55" s="113">
        <f t="shared" si="3"/>
        <v>0</v>
      </c>
      <c r="M55" s="25" t="s">
        <v>313</v>
      </c>
      <c r="N55" s="26" t="s">
        <v>314</v>
      </c>
      <c r="O55" s="27">
        <v>240000000</v>
      </c>
      <c r="P55" s="27"/>
      <c r="Q55" s="34"/>
      <c r="R55" s="30">
        <v>240000000</v>
      </c>
      <c r="S55" s="31"/>
      <c r="T55" s="27"/>
      <c r="U55" s="31"/>
      <c r="V55" s="32">
        <v>240000000</v>
      </c>
      <c r="W55" s="33">
        <v>0</v>
      </c>
      <c r="Y55" s="25" t="s">
        <v>313</v>
      </c>
      <c r="Z55" s="26" t="s">
        <v>314</v>
      </c>
      <c r="AA55" s="27">
        <v>240000000</v>
      </c>
      <c r="AB55" s="27"/>
      <c r="AC55" s="34"/>
      <c r="AD55" s="30">
        <v>240000000</v>
      </c>
      <c r="AE55" s="31">
        <v>87282643</v>
      </c>
      <c r="AF55" s="27">
        <v>87282643</v>
      </c>
      <c r="AG55" s="27">
        <v>87282643</v>
      </c>
      <c r="AH55" s="32">
        <v>152717357</v>
      </c>
      <c r="AI55" s="33">
        <v>0.36367767916666666</v>
      </c>
    </row>
    <row r="56" spans="1:35" hidden="1" x14ac:dyDescent="0.25">
      <c r="A56" s="25" t="s">
        <v>315</v>
      </c>
      <c r="B56" s="26" t="s">
        <v>316</v>
      </c>
      <c r="C56" s="27">
        <v>22000000</v>
      </c>
      <c r="D56" s="27"/>
      <c r="E56" s="34"/>
      <c r="F56" s="30">
        <f t="shared" si="11"/>
        <v>22000000</v>
      </c>
      <c r="G56" s="31">
        <v>15456264.25</v>
      </c>
      <c r="H56" s="27">
        <v>224718</v>
      </c>
      <c r="I56" s="31">
        <v>15456264.25</v>
      </c>
      <c r="J56" s="32">
        <f t="shared" si="12"/>
        <v>6543735.75</v>
      </c>
      <c r="K56" s="33">
        <f t="shared" si="1"/>
        <v>0.70255746590909096</v>
      </c>
      <c r="L56" s="113">
        <f t="shared" si="3"/>
        <v>0</v>
      </c>
      <c r="M56" s="25" t="s">
        <v>315</v>
      </c>
      <c r="N56" s="26" t="s">
        <v>316</v>
      </c>
      <c r="O56" s="27">
        <v>22000000</v>
      </c>
      <c r="P56" s="27"/>
      <c r="Q56" s="34"/>
      <c r="R56" s="30">
        <v>22000000</v>
      </c>
      <c r="S56" s="31">
        <v>15231545.470000001</v>
      </c>
      <c r="T56" s="27">
        <v>0.78</v>
      </c>
      <c r="U56" s="31">
        <v>15231546.25</v>
      </c>
      <c r="V56" s="32">
        <v>6768453.75</v>
      </c>
      <c r="W56" s="33">
        <v>0.69234301136363641</v>
      </c>
      <c r="Y56" s="25" t="s">
        <v>315</v>
      </c>
      <c r="Z56" s="26" t="s">
        <v>316</v>
      </c>
      <c r="AA56" s="27">
        <v>22000000</v>
      </c>
      <c r="AB56" s="27"/>
      <c r="AC56" s="34"/>
      <c r="AD56" s="30">
        <v>22000000</v>
      </c>
      <c r="AE56" s="31">
        <v>15456264.25</v>
      </c>
      <c r="AF56" s="27">
        <v>224718</v>
      </c>
      <c r="AG56" s="31">
        <v>15456264.25</v>
      </c>
      <c r="AH56" s="32">
        <v>6543735.75</v>
      </c>
      <c r="AI56" s="33">
        <v>0.70255746590909096</v>
      </c>
    </row>
    <row r="57" spans="1:35" hidden="1" x14ac:dyDescent="0.25">
      <c r="A57" s="25" t="s">
        <v>317</v>
      </c>
      <c r="B57" s="26" t="s">
        <v>318</v>
      </c>
      <c r="C57" s="27">
        <v>13060960</v>
      </c>
      <c r="D57" s="27"/>
      <c r="E57" s="34"/>
      <c r="F57" s="30">
        <f t="shared" si="11"/>
        <v>13060960</v>
      </c>
      <c r="G57" s="31">
        <v>1952848</v>
      </c>
      <c r="H57" s="27">
        <v>224959</v>
      </c>
      <c r="I57" s="31">
        <v>1952848</v>
      </c>
      <c r="J57" s="32">
        <f t="shared" si="12"/>
        <v>11108112</v>
      </c>
      <c r="K57" s="33">
        <f t="shared" si="1"/>
        <v>0.14951795273854296</v>
      </c>
      <c r="L57" s="113">
        <f t="shared" si="3"/>
        <v>0</v>
      </c>
      <c r="M57" s="25" t="s">
        <v>317</v>
      </c>
      <c r="N57" s="26" t="s">
        <v>318</v>
      </c>
      <c r="O57" s="27">
        <v>13060960</v>
      </c>
      <c r="P57" s="27"/>
      <c r="Q57" s="34"/>
      <c r="R57" s="30">
        <v>13060960</v>
      </c>
      <c r="S57" s="31">
        <v>154900</v>
      </c>
      <c r="T57" s="27">
        <v>1572989</v>
      </c>
      <c r="U57" s="31">
        <v>1727889</v>
      </c>
      <c r="V57" s="32">
        <v>11333071</v>
      </c>
      <c r="W57" s="33">
        <v>0.13229418051965552</v>
      </c>
      <c r="Y57" s="25" t="s">
        <v>317</v>
      </c>
      <c r="Z57" s="26" t="s">
        <v>318</v>
      </c>
      <c r="AA57" s="27">
        <v>13060960</v>
      </c>
      <c r="AB57" s="27"/>
      <c r="AC57" s="34"/>
      <c r="AD57" s="30">
        <v>13060960</v>
      </c>
      <c r="AE57" s="31">
        <v>1952848</v>
      </c>
      <c r="AF57" s="27">
        <v>224959</v>
      </c>
      <c r="AG57" s="31">
        <v>1952848</v>
      </c>
      <c r="AH57" s="32">
        <v>11108112</v>
      </c>
      <c r="AI57" s="33">
        <v>0.14951795273854296</v>
      </c>
    </row>
    <row r="58" spans="1:35" hidden="1" x14ac:dyDescent="0.25">
      <c r="A58" s="25" t="s">
        <v>319</v>
      </c>
      <c r="B58" s="26" t="s">
        <v>320</v>
      </c>
      <c r="C58" s="27"/>
      <c r="D58" s="27"/>
      <c r="E58" s="34"/>
      <c r="F58" s="30">
        <f t="shared" si="11"/>
        <v>0</v>
      </c>
      <c r="G58" s="31">
        <v>114483813</v>
      </c>
      <c r="H58" s="27">
        <v>634100</v>
      </c>
      <c r="I58" s="31">
        <v>114483813</v>
      </c>
      <c r="J58" s="32">
        <f t="shared" si="12"/>
        <v>-114483813</v>
      </c>
      <c r="K58" s="33" t="e">
        <f t="shared" si="1"/>
        <v>#DIV/0!</v>
      </c>
      <c r="L58" s="113">
        <f t="shared" si="3"/>
        <v>0</v>
      </c>
      <c r="M58" s="25" t="s">
        <v>319</v>
      </c>
      <c r="N58" s="26" t="s">
        <v>320</v>
      </c>
      <c r="O58" s="27"/>
      <c r="P58" s="27"/>
      <c r="Q58" s="34"/>
      <c r="R58" s="30">
        <v>0</v>
      </c>
      <c r="S58" s="31">
        <v>102823413</v>
      </c>
      <c r="T58" s="27">
        <v>11026300</v>
      </c>
      <c r="U58" s="31">
        <v>113849713</v>
      </c>
      <c r="V58" s="32">
        <v>-113849713</v>
      </c>
      <c r="W58" s="33" t="e">
        <v>#DIV/0!</v>
      </c>
      <c r="Y58" s="25" t="s">
        <v>319</v>
      </c>
      <c r="Z58" s="26" t="s">
        <v>320</v>
      </c>
      <c r="AA58" s="27"/>
      <c r="AB58" s="27"/>
      <c r="AC58" s="34"/>
      <c r="AD58" s="30">
        <v>0</v>
      </c>
      <c r="AE58" s="31">
        <v>114483813</v>
      </c>
      <c r="AF58" s="27">
        <v>634100</v>
      </c>
      <c r="AG58" s="31">
        <v>114483813</v>
      </c>
      <c r="AH58" s="32">
        <v>-114483813</v>
      </c>
      <c r="AI58" s="33" t="e">
        <v>#DIV/0!</v>
      </c>
    </row>
    <row r="59" spans="1:35" hidden="1" x14ac:dyDescent="0.25">
      <c r="A59" s="25" t="s">
        <v>321</v>
      </c>
      <c r="B59" s="26" t="s">
        <v>322</v>
      </c>
      <c r="C59" s="27">
        <v>80000000</v>
      </c>
      <c r="D59" s="27"/>
      <c r="E59" s="34"/>
      <c r="F59" s="30">
        <f t="shared" si="11"/>
        <v>80000000</v>
      </c>
      <c r="G59" s="31">
        <v>27110475</v>
      </c>
      <c r="H59" s="27"/>
      <c r="I59" s="31">
        <v>27110475</v>
      </c>
      <c r="J59" s="32">
        <f t="shared" si="12"/>
        <v>52889525</v>
      </c>
      <c r="K59" s="33">
        <f t="shared" si="1"/>
        <v>0.33888093749999998</v>
      </c>
      <c r="L59" s="113">
        <f t="shared" si="3"/>
        <v>0</v>
      </c>
      <c r="M59" s="25" t="s">
        <v>321</v>
      </c>
      <c r="N59" s="26" t="s">
        <v>322</v>
      </c>
      <c r="O59" s="27">
        <v>80000000</v>
      </c>
      <c r="P59" s="27"/>
      <c r="Q59" s="34"/>
      <c r="R59" s="30">
        <v>80000000</v>
      </c>
      <c r="S59" s="31">
        <v>6654890</v>
      </c>
      <c r="T59" s="27">
        <v>20455585</v>
      </c>
      <c r="U59" s="31">
        <v>27110475</v>
      </c>
      <c r="V59" s="32">
        <v>52889525</v>
      </c>
      <c r="W59" s="33">
        <v>0.33888093749999998</v>
      </c>
      <c r="Y59" s="25" t="s">
        <v>321</v>
      </c>
      <c r="Z59" s="26" t="s">
        <v>322</v>
      </c>
      <c r="AA59" s="27">
        <v>80000000</v>
      </c>
      <c r="AB59" s="27"/>
      <c r="AC59" s="34"/>
      <c r="AD59" s="30">
        <v>80000000</v>
      </c>
      <c r="AE59" s="31">
        <v>27110475</v>
      </c>
      <c r="AF59" s="27"/>
      <c r="AG59" s="31">
        <v>27110475</v>
      </c>
      <c r="AH59" s="32">
        <v>52889525</v>
      </c>
      <c r="AI59" s="33">
        <v>0.33888093749999998</v>
      </c>
    </row>
    <row r="60" spans="1:35" hidden="1" x14ac:dyDescent="0.25">
      <c r="A60" s="25" t="s">
        <v>323</v>
      </c>
      <c r="B60" s="26" t="s">
        <v>324</v>
      </c>
      <c r="C60" s="27">
        <v>100000000</v>
      </c>
      <c r="D60" s="27"/>
      <c r="E60" s="34"/>
      <c r="F60" s="30">
        <f t="shared" si="11"/>
        <v>100000000</v>
      </c>
      <c r="G60" s="31">
        <v>0</v>
      </c>
      <c r="H60" s="27"/>
      <c r="I60" s="31"/>
      <c r="J60" s="32">
        <f t="shared" si="12"/>
        <v>100000000</v>
      </c>
      <c r="K60" s="33">
        <f t="shared" si="1"/>
        <v>0</v>
      </c>
      <c r="L60" s="113">
        <f t="shared" si="3"/>
        <v>0</v>
      </c>
      <c r="M60" s="25" t="s">
        <v>323</v>
      </c>
      <c r="N60" s="26" t="s">
        <v>324</v>
      </c>
      <c r="O60" s="27">
        <v>100000000</v>
      </c>
      <c r="P60" s="27"/>
      <c r="Q60" s="34"/>
      <c r="R60" s="30">
        <v>100000000</v>
      </c>
      <c r="S60" s="31"/>
      <c r="T60" s="27"/>
      <c r="U60" s="31"/>
      <c r="V60" s="32">
        <v>100000000</v>
      </c>
      <c r="W60" s="33">
        <v>0</v>
      </c>
      <c r="Y60" s="25" t="s">
        <v>323</v>
      </c>
      <c r="Z60" s="26" t="s">
        <v>324</v>
      </c>
      <c r="AA60" s="27">
        <v>100000000</v>
      </c>
      <c r="AB60" s="27"/>
      <c r="AC60" s="34"/>
      <c r="AD60" s="30">
        <v>100000000</v>
      </c>
      <c r="AE60" s="31">
        <v>0</v>
      </c>
      <c r="AF60" s="27"/>
      <c r="AG60" s="31"/>
      <c r="AH60" s="32">
        <v>100000000</v>
      </c>
      <c r="AI60" s="33">
        <v>0</v>
      </c>
    </row>
    <row r="61" spans="1:35" hidden="1" x14ac:dyDescent="0.25">
      <c r="A61" s="25" t="s">
        <v>325</v>
      </c>
      <c r="B61" s="26" t="s">
        <v>326</v>
      </c>
      <c r="C61" s="27">
        <v>205500000</v>
      </c>
      <c r="D61" s="27"/>
      <c r="E61" s="34"/>
      <c r="F61" s="30">
        <f t="shared" si="11"/>
        <v>205500000</v>
      </c>
      <c r="G61" s="31">
        <v>124683285</v>
      </c>
      <c r="H61" s="27">
        <v>45674270</v>
      </c>
      <c r="I61" s="31">
        <v>124683285</v>
      </c>
      <c r="J61" s="32">
        <f t="shared" si="12"/>
        <v>80816715</v>
      </c>
      <c r="K61" s="33">
        <f t="shared" si="1"/>
        <v>0.60673131386861312</v>
      </c>
      <c r="L61" s="113">
        <f t="shared" si="3"/>
        <v>0</v>
      </c>
      <c r="M61" s="25" t="s">
        <v>325</v>
      </c>
      <c r="N61" s="26" t="s">
        <v>326</v>
      </c>
      <c r="O61" s="27">
        <v>205500000</v>
      </c>
      <c r="P61" s="27"/>
      <c r="Q61" s="34"/>
      <c r="R61" s="30">
        <v>205500000</v>
      </c>
      <c r="S61" s="31">
        <v>75490696</v>
      </c>
      <c r="T61" s="27">
        <v>3518319</v>
      </c>
      <c r="U61" s="31">
        <v>79009015</v>
      </c>
      <c r="V61" s="32">
        <v>126490985</v>
      </c>
      <c r="W61" s="33">
        <v>0.38447209245742092</v>
      </c>
      <c r="Y61" s="25" t="s">
        <v>325</v>
      </c>
      <c r="Z61" s="26" t="s">
        <v>326</v>
      </c>
      <c r="AA61" s="27">
        <v>205500000</v>
      </c>
      <c r="AB61" s="27"/>
      <c r="AC61" s="34"/>
      <c r="AD61" s="30">
        <v>205500000</v>
      </c>
      <c r="AE61" s="31">
        <v>124683285</v>
      </c>
      <c r="AF61" s="27">
        <v>45674270</v>
      </c>
      <c r="AG61" s="31">
        <v>124683285</v>
      </c>
      <c r="AH61" s="32">
        <v>80816715</v>
      </c>
      <c r="AI61" s="33">
        <v>0.60673131386861312</v>
      </c>
    </row>
    <row r="62" spans="1:35" hidden="1" x14ac:dyDescent="0.25">
      <c r="A62" s="25" t="s">
        <v>327</v>
      </c>
      <c r="B62" s="26" t="s">
        <v>328</v>
      </c>
      <c r="C62" s="27">
        <v>120000000</v>
      </c>
      <c r="D62" s="27"/>
      <c r="E62" s="34"/>
      <c r="F62" s="30">
        <f t="shared" si="11"/>
        <v>120000000</v>
      </c>
      <c r="G62" s="31">
        <v>0</v>
      </c>
      <c r="H62" s="27"/>
      <c r="I62" s="31"/>
      <c r="J62" s="32">
        <f t="shared" si="12"/>
        <v>120000000</v>
      </c>
      <c r="K62" s="33">
        <f t="shared" si="1"/>
        <v>0</v>
      </c>
      <c r="L62" s="113">
        <f t="shared" si="3"/>
        <v>0</v>
      </c>
      <c r="M62" s="25" t="s">
        <v>327</v>
      </c>
      <c r="N62" s="26" t="s">
        <v>328</v>
      </c>
      <c r="O62" s="27">
        <v>120000000</v>
      </c>
      <c r="P62" s="27"/>
      <c r="Q62" s="34"/>
      <c r="R62" s="30">
        <v>120000000</v>
      </c>
      <c r="S62" s="31"/>
      <c r="T62" s="27"/>
      <c r="U62" s="31"/>
      <c r="V62" s="32">
        <v>120000000</v>
      </c>
      <c r="W62" s="33">
        <v>0</v>
      </c>
      <c r="Y62" s="25" t="s">
        <v>327</v>
      </c>
      <c r="Z62" s="26" t="s">
        <v>328</v>
      </c>
      <c r="AA62" s="27">
        <v>120000000</v>
      </c>
      <c r="AB62" s="27"/>
      <c r="AC62" s="34"/>
      <c r="AD62" s="30">
        <v>120000000</v>
      </c>
      <c r="AE62" s="31">
        <v>0</v>
      </c>
      <c r="AF62" s="27"/>
      <c r="AG62" s="31"/>
      <c r="AH62" s="32">
        <v>120000000</v>
      </c>
      <c r="AI62" s="33">
        <v>0</v>
      </c>
    </row>
    <row r="63" spans="1:35" hidden="1" x14ac:dyDescent="0.25">
      <c r="A63" s="25" t="s">
        <v>329</v>
      </c>
      <c r="B63" s="26" t="s">
        <v>330</v>
      </c>
      <c r="C63" s="27">
        <v>150724000</v>
      </c>
      <c r="D63" s="27"/>
      <c r="E63" s="34"/>
      <c r="F63" s="30">
        <f t="shared" si="11"/>
        <v>150724000</v>
      </c>
      <c r="G63" s="31">
        <v>236979000</v>
      </c>
      <c r="H63" s="27">
        <v>76832000</v>
      </c>
      <c r="I63" s="31">
        <v>236979000</v>
      </c>
      <c r="J63" s="32">
        <f t="shared" si="12"/>
        <v>-86255000</v>
      </c>
      <c r="K63" s="33">
        <f t="shared" si="1"/>
        <v>1.5722711711472626</v>
      </c>
      <c r="L63" s="113">
        <f t="shared" si="3"/>
        <v>0</v>
      </c>
      <c r="M63" s="25" t="s">
        <v>329</v>
      </c>
      <c r="N63" s="26" t="s">
        <v>330</v>
      </c>
      <c r="O63" s="27">
        <v>150724000</v>
      </c>
      <c r="P63" s="27"/>
      <c r="Q63" s="34"/>
      <c r="R63" s="30">
        <v>150724000</v>
      </c>
      <c r="S63" s="31">
        <v>158566000</v>
      </c>
      <c r="T63" s="27">
        <v>1581000</v>
      </c>
      <c r="U63" s="31">
        <v>160147000</v>
      </c>
      <c r="V63" s="32">
        <v>-9423000</v>
      </c>
      <c r="W63" s="33">
        <v>1.0625182452694992</v>
      </c>
      <c r="Y63" s="25" t="s">
        <v>329</v>
      </c>
      <c r="Z63" s="26" t="s">
        <v>330</v>
      </c>
      <c r="AA63" s="27">
        <v>150724000</v>
      </c>
      <c r="AB63" s="27"/>
      <c r="AC63" s="34"/>
      <c r="AD63" s="30">
        <v>150724000</v>
      </c>
      <c r="AE63" s="31">
        <v>236979000</v>
      </c>
      <c r="AF63" s="27">
        <v>76832000</v>
      </c>
      <c r="AG63" s="31">
        <v>236979000</v>
      </c>
      <c r="AH63" s="32">
        <v>-86255000</v>
      </c>
      <c r="AI63" s="33">
        <v>1.5722711711472626</v>
      </c>
    </row>
    <row r="64" spans="1:35" hidden="1" x14ac:dyDescent="0.25">
      <c r="A64" s="25" t="s">
        <v>331</v>
      </c>
      <c r="B64" s="26" t="s">
        <v>332</v>
      </c>
      <c r="C64" s="27">
        <v>239891264</v>
      </c>
      <c r="D64" s="27"/>
      <c r="E64" s="34"/>
      <c r="F64" s="30">
        <f t="shared" si="11"/>
        <v>239891264</v>
      </c>
      <c r="G64" s="31">
        <v>163890487</v>
      </c>
      <c r="H64" s="27">
        <v>18627000</v>
      </c>
      <c r="I64" s="31">
        <v>163890487</v>
      </c>
      <c r="J64" s="32">
        <f t="shared" si="12"/>
        <v>76000777</v>
      </c>
      <c r="K64" s="33">
        <f t="shared" si="1"/>
        <v>0.68318655822331242</v>
      </c>
      <c r="L64" s="113">
        <f t="shared" si="3"/>
        <v>0</v>
      </c>
      <c r="M64" s="25" t="s">
        <v>331</v>
      </c>
      <c r="N64" s="26" t="s">
        <v>332</v>
      </c>
      <c r="O64" s="27">
        <v>239891264</v>
      </c>
      <c r="P64" s="27"/>
      <c r="Q64" s="34"/>
      <c r="R64" s="30">
        <v>239891264</v>
      </c>
      <c r="S64" s="31">
        <v>123920321</v>
      </c>
      <c r="T64" s="27">
        <v>21343166</v>
      </c>
      <c r="U64" s="31">
        <v>145263487</v>
      </c>
      <c r="V64" s="32">
        <v>94627777</v>
      </c>
      <c r="W64" s="33">
        <v>0.60553887864795275</v>
      </c>
      <c r="Y64" s="25" t="s">
        <v>331</v>
      </c>
      <c r="Z64" s="26" t="s">
        <v>332</v>
      </c>
      <c r="AA64" s="27">
        <v>239891264</v>
      </c>
      <c r="AB64" s="27"/>
      <c r="AC64" s="34"/>
      <c r="AD64" s="30">
        <v>239891264</v>
      </c>
      <c r="AE64" s="31">
        <v>163890487</v>
      </c>
      <c r="AF64" s="27">
        <v>18627000</v>
      </c>
      <c r="AG64" s="31">
        <v>163890487</v>
      </c>
      <c r="AH64" s="32">
        <v>76000777</v>
      </c>
      <c r="AI64" s="33">
        <v>0.68318655822331242</v>
      </c>
    </row>
    <row r="65" spans="1:35" hidden="1" x14ac:dyDescent="0.25">
      <c r="A65" s="25" t="s">
        <v>333</v>
      </c>
      <c r="B65" s="26" t="s">
        <v>334</v>
      </c>
      <c r="C65" s="27">
        <v>34200000</v>
      </c>
      <c r="D65" s="27"/>
      <c r="E65" s="34"/>
      <c r="F65" s="30">
        <f t="shared" si="11"/>
        <v>34200000</v>
      </c>
      <c r="G65" s="31">
        <v>337077</v>
      </c>
      <c r="H65" s="27"/>
      <c r="I65" s="31">
        <v>337077</v>
      </c>
      <c r="J65" s="32">
        <f t="shared" si="12"/>
        <v>33862923</v>
      </c>
      <c r="K65" s="33">
        <f t="shared" si="1"/>
        <v>9.8560526315789477E-3</v>
      </c>
      <c r="L65" s="113">
        <f t="shared" si="3"/>
        <v>0</v>
      </c>
      <c r="M65" s="25" t="s">
        <v>333</v>
      </c>
      <c r="N65" s="26" t="s">
        <v>334</v>
      </c>
      <c r="O65" s="27">
        <v>34200000</v>
      </c>
      <c r="P65" s="27"/>
      <c r="Q65" s="34"/>
      <c r="R65" s="30">
        <v>34200000</v>
      </c>
      <c r="S65" s="31">
        <v>337077</v>
      </c>
      <c r="T65" s="27"/>
      <c r="U65" s="31">
        <v>337077</v>
      </c>
      <c r="V65" s="32">
        <v>33862923</v>
      </c>
      <c r="W65" s="33">
        <v>9.8560526315789477E-3</v>
      </c>
      <c r="Y65" s="25" t="s">
        <v>333</v>
      </c>
      <c r="Z65" s="26" t="s">
        <v>334</v>
      </c>
      <c r="AA65" s="27">
        <v>34200000</v>
      </c>
      <c r="AB65" s="27"/>
      <c r="AC65" s="34"/>
      <c r="AD65" s="30">
        <v>34200000</v>
      </c>
      <c r="AE65" s="31">
        <v>337077</v>
      </c>
      <c r="AF65" s="27"/>
      <c r="AG65" s="31">
        <v>337077</v>
      </c>
      <c r="AH65" s="32">
        <v>33862923</v>
      </c>
      <c r="AI65" s="33">
        <v>9.8560526315789477E-3</v>
      </c>
    </row>
    <row r="66" spans="1:35" hidden="1" x14ac:dyDescent="0.25">
      <c r="A66" s="25" t="s">
        <v>335</v>
      </c>
      <c r="B66" s="26" t="s">
        <v>336</v>
      </c>
      <c r="C66" s="27">
        <v>48000000</v>
      </c>
      <c r="D66" s="27"/>
      <c r="E66" s="34"/>
      <c r="F66" s="30">
        <f t="shared" si="11"/>
        <v>48000000</v>
      </c>
      <c r="G66" s="31">
        <v>183630000</v>
      </c>
      <c r="H66" s="27">
        <v>66990000</v>
      </c>
      <c r="I66" s="31">
        <v>183630000</v>
      </c>
      <c r="J66" s="32">
        <f t="shared" si="12"/>
        <v>-135630000</v>
      </c>
      <c r="K66" s="33">
        <f t="shared" si="1"/>
        <v>3.8256250000000001</v>
      </c>
      <c r="L66" s="113">
        <f t="shared" si="3"/>
        <v>0</v>
      </c>
      <c r="M66" s="25" t="s">
        <v>335</v>
      </c>
      <c r="N66" s="26" t="s">
        <v>336</v>
      </c>
      <c r="O66" s="27">
        <v>48000000</v>
      </c>
      <c r="P66" s="27"/>
      <c r="Q66" s="34"/>
      <c r="R66" s="30">
        <v>48000000</v>
      </c>
      <c r="S66" s="31">
        <v>116640000</v>
      </c>
      <c r="T66" s="27"/>
      <c r="U66" s="31">
        <v>116640000</v>
      </c>
      <c r="V66" s="32">
        <v>-68640000</v>
      </c>
      <c r="W66" s="33">
        <v>2.4300000000000002</v>
      </c>
      <c r="Y66" s="25" t="s">
        <v>335</v>
      </c>
      <c r="Z66" s="26" t="s">
        <v>336</v>
      </c>
      <c r="AA66" s="27">
        <v>48000000</v>
      </c>
      <c r="AB66" s="27"/>
      <c r="AC66" s="34"/>
      <c r="AD66" s="30">
        <v>48000000</v>
      </c>
      <c r="AE66" s="31">
        <v>183630000</v>
      </c>
      <c r="AF66" s="27">
        <v>66990000</v>
      </c>
      <c r="AG66" s="31">
        <v>183630000</v>
      </c>
      <c r="AH66" s="32">
        <v>-135630000</v>
      </c>
      <c r="AI66" s="33">
        <v>3.8256250000000001</v>
      </c>
    </row>
    <row r="67" spans="1:35" hidden="1" x14ac:dyDescent="0.25">
      <c r="A67" s="25" t="s">
        <v>337</v>
      </c>
      <c r="B67" s="26" t="s">
        <v>338</v>
      </c>
      <c r="C67" s="27">
        <v>172025580</v>
      </c>
      <c r="D67" s="27"/>
      <c r="E67" s="34"/>
      <c r="F67" s="30">
        <f t="shared" si="11"/>
        <v>172025580</v>
      </c>
      <c r="G67" s="31">
        <v>48634374</v>
      </c>
      <c r="H67" s="27"/>
      <c r="I67" s="31">
        <v>48634374</v>
      </c>
      <c r="J67" s="32">
        <f t="shared" si="12"/>
        <v>123391206</v>
      </c>
      <c r="K67" s="33">
        <f t="shared" si="1"/>
        <v>0.28271594259411886</v>
      </c>
      <c r="L67" s="113">
        <f t="shared" si="3"/>
        <v>0</v>
      </c>
      <c r="M67" s="25" t="s">
        <v>337</v>
      </c>
      <c r="N67" s="26" t="s">
        <v>338</v>
      </c>
      <c r="O67" s="27">
        <v>172025580</v>
      </c>
      <c r="P67" s="27"/>
      <c r="Q67" s="34"/>
      <c r="R67" s="30">
        <v>172025580</v>
      </c>
      <c r="S67" s="31">
        <v>43630809</v>
      </c>
      <c r="T67" s="27">
        <v>5003565</v>
      </c>
      <c r="U67" s="31">
        <v>48634374</v>
      </c>
      <c r="V67" s="32">
        <v>123391206</v>
      </c>
      <c r="W67" s="33">
        <v>0.28271594259411886</v>
      </c>
      <c r="Y67" s="25" t="s">
        <v>337</v>
      </c>
      <c r="Z67" s="26" t="s">
        <v>338</v>
      </c>
      <c r="AA67" s="27">
        <v>172025580</v>
      </c>
      <c r="AB67" s="27"/>
      <c r="AC67" s="34"/>
      <c r="AD67" s="30">
        <v>172025580</v>
      </c>
      <c r="AE67" s="31">
        <v>48634374</v>
      </c>
      <c r="AF67" s="27"/>
      <c r="AG67" s="31">
        <v>48634374</v>
      </c>
      <c r="AH67" s="32">
        <v>123391206</v>
      </c>
      <c r="AI67" s="33">
        <v>0.28271594259411886</v>
      </c>
    </row>
    <row r="68" spans="1:35" hidden="1" x14ac:dyDescent="0.25">
      <c r="A68" s="25" t="s">
        <v>339</v>
      </c>
      <c r="B68" s="26" t="s">
        <v>340</v>
      </c>
      <c r="C68" s="27">
        <v>51082000</v>
      </c>
      <c r="D68" s="27"/>
      <c r="E68" s="34"/>
      <c r="F68" s="30">
        <f t="shared" si="11"/>
        <v>51082000</v>
      </c>
      <c r="G68" s="31">
        <v>877803</v>
      </c>
      <c r="H68" s="27"/>
      <c r="I68" s="31">
        <v>877803</v>
      </c>
      <c r="J68" s="32">
        <f t="shared" si="12"/>
        <v>50204197</v>
      </c>
      <c r="K68" s="33">
        <f t="shared" si="1"/>
        <v>1.7184194040953761E-2</v>
      </c>
      <c r="L68" s="113">
        <f t="shared" si="3"/>
        <v>0</v>
      </c>
      <c r="M68" s="25" t="s">
        <v>339</v>
      </c>
      <c r="N68" s="26" t="s">
        <v>340</v>
      </c>
      <c r="O68" s="27">
        <v>51082000</v>
      </c>
      <c r="P68" s="27"/>
      <c r="Q68" s="34"/>
      <c r="R68" s="30">
        <v>51082000</v>
      </c>
      <c r="S68" s="31"/>
      <c r="T68" s="27">
        <v>877803</v>
      </c>
      <c r="U68" s="31">
        <v>877803</v>
      </c>
      <c r="V68" s="32">
        <v>50204197</v>
      </c>
      <c r="W68" s="33">
        <v>1.7184194040953761E-2</v>
      </c>
      <c r="Y68" s="25" t="s">
        <v>339</v>
      </c>
      <c r="Z68" s="26" t="s">
        <v>340</v>
      </c>
      <c r="AA68" s="27">
        <v>51082000</v>
      </c>
      <c r="AB68" s="27"/>
      <c r="AC68" s="34"/>
      <c r="AD68" s="30">
        <v>51082000</v>
      </c>
      <c r="AE68" s="31">
        <v>877803</v>
      </c>
      <c r="AF68" s="27"/>
      <c r="AG68" s="31">
        <v>877803</v>
      </c>
      <c r="AH68" s="32">
        <v>50204197</v>
      </c>
      <c r="AI68" s="33">
        <v>1.7184194040953761E-2</v>
      </c>
    </row>
    <row r="69" spans="1:35" hidden="1" x14ac:dyDescent="0.25">
      <c r="A69" s="25" t="s">
        <v>341</v>
      </c>
      <c r="B69" s="26" t="s">
        <v>342</v>
      </c>
      <c r="C69" s="27">
        <v>3750000</v>
      </c>
      <c r="D69" s="27"/>
      <c r="E69" s="34"/>
      <c r="F69" s="30">
        <f t="shared" si="11"/>
        <v>3750000</v>
      </c>
      <c r="G69" s="31">
        <v>719100</v>
      </c>
      <c r="H69" s="27"/>
      <c r="I69" s="31">
        <v>719100</v>
      </c>
      <c r="J69" s="32">
        <f t="shared" si="12"/>
        <v>3030900</v>
      </c>
      <c r="K69" s="33">
        <f t="shared" si="1"/>
        <v>0.19176000000000001</v>
      </c>
      <c r="L69" s="113">
        <f t="shared" si="3"/>
        <v>0</v>
      </c>
      <c r="M69" s="25" t="s">
        <v>341</v>
      </c>
      <c r="N69" s="26" t="s">
        <v>342</v>
      </c>
      <c r="O69" s="27">
        <v>3750000</v>
      </c>
      <c r="P69" s="27"/>
      <c r="Q69" s="34"/>
      <c r="R69" s="30">
        <v>3750000</v>
      </c>
      <c r="S69" s="31">
        <v>719100</v>
      </c>
      <c r="T69" s="27"/>
      <c r="U69" s="31">
        <v>719100</v>
      </c>
      <c r="V69" s="32">
        <v>3030900</v>
      </c>
      <c r="W69" s="33">
        <v>0.19176000000000001</v>
      </c>
      <c r="Y69" s="25" t="s">
        <v>341</v>
      </c>
      <c r="Z69" s="26" t="s">
        <v>342</v>
      </c>
      <c r="AA69" s="27">
        <v>3750000</v>
      </c>
      <c r="AB69" s="27"/>
      <c r="AC69" s="34"/>
      <c r="AD69" s="30">
        <v>3750000</v>
      </c>
      <c r="AE69" s="31">
        <v>719100</v>
      </c>
      <c r="AF69" s="27"/>
      <c r="AG69" s="31">
        <v>719100</v>
      </c>
      <c r="AH69" s="32">
        <v>3030900</v>
      </c>
      <c r="AI69" s="33">
        <v>0.19176000000000001</v>
      </c>
    </row>
    <row r="70" spans="1:35" hidden="1" x14ac:dyDescent="0.25">
      <c r="A70" s="25" t="s">
        <v>343</v>
      </c>
      <c r="B70" s="26" t="s">
        <v>344</v>
      </c>
      <c r="C70" s="27">
        <v>85445009</v>
      </c>
      <c r="D70" s="27"/>
      <c r="E70" s="34"/>
      <c r="F70" s="30">
        <f t="shared" si="11"/>
        <v>85445009</v>
      </c>
      <c r="G70" s="31">
        <v>471900</v>
      </c>
      <c r="H70" s="27"/>
      <c r="I70" s="31">
        <v>471900</v>
      </c>
      <c r="J70" s="32">
        <f t="shared" si="12"/>
        <v>84973109</v>
      </c>
      <c r="K70" s="33">
        <f t="shared" ref="K70:K135" si="18">+I70/F70</f>
        <v>5.5228503750289265E-3</v>
      </c>
      <c r="L70" s="113">
        <f t="shared" ref="L70:L133" si="19">+I70-G70</f>
        <v>0</v>
      </c>
      <c r="M70" s="25" t="s">
        <v>343</v>
      </c>
      <c r="N70" s="26" t="s">
        <v>344</v>
      </c>
      <c r="O70" s="27">
        <v>85445009</v>
      </c>
      <c r="P70" s="27"/>
      <c r="Q70" s="34"/>
      <c r="R70" s="30">
        <v>85445009</v>
      </c>
      <c r="S70" s="31">
        <v>439000</v>
      </c>
      <c r="T70" s="27">
        <v>32900</v>
      </c>
      <c r="U70" s="31">
        <v>471900</v>
      </c>
      <c r="V70" s="32">
        <v>84973109</v>
      </c>
      <c r="W70" s="33">
        <v>5.5228503750289265E-3</v>
      </c>
      <c r="Y70" s="25" t="s">
        <v>343</v>
      </c>
      <c r="Z70" s="26" t="s">
        <v>344</v>
      </c>
      <c r="AA70" s="27">
        <v>85445009</v>
      </c>
      <c r="AB70" s="27"/>
      <c r="AC70" s="34"/>
      <c r="AD70" s="30">
        <v>85445009</v>
      </c>
      <c r="AE70" s="31">
        <v>471900</v>
      </c>
      <c r="AF70" s="27"/>
      <c r="AG70" s="31">
        <v>471900</v>
      </c>
      <c r="AH70" s="32">
        <v>84973109</v>
      </c>
      <c r="AI70" s="33">
        <v>5.5228503750289265E-3</v>
      </c>
    </row>
    <row r="71" spans="1:35" hidden="1" x14ac:dyDescent="0.25">
      <c r="A71" s="25" t="s">
        <v>345</v>
      </c>
      <c r="B71" s="26" t="s">
        <v>346</v>
      </c>
      <c r="C71" s="27">
        <v>24200000</v>
      </c>
      <c r="D71" s="27"/>
      <c r="E71" s="34"/>
      <c r="F71" s="30">
        <f t="shared" si="11"/>
        <v>24200000</v>
      </c>
      <c r="G71" s="31">
        <v>0</v>
      </c>
      <c r="H71" s="27"/>
      <c r="I71" s="31"/>
      <c r="J71" s="32">
        <f t="shared" si="12"/>
        <v>24200000</v>
      </c>
      <c r="K71" s="33">
        <f t="shared" si="18"/>
        <v>0</v>
      </c>
      <c r="L71" s="113">
        <f t="shared" si="19"/>
        <v>0</v>
      </c>
      <c r="M71" s="25" t="s">
        <v>345</v>
      </c>
      <c r="N71" s="26" t="s">
        <v>346</v>
      </c>
      <c r="O71" s="27">
        <v>24200000</v>
      </c>
      <c r="P71" s="27"/>
      <c r="Q71" s="34"/>
      <c r="R71" s="30">
        <v>24200000</v>
      </c>
      <c r="S71" s="31"/>
      <c r="T71" s="27"/>
      <c r="U71" s="31"/>
      <c r="V71" s="32">
        <v>24200000</v>
      </c>
      <c r="W71" s="33">
        <v>0</v>
      </c>
      <c r="Y71" s="25" t="s">
        <v>345</v>
      </c>
      <c r="Z71" s="26" t="s">
        <v>346</v>
      </c>
      <c r="AA71" s="27">
        <v>24200000</v>
      </c>
      <c r="AB71" s="27"/>
      <c r="AC71" s="34"/>
      <c r="AD71" s="30">
        <v>24200000</v>
      </c>
      <c r="AE71" s="31">
        <v>0</v>
      </c>
      <c r="AF71" s="27"/>
      <c r="AG71" s="31"/>
      <c r="AH71" s="32">
        <v>24200000</v>
      </c>
      <c r="AI71" s="33">
        <v>0</v>
      </c>
    </row>
    <row r="72" spans="1:35" hidden="1" x14ac:dyDescent="0.25">
      <c r="A72" s="25" t="s">
        <v>347</v>
      </c>
      <c r="B72" s="26" t="s">
        <v>348</v>
      </c>
      <c r="C72" s="27">
        <v>108984085</v>
      </c>
      <c r="D72" s="27"/>
      <c r="E72" s="34"/>
      <c r="F72" s="30">
        <f t="shared" si="11"/>
        <v>108984085</v>
      </c>
      <c r="G72" s="31">
        <v>26014971</v>
      </c>
      <c r="H72" s="27"/>
      <c r="I72" s="31">
        <v>26014971</v>
      </c>
      <c r="J72" s="32">
        <f t="shared" si="12"/>
        <v>82969114</v>
      </c>
      <c r="K72" s="33">
        <f t="shared" si="18"/>
        <v>0.23870431173505746</v>
      </c>
      <c r="L72" s="113">
        <f t="shared" si="19"/>
        <v>0</v>
      </c>
      <c r="M72" s="25" t="s">
        <v>347</v>
      </c>
      <c r="N72" s="26" t="s">
        <v>348</v>
      </c>
      <c r="O72" s="27">
        <v>108984085</v>
      </c>
      <c r="P72" s="27"/>
      <c r="Q72" s="34"/>
      <c r="R72" s="30">
        <v>108984085</v>
      </c>
      <c r="S72" s="31">
        <v>26014971</v>
      </c>
      <c r="T72" s="27">
        <v>7000000</v>
      </c>
      <c r="U72" s="31">
        <v>26014971</v>
      </c>
      <c r="V72" s="32">
        <v>82969114</v>
      </c>
      <c r="W72" s="33">
        <v>0.23870431173505746</v>
      </c>
      <c r="Y72" s="25" t="s">
        <v>347</v>
      </c>
      <c r="Z72" s="26" t="s">
        <v>348</v>
      </c>
      <c r="AA72" s="27">
        <v>108984085</v>
      </c>
      <c r="AB72" s="27"/>
      <c r="AC72" s="34"/>
      <c r="AD72" s="30">
        <v>108984085</v>
      </c>
      <c r="AE72" s="31">
        <v>26014971</v>
      </c>
      <c r="AF72" s="27"/>
      <c r="AG72" s="31">
        <v>26014971</v>
      </c>
      <c r="AH72" s="32">
        <v>82969114</v>
      </c>
      <c r="AI72" s="33">
        <v>0.23870431173505746</v>
      </c>
    </row>
    <row r="73" spans="1:35" hidden="1" x14ac:dyDescent="0.25">
      <c r="A73" s="25" t="s">
        <v>349</v>
      </c>
      <c r="B73" s="26" t="s">
        <v>350</v>
      </c>
      <c r="C73" s="27">
        <v>40000000</v>
      </c>
      <c r="D73" s="27"/>
      <c r="E73" s="34"/>
      <c r="F73" s="30">
        <f t="shared" si="11"/>
        <v>40000000</v>
      </c>
      <c r="G73" s="31">
        <v>0</v>
      </c>
      <c r="H73" s="27"/>
      <c r="I73" s="31"/>
      <c r="J73" s="32">
        <f t="shared" si="12"/>
        <v>40000000</v>
      </c>
      <c r="K73" s="33">
        <f t="shared" si="18"/>
        <v>0</v>
      </c>
      <c r="L73" s="113">
        <f t="shared" si="19"/>
        <v>0</v>
      </c>
      <c r="M73" s="25" t="s">
        <v>349</v>
      </c>
      <c r="N73" s="26" t="s">
        <v>350</v>
      </c>
      <c r="O73" s="27">
        <v>40000000</v>
      </c>
      <c r="P73" s="27"/>
      <c r="Q73" s="34"/>
      <c r="R73" s="30">
        <v>40000000</v>
      </c>
      <c r="S73" s="31"/>
      <c r="T73" s="27"/>
      <c r="U73" s="31"/>
      <c r="V73" s="32">
        <v>40000000</v>
      </c>
      <c r="W73" s="33">
        <v>0</v>
      </c>
      <c r="Y73" s="25" t="s">
        <v>349</v>
      </c>
      <c r="Z73" s="26" t="s">
        <v>350</v>
      </c>
      <c r="AA73" s="27">
        <v>40000000</v>
      </c>
      <c r="AB73" s="27"/>
      <c r="AC73" s="34"/>
      <c r="AD73" s="30">
        <v>40000000</v>
      </c>
      <c r="AE73" s="31">
        <v>0</v>
      </c>
      <c r="AF73" s="27"/>
      <c r="AG73" s="31"/>
      <c r="AH73" s="32">
        <v>40000000</v>
      </c>
      <c r="AI73" s="33">
        <v>0</v>
      </c>
    </row>
    <row r="74" spans="1:35" hidden="1" x14ac:dyDescent="0.25">
      <c r="A74" s="25" t="s">
        <v>351</v>
      </c>
      <c r="B74" s="26" t="s">
        <v>352</v>
      </c>
      <c r="C74" s="27">
        <v>600000</v>
      </c>
      <c r="D74" s="27"/>
      <c r="E74" s="34"/>
      <c r="F74" s="30">
        <f t="shared" si="11"/>
        <v>600000</v>
      </c>
      <c r="G74" s="31">
        <v>0</v>
      </c>
      <c r="H74" s="27"/>
      <c r="I74" s="31"/>
      <c r="J74" s="32">
        <f t="shared" si="12"/>
        <v>600000</v>
      </c>
      <c r="K74" s="33">
        <f t="shared" si="18"/>
        <v>0</v>
      </c>
      <c r="L74" s="113">
        <f t="shared" si="19"/>
        <v>0</v>
      </c>
      <c r="M74" s="25" t="s">
        <v>351</v>
      </c>
      <c r="N74" s="26" t="s">
        <v>352</v>
      </c>
      <c r="O74" s="27">
        <v>600000</v>
      </c>
      <c r="P74" s="27"/>
      <c r="Q74" s="34"/>
      <c r="R74" s="30">
        <v>600000</v>
      </c>
      <c r="S74" s="31"/>
      <c r="T74" s="27"/>
      <c r="U74" s="31"/>
      <c r="V74" s="32">
        <v>600000</v>
      </c>
      <c r="W74" s="33">
        <v>0</v>
      </c>
      <c r="Y74" s="25" t="s">
        <v>351</v>
      </c>
      <c r="Z74" s="26" t="s">
        <v>352</v>
      </c>
      <c r="AA74" s="27">
        <v>600000</v>
      </c>
      <c r="AB74" s="27"/>
      <c r="AC74" s="34"/>
      <c r="AD74" s="30">
        <v>600000</v>
      </c>
      <c r="AE74" s="31">
        <v>0</v>
      </c>
      <c r="AF74" s="27"/>
      <c r="AG74" s="31"/>
      <c r="AH74" s="32">
        <v>600000</v>
      </c>
      <c r="AI74" s="33">
        <v>0</v>
      </c>
    </row>
    <row r="75" spans="1:35" hidden="1" x14ac:dyDescent="0.25">
      <c r="A75" s="25" t="s">
        <v>353</v>
      </c>
      <c r="B75" s="26" t="s">
        <v>354</v>
      </c>
      <c r="C75" s="27">
        <v>200000</v>
      </c>
      <c r="D75" s="27"/>
      <c r="E75" s="34"/>
      <c r="F75" s="30">
        <f t="shared" si="11"/>
        <v>200000</v>
      </c>
      <c r="G75" s="31">
        <v>0</v>
      </c>
      <c r="H75" s="27"/>
      <c r="I75" s="31"/>
      <c r="J75" s="32">
        <f t="shared" si="12"/>
        <v>200000</v>
      </c>
      <c r="K75" s="33">
        <f t="shared" si="18"/>
        <v>0</v>
      </c>
      <c r="L75" s="113">
        <f t="shared" si="19"/>
        <v>0</v>
      </c>
      <c r="M75" s="25" t="s">
        <v>353</v>
      </c>
      <c r="N75" s="26" t="s">
        <v>354</v>
      </c>
      <c r="O75" s="27">
        <v>200000</v>
      </c>
      <c r="P75" s="27"/>
      <c r="Q75" s="34"/>
      <c r="R75" s="30">
        <v>200000</v>
      </c>
      <c r="S75" s="31"/>
      <c r="T75" s="27"/>
      <c r="U75" s="31"/>
      <c r="V75" s="32">
        <v>200000</v>
      </c>
      <c r="W75" s="33">
        <v>0</v>
      </c>
      <c r="Y75" s="25" t="s">
        <v>353</v>
      </c>
      <c r="Z75" s="26" t="s">
        <v>354</v>
      </c>
      <c r="AA75" s="27">
        <v>200000</v>
      </c>
      <c r="AB75" s="27"/>
      <c r="AC75" s="34"/>
      <c r="AD75" s="30">
        <v>200000</v>
      </c>
      <c r="AE75" s="31">
        <v>0</v>
      </c>
      <c r="AF75" s="27"/>
      <c r="AG75" s="31"/>
      <c r="AH75" s="32">
        <v>200000</v>
      </c>
      <c r="AI75" s="33">
        <v>0</v>
      </c>
    </row>
    <row r="76" spans="1:35" hidden="1" x14ac:dyDescent="0.25">
      <c r="A76" s="25" t="s">
        <v>355</v>
      </c>
      <c r="B76" s="26" t="s">
        <v>356</v>
      </c>
      <c r="C76" s="27">
        <v>400000</v>
      </c>
      <c r="D76" s="27"/>
      <c r="E76" s="34"/>
      <c r="F76" s="30">
        <f t="shared" si="11"/>
        <v>400000</v>
      </c>
      <c r="G76" s="31">
        <v>13220</v>
      </c>
      <c r="H76" s="27"/>
      <c r="I76" s="31">
        <v>13220</v>
      </c>
      <c r="J76" s="32">
        <f t="shared" si="12"/>
        <v>386780</v>
      </c>
      <c r="K76" s="33">
        <f t="shared" si="18"/>
        <v>3.3050000000000003E-2</v>
      </c>
      <c r="L76" s="113">
        <f t="shared" si="19"/>
        <v>0</v>
      </c>
      <c r="M76" s="25" t="s">
        <v>355</v>
      </c>
      <c r="N76" s="26" t="s">
        <v>356</v>
      </c>
      <c r="O76" s="27">
        <v>400000</v>
      </c>
      <c r="P76" s="27"/>
      <c r="Q76" s="34"/>
      <c r="R76" s="30">
        <v>400000</v>
      </c>
      <c r="S76" s="31">
        <v>13220</v>
      </c>
      <c r="T76" s="27"/>
      <c r="U76" s="31">
        <v>13220</v>
      </c>
      <c r="V76" s="32">
        <v>386780</v>
      </c>
      <c r="W76" s="33">
        <v>3.3050000000000003E-2</v>
      </c>
      <c r="Y76" s="25" t="s">
        <v>355</v>
      </c>
      <c r="Z76" s="26" t="s">
        <v>356</v>
      </c>
      <c r="AA76" s="27">
        <v>400000</v>
      </c>
      <c r="AB76" s="27"/>
      <c r="AC76" s="34"/>
      <c r="AD76" s="30">
        <v>400000</v>
      </c>
      <c r="AE76" s="31">
        <v>13220</v>
      </c>
      <c r="AF76" s="27"/>
      <c r="AG76" s="31">
        <v>13220</v>
      </c>
      <c r="AH76" s="32">
        <v>386780</v>
      </c>
      <c r="AI76" s="33">
        <v>3.3050000000000003E-2</v>
      </c>
    </row>
    <row r="77" spans="1:35" hidden="1" x14ac:dyDescent="0.25">
      <c r="A77" s="25" t="s">
        <v>357</v>
      </c>
      <c r="B77" s="26" t="s">
        <v>358</v>
      </c>
      <c r="C77" s="27">
        <v>5000</v>
      </c>
      <c r="D77" s="27"/>
      <c r="E77" s="34"/>
      <c r="F77" s="30">
        <f t="shared" si="11"/>
        <v>5000</v>
      </c>
      <c r="G77" s="31">
        <v>0</v>
      </c>
      <c r="H77" s="27"/>
      <c r="I77" s="31"/>
      <c r="J77" s="32">
        <f t="shared" si="12"/>
        <v>5000</v>
      </c>
      <c r="K77" s="33">
        <f t="shared" si="18"/>
        <v>0</v>
      </c>
      <c r="L77" s="113">
        <f t="shared" si="19"/>
        <v>0</v>
      </c>
      <c r="M77" s="25" t="s">
        <v>357</v>
      </c>
      <c r="N77" s="26" t="s">
        <v>358</v>
      </c>
      <c r="O77" s="27">
        <v>5000</v>
      </c>
      <c r="P77" s="27"/>
      <c r="Q77" s="34"/>
      <c r="R77" s="30">
        <v>5000</v>
      </c>
      <c r="S77" s="31"/>
      <c r="T77" s="27"/>
      <c r="U77" s="31"/>
      <c r="V77" s="32">
        <v>5000</v>
      </c>
      <c r="W77" s="33">
        <v>0</v>
      </c>
      <c r="Y77" s="25" t="s">
        <v>357</v>
      </c>
      <c r="Z77" s="26" t="s">
        <v>358</v>
      </c>
      <c r="AA77" s="27">
        <v>5000</v>
      </c>
      <c r="AB77" s="27"/>
      <c r="AC77" s="34"/>
      <c r="AD77" s="30">
        <v>5000</v>
      </c>
      <c r="AE77" s="31">
        <v>0</v>
      </c>
      <c r="AF77" s="27"/>
      <c r="AG77" s="31"/>
      <c r="AH77" s="32">
        <v>5000</v>
      </c>
      <c r="AI77" s="33">
        <v>0</v>
      </c>
    </row>
    <row r="78" spans="1:35" hidden="1" x14ac:dyDescent="0.25">
      <c r="A78" s="25" t="s">
        <v>359</v>
      </c>
      <c r="B78" s="26" t="s">
        <v>360</v>
      </c>
      <c r="C78" s="27"/>
      <c r="D78" s="27"/>
      <c r="E78" s="34"/>
      <c r="F78" s="30">
        <f t="shared" si="11"/>
        <v>0</v>
      </c>
      <c r="G78" s="31">
        <v>3915105</v>
      </c>
      <c r="H78" s="27">
        <v>644050</v>
      </c>
      <c r="I78" s="31">
        <v>3915105</v>
      </c>
      <c r="J78" s="32">
        <f t="shared" si="12"/>
        <v>-3915105</v>
      </c>
      <c r="K78" s="33" t="e">
        <f t="shared" si="18"/>
        <v>#DIV/0!</v>
      </c>
      <c r="L78" s="113">
        <f t="shared" si="19"/>
        <v>0</v>
      </c>
      <c r="M78" s="25" t="s">
        <v>359</v>
      </c>
      <c r="N78" s="26" t="s">
        <v>360</v>
      </c>
      <c r="O78" s="27"/>
      <c r="P78" s="27"/>
      <c r="Q78" s="34"/>
      <c r="R78" s="30">
        <v>0</v>
      </c>
      <c r="S78" s="31">
        <v>3271055</v>
      </c>
      <c r="T78" s="27"/>
      <c r="U78" s="31">
        <v>3271055</v>
      </c>
      <c r="V78" s="32">
        <v>-3271055</v>
      </c>
      <c r="W78" s="33" t="e">
        <v>#DIV/0!</v>
      </c>
      <c r="Y78" s="25" t="s">
        <v>359</v>
      </c>
      <c r="Z78" s="26" t="s">
        <v>360</v>
      </c>
      <c r="AA78" s="27"/>
      <c r="AB78" s="27"/>
      <c r="AC78" s="34"/>
      <c r="AD78" s="30">
        <v>0</v>
      </c>
      <c r="AE78" s="31">
        <v>3915105</v>
      </c>
      <c r="AF78" s="27">
        <v>644050</v>
      </c>
      <c r="AG78" s="31">
        <v>3915105</v>
      </c>
      <c r="AH78" s="32">
        <v>-3915105</v>
      </c>
      <c r="AI78" s="33" t="e">
        <v>#DIV/0!</v>
      </c>
    </row>
    <row r="79" spans="1:35" hidden="1" x14ac:dyDescent="0.25">
      <c r="A79" s="25" t="s">
        <v>361</v>
      </c>
      <c r="B79" s="26" t="s">
        <v>362</v>
      </c>
      <c r="C79" s="27"/>
      <c r="D79" s="27"/>
      <c r="E79" s="34"/>
      <c r="F79" s="30">
        <f>+C79+D79</f>
        <v>0</v>
      </c>
      <c r="G79" s="31">
        <v>505153</v>
      </c>
      <c r="H79" s="27"/>
      <c r="I79" s="31">
        <v>505153</v>
      </c>
      <c r="J79" s="32">
        <f>SUM(F79-I79)</f>
        <v>-505153</v>
      </c>
      <c r="K79" s="33" t="e">
        <f t="shared" si="18"/>
        <v>#DIV/0!</v>
      </c>
      <c r="L79" s="113">
        <f t="shared" si="19"/>
        <v>0</v>
      </c>
      <c r="M79" s="25" t="s">
        <v>361</v>
      </c>
      <c r="N79" s="26" t="s">
        <v>362</v>
      </c>
      <c r="O79" s="27"/>
      <c r="P79" s="27"/>
      <c r="Q79" s="34"/>
      <c r="R79" s="30">
        <v>0</v>
      </c>
      <c r="S79" s="31">
        <v>505153</v>
      </c>
      <c r="T79" s="27"/>
      <c r="U79" s="31">
        <v>505153</v>
      </c>
      <c r="V79" s="32">
        <v>-505153</v>
      </c>
      <c r="W79" s="33" t="e">
        <v>#DIV/0!</v>
      </c>
      <c r="Y79" s="25" t="s">
        <v>361</v>
      </c>
      <c r="Z79" s="26" t="s">
        <v>362</v>
      </c>
      <c r="AA79" s="27"/>
      <c r="AB79" s="27"/>
      <c r="AC79" s="34"/>
      <c r="AD79" s="30">
        <v>0</v>
      </c>
      <c r="AE79" s="31">
        <v>505153</v>
      </c>
      <c r="AF79" s="27"/>
      <c r="AG79" s="31">
        <v>505153</v>
      </c>
      <c r="AH79" s="32">
        <v>-505153</v>
      </c>
      <c r="AI79" s="33" t="e">
        <v>#DIV/0!</v>
      </c>
    </row>
    <row r="80" spans="1:35" hidden="1" x14ac:dyDescent="0.25">
      <c r="A80" s="25" t="s">
        <v>363</v>
      </c>
      <c r="B80" s="26" t="s">
        <v>364</v>
      </c>
      <c r="C80" s="27">
        <v>128167513</v>
      </c>
      <c r="D80" s="27"/>
      <c r="E80" s="34"/>
      <c r="F80" s="30">
        <f t="shared" ref="F80:F148" si="20">+C80+D80</f>
        <v>128167513</v>
      </c>
      <c r="G80" s="31">
        <v>150319778</v>
      </c>
      <c r="H80" s="27">
        <v>32511900</v>
      </c>
      <c r="I80" s="31">
        <v>150319778</v>
      </c>
      <c r="J80" s="32">
        <f t="shared" ref="J80:J131" si="21">SUM(F80-I80)</f>
        <v>-22152265</v>
      </c>
      <c r="K80" s="33">
        <f t="shared" si="18"/>
        <v>1.172838377537996</v>
      </c>
      <c r="L80" s="113">
        <f t="shared" si="19"/>
        <v>0</v>
      </c>
      <c r="M80" s="25" t="s">
        <v>363</v>
      </c>
      <c r="N80" s="26" t="s">
        <v>364</v>
      </c>
      <c r="O80" s="27">
        <v>128167513</v>
      </c>
      <c r="P80" s="27"/>
      <c r="Q80" s="34"/>
      <c r="R80" s="30">
        <v>128167513</v>
      </c>
      <c r="S80" s="31">
        <v>37121400</v>
      </c>
      <c r="T80" s="27">
        <v>80686478</v>
      </c>
      <c r="U80" s="31">
        <v>117807878</v>
      </c>
      <c r="V80" s="32">
        <v>10359635</v>
      </c>
      <c r="W80" s="33">
        <v>0.91917113192326672</v>
      </c>
      <c r="Y80" s="25" t="s">
        <v>363</v>
      </c>
      <c r="Z80" s="26" t="s">
        <v>364</v>
      </c>
      <c r="AA80" s="27">
        <v>128167513</v>
      </c>
      <c r="AB80" s="27"/>
      <c r="AC80" s="34"/>
      <c r="AD80" s="30">
        <v>128167513</v>
      </c>
      <c r="AE80" s="31">
        <v>150319778</v>
      </c>
      <c r="AF80" s="27">
        <v>32511900</v>
      </c>
      <c r="AG80" s="31">
        <v>150319778</v>
      </c>
      <c r="AH80" s="32">
        <v>-22152265</v>
      </c>
      <c r="AI80" s="33">
        <v>1.172838377537996</v>
      </c>
    </row>
    <row r="81" spans="1:35" s="20" customFormat="1" hidden="1" x14ac:dyDescent="0.25">
      <c r="A81" s="16" t="s">
        <v>365</v>
      </c>
      <c r="B81" s="17" t="s">
        <v>366</v>
      </c>
      <c r="C81" s="18">
        <f>SUM(C82)</f>
        <v>230000000</v>
      </c>
      <c r="D81" s="18">
        <f t="shared" ref="D81:J82" si="22">SUM(D82)</f>
        <v>0</v>
      </c>
      <c r="E81" s="18">
        <f t="shared" si="22"/>
        <v>0</v>
      </c>
      <c r="F81" s="18">
        <f t="shared" si="22"/>
        <v>230000000</v>
      </c>
      <c r="G81" s="18">
        <f t="shared" si="22"/>
        <v>39934060</v>
      </c>
      <c r="H81" s="18">
        <f t="shared" si="22"/>
        <v>0</v>
      </c>
      <c r="I81" s="18">
        <f t="shared" si="22"/>
        <v>39934060</v>
      </c>
      <c r="J81" s="18">
        <f t="shared" si="22"/>
        <v>190065940</v>
      </c>
      <c r="K81" s="19">
        <f t="shared" si="18"/>
        <v>0.17362634782608696</v>
      </c>
      <c r="L81" s="113">
        <f t="shared" si="19"/>
        <v>0</v>
      </c>
      <c r="M81" s="16" t="s">
        <v>365</v>
      </c>
      <c r="N81" s="17" t="s">
        <v>366</v>
      </c>
      <c r="O81" s="18">
        <v>230000000</v>
      </c>
      <c r="P81" s="18">
        <v>0</v>
      </c>
      <c r="Q81" s="18">
        <v>0</v>
      </c>
      <c r="R81" s="18">
        <v>230000000</v>
      </c>
      <c r="S81" s="18">
        <v>39934060</v>
      </c>
      <c r="T81" s="18">
        <v>0</v>
      </c>
      <c r="U81" s="18">
        <v>39934060</v>
      </c>
      <c r="V81" s="18">
        <v>190065940</v>
      </c>
      <c r="W81" s="19">
        <v>0.17362634782608696</v>
      </c>
      <c r="Y81" s="16" t="s">
        <v>365</v>
      </c>
      <c r="Z81" s="17" t="s">
        <v>366</v>
      </c>
      <c r="AA81" s="18">
        <v>230000000</v>
      </c>
      <c r="AB81" s="18">
        <v>0</v>
      </c>
      <c r="AC81" s="18">
        <v>0</v>
      </c>
      <c r="AD81" s="18">
        <v>230000000</v>
      </c>
      <c r="AE81" s="18">
        <v>39934060</v>
      </c>
      <c r="AF81" s="18">
        <v>0</v>
      </c>
      <c r="AG81" s="18">
        <v>39934060</v>
      </c>
      <c r="AH81" s="18">
        <v>190065940</v>
      </c>
      <c r="AI81" s="19">
        <v>0.17362634782608696</v>
      </c>
    </row>
    <row r="82" spans="1:35" hidden="1" x14ac:dyDescent="0.25">
      <c r="A82" s="21" t="s">
        <v>367</v>
      </c>
      <c r="B82" s="22" t="s">
        <v>368</v>
      </c>
      <c r="C82" s="23">
        <f>SUM(C83)</f>
        <v>230000000</v>
      </c>
      <c r="D82" s="23">
        <f t="shared" si="22"/>
        <v>0</v>
      </c>
      <c r="E82" s="23">
        <f t="shared" si="22"/>
        <v>0</v>
      </c>
      <c r="F82" s="23">
        <f t="shared" si="22"/>
        <v>230000000</v>
      </c>
      <c r="G82" s="23">
        <f t="shared" si="22"/>
        <v>39934060</v>
      </c>
      <c r="H82" s="23">
        <f t="shared" si="22"/>
        <v>0</v>
      </c>
      <c r="I82" s="23">
        <f t="shared" si="22"/>
        <v>39934060</v>
      </c>
      <c r="J82" s="23">
        <f t="shared" si="22"/>
        <v>190065940</v>
      </c>
      <c r="K82" s="36">
        <f t="shared" si="18"/>
        <v>0.17362634782608696</v>
      </c>
      <c r="L82" s="113">
        <f t="shared" si="19"/>
        <v>0</v>
      </c>
      <c r="M82" s="21" t="s">
        <v>367</v>
      </c>
      <c r="N82" s="22" t="s">
        <v>368</v>
      </c>
      <c r="O82" s="23">
        <v>230000000</v>
      </c>
      <c r="P82" s="23">
        <v>0</v>
      </c>
      <c r="Q82" s="23">
        <v>0</v>
      </c>
      <c r="R82" s="23">
        <v>230000000</v>
      </c>
      <c r="S82" s="23">
        <v>39934060</v>
      </c>
      <c r="T82" s="23">
        <v>0</v>
      </c>
      <c r="U82" s="23">
        <v>39934060</v>
      </c>
      <c r="V82" s="23">
        <v>190065940</v>
      </c>
      <c r="W82" s="36">
        <v>0.17362634782608696</v>
      </c>
      <c r="Y82" s="21" t="s">
        <v>367</v>
      </c>
      <c r="Z82" s="22" t="s">
        <v>368</v>
      </c>
      <c r="AA82" s="23">
        <v>230000000</v>
      </c>
      <c r="AB82" s="23">
        <v>0</v>
      </c>
      <c r="AC82" s="23">
        <v>0</v>
      </c>
      <c r="AD82" s="23">
        <v>230000000</v>
      </c>
      <c r="AE82" s="23">
        <v>39934060</v>
      </c>
      <c r="AF82" s="23">
        <v>0</v>
      </c>
      <c r="AG82" s="23">
        <v>39934060</v>
      </c>
      <c r="AH82" s="23">
        <v>190065940</v>
      </c>
      <c r="AI82" s="36">
        <v>0.17362634782608696</v>
      </c>
    </row>
    <row r="83" spans="1:35" hidden="1" x14ac:dyDescent="0.25">
      <c r="A83" s="25" t="s">
        <v>369</v>
      </c>
      <c r="B83" s="26" t="s">
        <v>370</v>
      </c>
      <c r="C83" s="27">
        <v>230000000</v>
      </c>
      <c r="D83" s="27"/>
      <c r="E83" s="34"/>
      <c r="F83" s="30">
        <f t="shared" si="20"/>
        <v>230000000</v>
      </c>
      <c r="G83" s="31">
        <v>39934060</v>
      </c>
      <c r="H83" s="27"/>
      <c r="I83" s="31">
        <v>39934060</v>
      </c>
      <c r="J83" s="32">
        <f t="shared" si="21"/>
        <v>190065940</v>
      </c>
      <c r="K83" s="33">
        <f t="shared" si="18"/>
        <v>0.17362634782608696</v>
      </c>
      <c r="L83" s="113">
        <f t="shared" si="19"/>
        <v>0</v>
      </c>
      <c r="M83" s="25" t="s">
        <v>369</v>
      </c>
      <c r="N83" s="26" t="s">
        <v>370</v>
      </c>
      <c r="O83" s="27">
        <v>230000000</v>
      </c>
      <c r="P83" s="27"/>
      <c r="Q83" s="34"/>
      <c r="R83" s="30">
        <v>230000000</v>
      </c>
      <c r="S83" s="31">
        <v>39934060</v>
      </c>
      <c r="T83" s="27"/>
      <c r="U83" s="31">
        <v>39934060</v>
      </c>
      <c r="V83" s="32">
        <v>190065940</v>
      </c>
      <c r="W83" s="33">
        <v>0.17362634782608696</v>
      </c>
      <c r="Y83" s="25" t="s">
        <v>369</v>
      </c>
      <c r="Z83" s="26" t="s">
        <v>370</v>
      </c>
      <c r="AA83" s="27">
        <v>230000000</v>
      </c>
      <c r="AB83" s="27"/>
      <c r="AC83" s="34"/>
      <c r="AD83" s="30">
        <v>230000000</v>
      </c>
      <c r="AE83" s="31">
        <v>39934060</v>
      </c>
      <c r="AF83" s="27"/>
      <c r="AG83" s="31">
        <v>39934060</v>
      </c>
      <c r="AH83" s="32">
        <v>190065940</v>
      </c>
      <c r="AI83" s="33">
        <v>0.17362634782608696</v>
      </c>
    </row>
    <row r="84" spans="1:35" s="20" customFormat="1" hidden="1" x14ac:dyDescent="0.25">
      <c r="A84" s="16" t="s">
        <v>371</v>
      </c>
      <c r="B84" s="17" t="s">
        <v>372</v>
      </c>
      <c r="C84" s="18">
        <f>SUM(C87+C105+C110)</f>
        <v>1693296796</v>
      </c>
      <c r="D84" s="18">
        <f t="shared" ref="D84:J84" si="23">SUM(D87+D105+D110)</f>
        <v>0</v>
      </c>
      <c r="E84" s="18">
        <f t="shared" si="23"/>
        <v>0</v>
      </c>
      <c r="F84" s="18">
        <f t="shared" si="23"/>
        <v>1693296796</v>
      </c>
      <c r="G84" s="18">
        <f t="shared" si="23"/>
        <v>853317624</v>
      </c>
      <c r="H84" s="18">
        <f t="shared" si="23"/>
        <v>102718217</v>
      </c>
      <c r="I84" s="18">
        <f t="shared" si="23"/>
        <v>853317624</v>
      </c>
      <c r="J84" s="18">
        <f t="shared" si="23"/>
        <v>839979172</v>
      </c>
      <c r="K84" s="19">
        <f t="shared" si="18"/>
        <v>0.50393860427525428</v>
      </c>
      <c r="L84" s="113">
        <f t="shared" si="19"/>
        <v>0</v>
      </c>
      <c r="M84" s="16" t="s">
        <v>371</v>
      </c>
      <c r="N84" s="17" t="s">
        <v>372</v>
      </c>
      <c r="O84" s="18">
        <v>1693296796</v>
      </c>
      <c r="P84" s="18">
        <v>0</v>
      </c>
      <c r="Q84" s="18">
        <v>0</v>
      </c>
      <c r="R84" s="18">
        <v>1693296796</v>
      </c>
      <c r="S84" s="18">
        <v>535096053</v>
      </c>
      <c r="T84" s="18">
        <v>90987394</v>
      </c>
      <c r="U84" s="18">
        <v>626083447</v>
      </c>
      <c r="V84" s="18">
        <v>-88213847</v>
      </c>
      <c r="W84" s="19">
        <v>0.36974229708517087</v>
      </c>
      <c r="Y84" s="16" t="s">
        <v>371</v>
      </c>
      <c r="Z84" s="17" t="s">
        <v>372</v>
      </c>
      <c r="AA84" s="18">
        <v>1693296796</v>
      </c>
      <c r="AB84" s="18">
        <v>0</v>
      </c>
      <c r="AC84" s="18">
        <v>0</v>
      </c>
      <c r="AD84" s="18">
        <v>1693296796</v>
      </c>
      <c r="AE84" s="18">
        <v>947782638</v>
      </c>
      <c r="AF84" s="18">
        <v>125576117</v>
      </c>
      <c r="AG84" s="18">
        <v>947782638</v>
      </c>
      <c r="AH84" s="18">
        <v>839979172</v>
      </c>
      <c r="AI84" s="19">
        <v>0.55972623360470819</v>
      </c>
    </row>
    <row r="85" spans="1:35" hidden="1" x14ac:dyDescent="0.25">
      <c r="A85" s="16">
        <v>1125202</v>
      </c>
      <c r="B85" s="17" t="s">
        <v>883</v>
      </c>
      <c r="C85" s="18">
        <f>+C86</f>
        <v>0</v>
      </c>
      <c r="D85" s="18">
        <f t="shared" ref="D85:K85" si="24">+D86</f>
        <v>0</v>
      </c>
      <c r="E85" s="18">
        <f t="shared" si="24"/>
        <v>0</v>
      </c>
      <c r="F85" s="18">
        <f t="shared" si="24"/>
        <v>0</v>
      </c>
      <c r="G85" s="18">
        <f t="shared" si="24"/>
        <v>10869600</v>
      </c>
      <c r="H85" s="18">
        <f t="shared" si="24"/>
        <v>0</v>
      </c>
      <c r="I85" s="18">
        <f t="shared" si="24"/>
        <v>10869600</v>
      </c>
      <c r="J85" s="18">
        <f t="shared" si="24"/>
        <v>0</v>
      </c>
      <c r="K85" s="18">
        <f t="shared" si="24"/>
        <v>0</v>
      </c>
      <c r="L85" s="113">
        <f t="shared" si="19"/>
        <v>0</v>
      </c>
      <c r="M85" s="16">
        <v>1125202</v>
      </c>
      <c r="N85" s="17" t="s">
        <v>883</v>
      </c>
      <c r="O85" s="18">
        <v>0</v>
      </c>
      <c r="P85" s="18">
        <v>0</v>
      </c>
      <c r="Q85" s="18">
        <v>0</v>
      </c>
      <c r="R85" s="18">
        <v>0</v>
      </c>
      <c r="S85" s="18">
        <v>10869600</v>
      </c>
      <c r="T85" s="18">
        <v>0</v>
      </c>
      <c r="U85" s="18">
        <v>10869600</v>
      </c>
      <c r="V85" s="18">
        <v>0</v>
      </c>
      <c r="W85" s="18">
        <v>0</v>
      </c>
      <c r="Y85" s="16">
        <v>1125202</v>
      </c>
      <c r="Z85" s="17" t="s">
        <v>883</v>
      </c>
      <c r="AA85" s="18">
        <v>0</v>
      </c>
      <c r="AB85" s="18">
        <v>0</v>
      </c>
      <c r="AC85" s="18">
        <v>0</v>
      </c>
      <c r="AD85" s="18">
        <v>0</v>
      </c>
      <c r="AE85" s="18">
        <v>10869600</v>
      </c>
      <c r="AF85" s="18">
        <v>0</v>
      </c>
      <c r="AG85" s="18">
        <v>10869600</v>
      </c>
      <c r="AH85" s="18">
        <v>0</v>
      </c>
      <c r="AI85" s="18">
        <v>0</v>
      </c>
    </row>
    <row r="86" spans="1:35" hidden="1" x14ac:dyDescent="0.25">
      <c r="A86" s="146">
        <v>112520201</v>
      </c>
      <c r="B86" s="147" t="s">
        <v>884</v>
      </c>
      <c r="C86" s="18"/>
      <c r="D86" s="18"/>
      <c r="E86" s="18"/>
      <c r="F86" s="18">
        <f t="shared" si="20"/>
        <v>0</v>
      </c>
      <c r="G86" s="18">
        <v>10869600</v>
      </c>
      <c r="H86" s="18"/>
      <c r="I86" s="18">
        <v>10869600</v>
      </c>
      <c r="J86" s="18"/>
      <c r="K86" s="19"/>
      <c r="L86" s="113">
        <f t="shared" si="19"/>
        <v>0</v>
      </c>
      <c r="M86" s="146">
        <v>112520201</v>
      </c>
      <c r="N86" s="147" t="s">
        <v>884</v>
      </c>
      <c r="O86" s="18"/>
      <c r="P86" s="18"/>
      <c r="Q86" s="18"/>
      <c r="R86" s="18">
        <v>0</v>
      </c>
      <c r="S86" s="18">
        <v>10869600</v>
      </c>
      <c r="T86" s="18"/>
      <c r="U86" s="18">
        <v>10869600</v>
      </c>
      <c r="V86" s="18"/>
      <c r="W86" s="19"/>
      <c r="Y86" s="146">
        <v>112520201</v>
      </c>
      <c r="Z86" s="147" t="s">
        <v>884</v>
      </c>
      <c r="AA86" s="18"/>
      <c r="AB86" s="18"/>
      <c r="AC86" s="18"/>
      <c r="AD86" s="18">
        <v>0</v>
      </c>
      <c r="AE86" s="18">
        <v>10869600</v>
      </c>
      <c r="AF86" s="18"/>
      <c r="AG86" s="18">
        <v>10869600</v>
      </c>
      <c r="AH86" s="18"/>
      <c r="AI86" s="19"/>
    </row>
    <row r="87" spans="1:35" hidden="1" x14ac:dyDescent="0.25">
      <c r="A87" s="16" t="s">
        <v>373</v>
      </c>
      <c r="B87" s="17" t="s">
        <v>374</v>
      </c>
      <c r="C87" s="18">
        <f>SUM(C94+C88)</f>
        <v>346400000</v>
      </c>
      <c r="D87" s="18">
        <f t="shared" ref="D87:J87" si="25">SUM(D94+D88)</f>
        <v>0</v>
      </c>
      <c r="E87" s="18">
        <f t="shared" si="25"/>
        <v>0</v>
      </c>
      <c r="F87" s="18">
        <f t="shared" si="25"/>
        <v>346400000</v>
      </c>
      <c r="G87" s="18">
        <f t="shared" si="25"/>
        <v>382994153</v>
      </c>
      <c r="H87" s="18">
        <f t="shared" si="25"/>
        <v>31485800</v>
      </c>
      <c r="I87" s="18">
        <f t="shared" si="25"/>
        <v>382994153</v>
      </c>
      <c r="J87" s="18">
        <f t="shared" si="25"/>
        <v>-36594153</v>
      </c>
      <c r="K87" s="19">
        <f t="shared" si="18"/>
        <v>1.1056413192840646</v>
      </c>
      <c r="L87" s="113">
        <f t="shared" si="19"/>
        <v>0</v>
      </c>
      <c r="M87" s="16" t="s">
        <v>373</v>
      </c>
      <c r="N87" s="17" t="s">
        <v>374</v>
      </c>
      <c r="O87" s="18">
        <v>346400000</v>
      </c>
      <c r="P87" s="18">
        <v>0</v>
      </c>
      <c r="Q87" s="18">
        <v>0</v>
      </c>
      <c r="R87" s="18">
        <v>346400000</v>
      </c>
      <c r="S87" s="18">
        <v>297651451</v>
      </c>
      <c r="T87" s="18">
        <v>53856902</v>
      </c>
      <c r="U87" s="18">
        <v>351508353</v>
      </c>
      <c r="V87" s="18">
        <v>-5108353</v>
      </c>
      <c r="W87" s="19">
        <v>1.0147469774826789</v>
      </c>
      <c r="Y87" s="16" t="s">
        <v>373</v>
      </c>
      <c r="Z87" s="17" t="s">
        <v>374</v>
      </c>
      <c r="AA87" s="18">
        <v>346400000</v>
      </c>
      <c r="AB87" s="18">
        <v>0</v>
      </c>
      <c r="AC87" s="18">
        <v>0</v>
      </c>
      <c r="AD87" s="18">
        <v>346400000</v>
      </c>
      <c r="AE87" s="18">
        <v>382994153</v>
      </c>
      <c r="AF87" s="18">
        <v>31485800</v>
      </c>
      <c r="AG87" s="18">
        <v>382994153</v>
      </c>
      <c r="AH87" s="18">
        <v>-36594153</v>
      </c>
      <c r="AI87" s="19">
        <v>1.1056413192840646</v>
      </c>
    </row>
    <row r="88" spans="1:35" hidden="1" x14ac:dyDescent="0.25">
      <c r="A88" s="21" t="s">
        <v>375</v>
      </c>
      <c r="B88" s="22" t="s">
        <v>46</v>
      </c>
      <c r="C88" s="23">
        <f>SUM(C89:C93)</f>
        <v>180600000</v>
      </c>
      <c r="D88" s="23">
        <f t="shared" ref="D88:J88" si="26">SUM(D89:D93)</f>
        <v>0</v>
      </c>
      <c r="E88" s="23">
        <f t="shared" si="26"/>
        <v>0</v>
      </c>
      <c r="F88" s="23">
        <f t="shared" si="26"/>
        <v>180600000</v>
      </c>
      <c r="G88" s="23">
        <f t="shared" si="26"/>
        <v>265147994</v>
      </c>
      <c r="H88" s="23">
        <f t="shared" si="26"/>
        <v>1442500</v>
      </c>
      <c r="I88" s="23">
        <f t="shared" si="26"/>
        <v>265147994</v>
      </c>
      <c r="J88" s="23">
        <f t="shared" si="26"/>
        <v>-84547994</v>
      </c>
      <c r="K88" s="36">
        <f t="shared" si="18"/>
        <v>1.4681505758582503</v>
      </c>
      <c r="L88" s="113">
        <f t="shared" si="19"/>
        <v>0</v>
      </c>
      <c r="M88" s="21" t="s">
        <v>375</v>
      </c>
      <c r="N88" s="22" t="s">
        <v>46</v>
      </c>
      <c r="O88" s="23">
        <v>180600000</v>
      </c>
      <c r="P88" s="23">
        <v>0</v>
      </c>
      <c r="Q88" s="23">
        <v>0</v>
      </c>
      <c r="R88" s="23">
        <v>180600000</v>
      </c>
      <c r="S88" s="23">
        <v>226575002</v>
      </c>
      <c r="T88" s="23">
        <v>37130492</v>
      </c>
      <c r="U88" s="23">
        <v>263705494</v>
      </c>
      <c r="V88" s="23">
        <v>-83105494</v>
      </c>
      <c r="W88" s="36">
        <v>1.460163311184939</v>
      </c>
      <c r="Y88" s="21" t="s">
        <v>375</v>
      </c>
      <c r="Z88" s="22" t="s">
        <v>46</v>
      </c>
      <c r="AA88" s="23">
        <v>180600000</v>
      </c>
      <c r="AB88" s="23">
        <v>0</v>
      </c>
      <c r="AC88" s="23">
        <v>0</v>
      </c>
      <c r="AD88" s="23">
        <v>180600000</v>
      </c>
      <c r="AE88" s="23">
        <v>265147994</v>
      </c>
      <c r="AF88" s="23">
        <v>1442500</v>
      </c>
      <c r="AG88" s="23">
        <v>265147994</v>
      </c>
      <c r="AH88" s="23">
        <v>-84547994</v>
      </c>
      <c r="AI88" s="36">
        <v>1.4681505758582503</v>
      </c>
    </row>
    <row r="89" spans="1:35" hidden="1" x14ac:dyDescent="0.25">
      <c r="A89" s="25" t="s">
        <v>376</v>
      </c>
      <c r="B89" s="26" t="s">
        <v>47</v>
      </c>
      <c r="C89" s="27">
        <v>169000000</v>
      </c>
      <c r="D89" s="27"/>
      <c r="E89" s="34"/>
      <c r="F89" s="30">
        <f t="shared" si="20"/>
        <v>169000000</v>
      </c>
      <c r="G89" s="31">
        <v>226922594</v>
      </c>
      <c r="H89" s="27"/>
      <c r="I89" s="31">
        <v>226922594</v>
      </c>
      <c r="J89" s="32">
        <f t="shared" si="21"/>
        <v>-57922594</v>
      </c>
      <c r="K89" s="33">
        <f t="shared" si="18"/>
        <v>1.3427372426035502</v>
      </c>
      <c r="L89" s="113">
        <f t="shared" si="19"/>
        <v>0</v>
      </c>
      <c r="M89" s="25" t="s">
        <v>376</v>
      </c>
      <c r="N89" s="26" t="s">
        <v>47</v>
      </c>
      <c r="O89" s="27">
        <v>169000000</v>
      </c>
      <c r="P89" s="27"/>
      <c r="Q89" s="34"/>
      <c r="R89" s="30">
        <v>169000000</v>
      </c>
      <c r="S89" s="31">
        <v>201567102</v>
      </c>
      <c r="T89" s="27">
        <v>25355492</v>
      </c>
      <c r="U89" s="31">
        <v>226922594</v>
      </c>
      <c r="V89" s="32">
        <v>-57922594</v>
      </c>
      <c r="W89" s="33">
        <v>1.3427372426035502</v>
      </c>
      <c r="Y89" s="25" t="s">
        <v>376</v>
      </c>
      <c r="Z89" s="26" t="s">
        <v>47</v>
      </c>
      <c r="AA89" s="27">
        <v>169000000</v>
      </c>
      <c r="AB89" s="27"/>
      <c r="AC89" s="34"/>
      <c r="AD89" s="30">
        <v>169000000</v>
      </c>
      <c r="AE89" s="31">
        <v>226922594</v>
      </c>
      <c r="AF89" s="27"/>
      <c r="AG89" s="31">
        <v>226922594</v>
      </c>
      <c r="AH89" s="32">
        <v>-57922594</v>
      </c>
      <c r="AI89" s="33">
        <v>1.3427372426035502</v>
      </c>
    </row>
    <row r="90" spans="1:35" hidden="1" x14ac:dyDescent="0.25">
      <c r="A90" s="25" t="s">
        <v>377</v>
      </c>
      <c r="B90" s="26" t="s">
        <v>48</v>
      </c>
      <c r="C90" s="27">
        <v>200000</v>
      </c>
      <c r="D90" s="27"/>
      <c r="E90" s="34"/>
      <c r="F90" s="30">
        <f t="shared" si="20"/>
        <v>200000</v>
      </c>
      <c r="G90" s="31">
        <v>0</v>
      </c>
      <c r="H90" s="27"/>
      <c r="I90" s="31"/>
      <c r="J90" s="32">
        <f t="shared" si="21"/>
        <v>200000</v>
      </c>
      <c r="K90" s="33">
        <f t="shared" si="18"/>
        <v>0</v>
      </c>
      <c r="L90" s="113">
        <f t="shared" si="19"/>
        <v>0</v>
      </c>
      <c r="M90" s="25" t="s">
        <v>377</v>
      </c>
      <c r="N90" s="26" t="s">
        <v>48</v>
      </c>
      <c r="O90" s="27">
        <v>200000</v>
      </c>
      <c r="P90" s="27"/>
      <c r="Q90" s="34"/>
      <c r="R90" s="30">
        <v>200000</v>
      </c>
      <c r="S90" s="31"/>
      <c r="T90" s="27"/>
      <c r="U90" s="31"/>
      <c r="V90" s="32">
        <v>200000</v>
      </c>
      <c r="W90" s="33">
        <v>0</v>
      </c>
      <c r="Y90" s="25" t="s">
        <v>377</v>
      </c>
      <c r="Z90" s="26" t="s">
        <v>48</v>
      </c>
      <c r="AA90" s="27">
        <v>200000</v>
      </c>
      <c r="AB90" s="27"/>
      <c r="AC90" s="34"/>
      <c r="AD90" s="30">
        <v>200000</v>
      </c>
      <c r="AE90" s="31">
        <v>0</v>
      </c>
      <c r="AF90" s="27"/>
      <c r="AG90" s="31"/>
      <c r="AH90" s="32">
        <v>200000</v>
      </c>
      <c r="AI90" s="33">
        <v>0</v>
      </c>
    </row>
    <row r="91" spans="1:35" s="20" customFormat="1" hidden="1" x14ac:dyDescent="0.25">
      <c r="A91" s="25" t="s">
        <v>378</v>
      </c>
      <c r="B91" s="26" t="s">
        <v>49</v>
      </c>
      <c r="C91" s="27">
        <v>200000</v>
      </c>
      <c r="D91" s="27"/>
      <c r="E91" s="34"/>
      <c r="F91" s="30">
        <f t="shared" si="20"/>
        <v>200000</v>
      </c>
      <c r="G91" s="31">
        <v>1691000</v>
      </c>
      <c r="H91" s="27">
        <v>200000</v>
      </c>
      <c r="I91" s="31">
        <v>1691000</v>
      </c>
      <c r="J91" s="32">
        <f t="shared" si="21"/>
        <v>-1491000</v>
      </c>
      <c r="K91" s="33">
        <f t="shared" si="18"/>
        <v>8.4550000000000001</v>
      </c>
      <c r="L91" s="113">
        <f t="shared" si="19"/>
        <v>0</v>
      </c>
      <c r="M91" s="25" t="s">
        <v>378</v>
      </c>
      <c r="N91" s="26" t="s">
        <v>49</v>
      </c>
      <c r="O91" s="27">
        <v>200000</v>
      </c>
      <c r="P91" s="27"/>
      <c r="Q91" s="34"/>
      <c r="R91" s="30">
        <v>200000</v>
      </c>
      <c r="S91" s="31">
        <v>1491000</v>
      </c>
      <c r="T91" s="27"/>
      <c r="U91" s="31">
        <v>1491000</v>
      </c>
      <c r="V91" s="32">
        <v>-1291000</v>
      </c>
      <c r="W91" s="33">
        <v>7.4550000000000001</v>
      </c>
      <c r="Y91" s="25" t="s">
        <v>378</v>
      </c>
      <c r="Z91" s="26" t="s">
        <v>49</v>
      </c>
      <c r="AA91" s="27">
        <v>200000</v>
      </c>
      <c r="AB91" s="27"/>
      <c r="AC91" s="34"/>
      <c r="AD91" s="30">
        <v>200000</v>
      </c>
      <c r="AE91" s="31">
        <v>1691000</v>
      </c>
      <c r="AF91" s="27">
        <v>200000</v>
      </c>
      <c r="AG91" s="31">
        <v>1691000</v>
      </c>
      <c r="AH91" s="32">
        <v>-1491000</v>
      </c>
      <c r="AI91" s="33">
        <v>8.4550000000000001</v>
      </c>
    </row>
    <row r="92" spans="1:35" hidden="1" x14ac:dyDescent="0.25">
      <c r="A92" s="25" t="s">
        <v>379</v>
      </c>
      <c r="B92" s="26" t="s">
        <v>50</v>
      </c>
      <c r="C92" s="27">
        <v>10000000</v>
      </c>
      <c r="D92" s="27"/>
      <c r="E92" s="34"/>
      <c r="F92" s="30">
        <f t="shared" si="20"/>
        <v>10000000</v>
      </c>
      <c r="G92" s="31">
        <v>28080400</v>
      </c>
      <c r="H92" s="27">
        <v>42500</v>
      </c>
      <c r="I92" s="31">
        <v>28080400</v>
      </c>
      <c r="J92" s="32">
        <f t="shared" si="21"/>
        <v>-18080400</v>
      </c>
      <c r="K92" s="33">
        <f t="shared" si="18"/>
        <v>2.8080400000000001</v>
      </c>
      <c r="L92" s="113">
        <f t="shared" si="19"/>
        <v>0</v>
      </c>
      <c r="M92" s="25" t="s">
        <v>379</v>
      </c>
      <c r="N92" s="26" t="s">
        <v>50</v>
      </c>
      <c r="O92" s="27">
        <v>10000000</v>
      </c>
      <c r="P92" s="27"/>
      <c r="Q92" s="34"/>
      <c r="R92" s="30">
        <v>10000000</v>
      </c>
      <c r="S92" s="31">
        <v>22862900</v>
      </c>
      <c r="T92" s="27">
        <v>5175000</v>
      </c>
      <c r="U92" s="31">
        <v>28037900</v>
      </c>
      <c r="V92" s="32">
        <v>-18037900</v>
      </c>
      <c r="W92" s="33">
        <v>2.8037899999999998</v>
      </c>
      <c r="Y92" s="25" t="s">
        <v>379</v>
      </c>
      <c r="Z92" s="26" t="s">
        <v>50</v>
      </c>
      <c r="AA92" s="27">
        <v>10000000</v>
      </c>
      <c r="AB92" s="27"/>
      <c r="AC92" s="34"/>
      <c r="AD92" s="30">
        <v>10000000</v>
      </c>
      <c r="AE92" s="31">
        <v>28080400</v>
      </c>
      <c r="AF92" s="27">
        <v>42500</v>
      </c>
      <c r="AG92" s="31">
        <v>28080400</v>
      </c>
      <c r="AH92" s="32">
        <v>-18080400</v>
      </c>
      <c r="AI92" s="33">
        <v>2.8080400000000001</v>
      </c>
    </row>
    <row r="93" spans="1:35" hidden="1" x14ac:dyDescent="0.25">
      <c r="A93" s="25" t="s">
        <v>380</v>
      </c>
      <c r="B93" s="26" t="s">
        <v>51</v>
      </c>
      <c r="C93" s="27">
        <v>1200000</v>
      </c>
      <c r="D93" s="27"/>
      <c r="E93" s="34"/>
      <c r="F93" s="30">
        <f t="shared" si="20"/>
        <v>1200000</v>
      </c>
      <c r="G93" s="31">
        <v>8454000</v>
      </c>
      <c r="H93" s="27">
        <v>1200000</v>
      </c>
      <c r="I93" s="31">
        <v>8454000</v>
      </c>
      <c r="J93" s="32">
        <f t="shared" si="21"/>
        <v>-7254000</v>
      </c>
      <c r="K93" s="33">
        <f t="shared" si="18"/>
        <v>7.0449999999999999</v>
      </c>
      <c r="L93" s="113">
        <f t="shared" si="19"/>
        <v>0</v>
      </c>
      <c r="M93" s="25" t="s">
        <v>380</v>
      </c>
      <c r="N93" s="26" t="s">
        <v>51</v>
      </c>
      <c r="O93" s="27">
        <v>1200000</v>
      </c>
      <c r="P93" s="27"/>
      <c r="Q93" s="34"/>
      <c r="R93" s="30">
        <v>1200000</v>
      </c>
      <c r="S93" s="31">
        <v>654000</v>
      </c>
      <c r="T93" s="27">
        <v>6600000</v>
      </c>
      <c r="U93" s="31">
        <v>7254000</v>
      </c>
      <c r="V93" s="32">
        <v>-6054000</v>
      </c>
      <c r="W93" s="33">
        <v>6.0449999999999999</v>
      </c>
      <c r="Y93" s="25" t="s">
        <v>380</v>
      </c>
      <c r="Z93" s="26" t="s">
        <v>51</v>
      </c>
      <c r="AA93" s="27">
        <v>1200000</v>
      </c>
      <c r="AB93" s="27"/>
      <c r="AC93" s="34"/>
      <c r="AD93" s="30">
        <v>1200000</v>
      </c>
      <c r="AE93" s="31">
        <v>8454000</v>
      </c>
      <c r="AF93" s="27">
        <v>1200000</v>
      </c>
      <c r="AG93" s="31">
        <v>8454000</v>
      </c>
      <c r="AH93" s="32">
        <v>-7254000</v>
      </c>
      <c r="AI93" s="33">
        <v>7.0449999999999999</v>
      </c>
    </row>
    <row r="94" spans="1:35" hidden="1" x14ac:dyDescent="0.25">
      <c r="A94" s="16" t="s">
        <v>381</v>
      </c>
      <c r="B94" s="17" t="s">
        <v>52</v>
      </c>
      <c r="C94" s="18">
        <f>SUM(C95)</f>
        <v>165800000</v>
      </c>
      <c r="D94" s="18">
        <f t="shared" ref="D94:J94" si="27">SUM(D95)</f>
        <v>0</v>
      </c>
      <c r="E94" s="18">
        <f t="shared" si="27"/>
        <v>0</v>
      </c>
      <c r="F94" s="18">
        <f t="shared" si="27"/>
        <v>165800000</v>
      </c>
      <c r="G94" s="18">
        <f t="shared" si="27"/>
        <v>117846159</v>
      </c>
      <c r="H94" s="18">
        <f t="shared" si="27"/>
        <v>30043300</v>
      </c>
      <c r="I94" s="18">
        <f t="shared" si="27"/>
        <v>117846159</v>
      </c>
      <c r="J94" s="18">
        <f t="shared" si="27"/>
        <v>47953841</v>
      </c>
      <c r="K94" s="19">
        <f t="shared" si="18"/>
        <v>0.71077297346200241</v>
      </c>
      <c r="L94" s="113">
        <f t="shared" si="19"/>
        <v>0</v>
      </c>
      <c r="M94" s="16" t="s">
        <v>381</v>
      </c>
      <c r="N94" s="17" t="s">
        <v>52</v>
      </c>
      <c r="O94" s="18">
        <v>165800000</v>
      </c>
      <c r="P94" s="18">
        <v>0</v>
      </c>
      <c r="Q94" s="18">
        <v>0</v>
      </c>
      <c r="R94" s="18">
        <v>165800000</v>
      </c>
      <c r="S94" s="18">
        <v>71076449</v>
      </c>
      <c r="T94" s="18">
        <v>16726410</v>
      </c>
      <c r="U94" s="18">
        <v>87802859</v>
      </c>
      <c r="V94" s="18">
        <v>77997141</v>
      </c>
      <c r="W94" s="19">
        <v>0.52957092279855245</v>
      </c>
      <c r="Y94" s="16" t="s">
        <v>381</v>
      </c>
      <c r="Z94" s="17" t="s">
        <v>52</v>
      </c>
      <c r="AA94" s="18">
        <v>165800000</v>
      </c>
      <c r="AB94" s="18">
        <v>0</v>
      </c>
      <c r="AC94" s="18">
        <v>0</v>
      </c>
      <c r="AD94" s="18">
        <v>165800000</v>
      </c>
      <c r="AE94" s="18">
        <v>117846159</v>
      </c>
      <c r="AF94" s="18">
        <v>30043300</v>
      </c>
      <c r="AG94" s="18">
        <v>117846159</v>
      </c>
      <c r="AH94" s="18">
        <v>47953841</v>
      </c>
      <c r="AI94" s="19">
        <v>0.71077297346200241</v>
      </c>
    </row>
    <row r="95" spans="1:35" hidden="1" x14ac:dyDescent="0.25">
      <c r="A95" s="21" t="s">
        <v>382</v>
      </c>
      <c r="B95" s="22" t="s">
        <v>53</v>
      </c>
      <c r="C95" s="23">
        <f>SUM(C96:C102)</f>
        <v>165800000</v>
      </c>
      <c r="D95" s="23">
        <f t="shared" ref="D95:J95" si="28">SUM(D96:D102)</f>
        <v>0</v>
      </c>
      <c r="E95" s="23">
        <f t="shared" si="28"/>
        <v>0</v>
      </c>
      <c r="F95" s="23">
        <f t="shared" si="28"/>
        <v>165800000</v>
      </c>
      <c r="G95" s="23">
        <f t="shared" si="28"/>
        <v>117846159</v>
      </c>
      <c r="H95" s="23">
        <f t="shared" si="28"/>
        <v>30043300</v>
      </c>
      <c r="I95" s="23">
        <f t="shared" si="28"/>
        <v>117846159</v>
      </c>
      <c r="J95" s="23">
        <f t="shared" si="28"/>
        <v>47953841</v>
      </c>
      <c r="K95" s="36">
        <f t="shared" si="18"/>
        <v>0.71077297346200241</v>
      </c>
      <c r="L95" s="113">
        <f t="shared" si="19"/>
        <v>0</v>
      </c>
      <c r="M95" s="21" t="s">
        <v>382</v>
      </c>
      <c r="N95" s="22" t="s">
        <v>53</v>
      </c>
      <c r="O95" s="23">
        <v>165800000</v>
      </c>
      <c r="P95" s="23">
        <v>0</v>
      </c>
      <c r="Q95" s="23">
        <v>0</v>
      </c>
      <c r="R95" s="23">
        <v>165800000</v>
      </c>
      <c r="S95" s="23">
        <v>71076449</v>
      </c>
      <c r="T95" s="23">
        <v>16726410</v>
      </c>
      <c r="U95" s="23">
        <v>87802859</v>
      </c>
      <c r="V95" s="23">
        <v>77997141</v>
      </c>
      <c r="W95" s="36">
        <v>0.52957092279855245</v>
      </c>
      <c r="Y95" s="21" t="s">
        <v>382</v>
      </c>
      <c r="Z95" s="22" t="s">
        <v>53</v>
      </c>
      <c r="AA95" s="23">
        <v>165800000</v>
      </c>
      <c r="AB95" s="23">
        <v>0</v>
      </c>
      <c r="AC95" s="23">
        <v>0</v>
      </c>
      <c r="AD95" s="23">
        <v>165800000</v>
      </c>
      <c r="AE95" s="23">
        <v>117846159</v>
      </c>
      <c r="AF95" s="23">
        <v>30043300</v>
      </c>
      <c r="AG95" s="23">
        <v>117846159</v>
      </c>
      <c r="AH95" s="23">
        <v>47953841</v>
      </c>
      <c r="AI95" s="36">
        <v>0.71077297346200241</v>
      </c>
    </row>
    <row r="96" spans="1:35" hidden="1" x14ac:dyDescent="0.25">
      <c r="A96" s="25" t="s">
        <v>383</v>
      </c>
      <c r="B96" s="26" t="s">
        <v>54</v>
      </c>
      <c r="C96" s="27">
        <v>24000000</v>
      </c>
      <c r="D96" s="27"/>
      <c r="E96" s="34"/>
      <c r="F96" s="30">
        <f t="shared" si="20"/>
        <v>24000000</v>
      </c>
      <c r="G96" s="31">
        <v>14924000</v>
      </c>
      <c r="H96" s="27">
        <v>10136500</v>
      </c>
      <c r="I96" s="31">
        <v>14924000</v>
      </c>
      <c r="J96" s="32">
        <f t="shared" si="21"/>
        <v>9076000</v>
      </c>
      <c r="K96" s="33">
        <f t="shared" si="18"/>
        <v>0.62183333333333335</v>
      </c>
      <c r="L96" s="113">
        <f t="shared" si="19"/>
        <v>0</v>
      </c>
      <c r="M96" s="25" t="s">
        <v>383</v>
      </c>
      <c r="N96" s="26" t="s">
        <v>54</v>
      </c>
      <c r="O96" s="27">
        <v>24000000</v>
      </c>
      <c r="P96" s="27"/>
      <c r="Q96" s="34"/>
      <c r="R96" s="30">
        <v>24000000</v>
      </c>
      <c r="S96" s="31">
        <v>500000</v>
      </c>
      <c r="T96" s="27">
        <v>4287500</v>
      </c>
      <c r="U96" s="31">
        <v>4787500</v>
      </c>
      <c r="V96" s="32">
        <v>19212500</v>
      </c>
      <c r="W96" s="33">
        <v>0.19947916666666668</v>
      </c>
      <c r="Y96" s="25" t="s">
        <v>383</v>
      </c>
      <c r="Z96" s="26" t="s">
        <v>54</v>
      </c>
      <c r="AA96" s="27">
        <v>24000000</v>
      </c>
      <c r="AB96" s="27"/>
      <c r="AC96" s="34"/>
      <c r="AD96" s="30">
        <v>24000000</v>
      </c>
      <c r="AE96" s="31">
        <v>14924000</v>
      </c>
      <c r="AF96" s="27">
        <v>10136500</v>
      </c>
      <c r="AG96" s="31">
        <v>14924000</v>
      </c>
      <c r="AH96" s="32">
        <v>9076000</v>
      </c>
      <c r="AI96" s="33">
        <v>0.62183333333333335</v>
      </c>
    </row>
    <row r="97" spans="1:35" hidden="1" x14ac:dyDescent="0.25">
      <c r="A97" s="25" t="s">
        <v>384</v>
      </c>
      <c r="B97" s="26" t="s">
        <v>55</v>
      </c>
      <c r="C97" s="27">
        <v>1200000</v>
      </c>
      <c r="D97" s="27"/>
      <c r="E97" s="34"/>
      <c r="F97" s="30">
        <f t="shared" si="20"/>
        <v>1200000</v>
      </c>
      <c r="G97" s="31">
        <v>2116000</v>
      </c>
      <c r="H97" s="27">
        <v>956000</v>
      </c>
      <c r="I97" s="31">
        <v>2116000</v>
      </c>
      <c r="J97" s="32">
        <f t="shared" si="21"/>
        <v>-916000</v>
      </c>
      <c r="K97" s="33">
        <f t="shared" si="18"/>
        <v>1.7633333333333334</v>
      </c>
      <c r="L97" s="113">
        <f t="shared" si="19"/>
        <v>0</v>
      </c>
      <c r="M97" s="25" t="s">
        <v>384</v>
      </c>
      <c r="N97" s="26" t="s">
        <v>55</v>
      </c>
      <c r="O97" s="27">
        <v>1200000</v>
      </c>
      <c r="P97" s="27"/>
      <c r="Q97" s="34"/>
      <c r="R97" s="30">
        <v>1200000</v>
      </c>
      <c r="S97" s="31">
        <v>1120000</v>
      </c>
      <c r="T97" s="27">
        <v>40000</v>
      </c>
      <c r="U97" s="31">
        <v>1160000</v>
      </c>
      <c r="V97" s="32">
        <v>40000</v>
      </c>
      <c r="W97" s="33">
        <v>0.96666666666666667</v>
      </c>
      <c r="Y97" s="25" t="s">
        <v>384</v>
      </c>
      <c r="Z97" s="26" t="s">
        <v>55</v>
      </c>
      <c r="AA97" s="27">
        <v>1200000</v>
      </c>
      <c r="AB97" s="27"/>
      <c r="AC97" s="34"/>
      <c r="AD97" s="30">
        <v>1200000</v>
      </c>
      <c r="AE97" s="31">
        <v>2116000</v>
      </c>
      <c r="AF97" s="27">
        <v>956000</v>
      </c>
      <c r="AG97" s="31">
        <v>2116000</v>
      </c>
      <c r="AH97" s="32">
        <v>-916000</v>
      </c>
      <c r="AI97" s="33">
        <v>1.7633333333333334</v>
      </c>
    </row>
    <row r="98" spans="1:35" hidden="1" x14ac:dyDescent="0.25">
      <c r="A98" s="25" t="s">
        <v>385</v>
      </c>
      <c r="B98" s="26" t="s">
        <v>56</v>
      </c>
      <c r="C98" s="27">
        <v>600000</v>
      </c>
      <c r="D98" s="27"/>
      <c r="E98" s="34"/>
      <c r="F98" s="30">
        <f t="shared" si="20"/>
        <v>600000</v>
      </c>
      <c r="G98" s="31">
        <v>0</v>
      </c>
      <c r="H98" s="27"/>
      <c r="I98" s="31"/>
      <c r="J98" s="32">
        <f t="shared" si="21"/>
        <v>600000</v>
      </c>
      <c r="K98" s="33">
        <f t="shared" si="18"/>
        <v>0</v>
      </c>
      <c r="L98" s="113">
        <f t="shared" si="19"/>
        <v>0</v>
      </c>
      <c r="M98" s="25" t="s">
        <v>385</v>
      </c>
      <c r="N98" s="26" t="s">
        <v>56</v>
      </c>
      <c r="O98" s="27">
        <v>600000</v>
      </c>
      <c r="P98" s="27"/>
      <c r="Q98" s="34"/>
      <c r="R98" s="30">
        <v>600000</v>
      </c>
      <c r="S98" s="31"/>
      <c r="T98" s="27"/>
      <c r="U98" s="31"/>
      <c r="V98" s="32">
        <v>600000</v>
      </c>
      <c r="W98" s="33">
        <v>0</v>
      </c>
      <c r="Y98" s="25" t="s">
        <v>385</v>
      </c>
      <c r="Z98" s="26" t="s">
        <v>56</v>
      </c>
      <c r="AA98" s="27">
        <v>600000</v>
      </c>
      <c r="AB98" s="27"/>
      <c r="AC98" s="34"/>
      <c r="AD98" s="30">
        <v>600000</v>
      </c>
      <c r="AE98" s="31">
        <v>0</v>
      </c>
      <c r="AF98" s="27"/>
      <c r="AG98" s="31"/>
      <c r="AH98" s="32">
        <v>600000</v>
      </c>
      <c r="AI98" s="33">
        <v>0</v>
      </c>
    </row>
    <row r="99" spans="1:35" hidden="1" x14ac:dyDescent="0.25">
      <c r="A99" s="25" t="s">
        <v>386</v>
      </c>
      <c r="B99" s="26" t="s">
        <v>57</v>
      </c>
      <c r="C99" s="27">
        <v>28000000</v>
      </c>
      <c r="D99" s="27"/>
      <c r="E99" s="34"/>
      <c r="F99" s="30">
        <f t="shared" si="20"/>
        <v>28000000</v>
      </c>
      <c r="G99" s="31">
        <v>22259200</v>
      </c>
      <c r="H99" s="27">
        <v>7701000</v>
      </c>
      <c r="I99" s="31">
        <v>22259200</v>
      </c>
      <c r="J99" s="32">
        <f t="shared" si="21"/>
        <v>5740800</v>
      </c>
      <c r="K99" s="33">
        <f t="shared" si="18"/>
        <v>0.79497142857142855</v>
      </c>
      <c r="L99" s="113">
        <f t="shared" si="19"/>
        <v>0</v>
      </c>
      <c r="M99" s="25" t="s">
        <v>386</v>
      </c>
      <c r="N99" s="26" t="s">
        <v>57</v>
      </c>
      <c r="O99" s="27">
        <v>28000000</v>
      </c>
      <c r="P99" s="27"/>
      <c r="Q99" s="34"/>
      <c r="R99" s="30">
        <v>28000000</v>
      </c>
      <c r="S99" s="31">
        <v>10729600</v>
      </c>
      <c r="T99" s="27">
        <v>3828600</v>
      </c>
      <c r="U99" s="31">
        <v>14558200</v>
      </c>
      <c r="V99" s="32">
        <v>13441800</v>
      </c>
      <c r="W99" s="33">
        <v>0.51993571428571428</v>
      </c>
      <c r="Y99" s="25" t="s">
        <v>386</v>
      </c>
      <c r="Z99" s="26" t="s">
        <v>57</v>
      </c>
      <c r="AA99" s="27">
        <v>28000000</v>
      </c>
      <c r="AB99" s="27"/>
      <c r="AC99" s="34"/>
      <c r="AD99" s="30">
        <v>28000000</v>
      </c>
      <c r="AE99" s="31">
        <v>22259200</v>
      </c>
      <c r="AF99" s="27">
        <v>7701000</v>
      </c>
      <c r="AG99" s="31">
        <v>22259200</v>
      </c>
      <c r="AH99" s="32">
        <v>5740800</v>
      </c>
      <c r="AI99" s="33">
        <v>0.79497142857142855</v>
      </c>
    </row>
    <row r="100" spans="1:35" hidden="1" x14ac:dyDescent="0.25">
      <c r="A100" s="25" t="s">
        <v>387</v>
      </c>
      <c r="B100" s="26" t="s">
        <v>58</v>
      </c>
      <c r="C100" s="27">
        <v>40000000</v>
      </c>
      <c r="D100" s="27"/>
      <c r="E100" s="34"/>
      <c r="F100" s="30">
        <f t="shared" si="20"/>
        <v>40000000</v>
      </c>
      <c r="G100" s="31">
        <v>10873259</v>
      </c>
      <c r="H100" s="27">
        <v>2333400</v>
      </c>
      <c r="I100" s="31">
        <v>10873259</v>
      </c>
      <c r="J100" s="32">
        <f t="shared" si="21"/>
        <v>29126741</v>
      </c>
      <c r="K100" s="33">
        <f t="shared" si="18"/>
        <v>0.27183147499999999</v>
      </c>
      <c r="L100" s="113">
        <f t="shared" si="19"/>
        <v>0</v>
      </c>
      <c r="M100" s="25" t="s">
        <v>387</v>
      </c>
      <c r="N100" s="26" t="s">
        <v>58</v>
      </c>
      <c r="O100" s="27">
        <v>40000000</v>
      </c>
      <c r="P100" s="27"/>
      <c r="Q100" s="34"/>
      <c r="R100" s="30">
        <v>40000000</v>
      </c>
      <c r="S100" s="31">
        <v>7193049</v>
      </c>
      <c r="T100" s="27">
        <v>1346810</v>
      </c>
      <c r="U100" s="31">
        <v>8539859</v>
      </c>
      <c r="V100" s="32">
        <v>31460141</v>
      </c>
      <c r="W100" s="33">
        <v>0.21349647499999999</v>
      </c>
      <c r="Y100" s="25" t="s">
        <v>387</v>
      </c>
      <c r="Z100" s="26" t="s">
        <v>58</v>
      </c>
      <c r="AA100" s="27">
        <v>40000000</v>
      </c>
      <c r="AB100" s="27"/>
      <c r="AC100" s="34"/>
      <c r="AD100" s="30">
        <v>40000000</v>
      </c>
      <c r="AE100" s="31">
        <v>10873259</v>
      </c>
      <c r="AF100" s="27">
        <v>2333400</v>
      </c>
      <c r="AG100" s="31">
        <v>10873259</v>
      </c>
      <c r="AH100" s="32">
        <v>29126741</v>
      </c>
      <c r="AI100" s="33">
        <v>0.27183147499999999</v>
      </c>
    </row>
    <row r="101" spans="1:35" hidden="1" x14ac:dyDescent="0.25">
      <c r="A101" s="25" t="s">
        <v>388</v>
      </c>
      <c r="B101" s="26" t="s">
        <v>59</v>
      </c>
      <c r="C101" s="27">
        <v>12000000</v>
      </c>
      <c r="D101" s="27"/>
      <c r="E101" s="34"/>
      <c r="F101" s="30">
        <f t="shared" si="20"/>
        <v>12000000</v>
      </c>
      <c r="G101" s="31">
        <v>7722000</v>
      </c>
      <c r="H101" s="27">
        <v>558000</v>
      </c>
      <c r="I101" s="31">
        <v>7722000</v>
      </c>
      <c r="J101" s="32">
        <f t="shared" si="21"/>
        <v>4278000</v>
      </c>
      <c r="K101" s="33">
        <f t="shared" si="18"/>
        <v>0.64349999999999996</v>
      </c>
      <c r="L101" s="113">
        <f t="shared" si="19"/>
        <v>0</v>
      </c>
      <c r="M101" s="25" t="s">
        <v>388</v>
      </c>
      <c r="N101" s="26" t="s">
        <v>59</v>
      </c>
      <c r="O101" s="27">
        <v>12000000</v>
      </c>
      <c r="P101" s="27"/>
      <c r="Q101" s="34"/>
      <c r="R101" s="30">
        <v>12000000</v>
      </c>
      <c r="S101" s="31">
        <v>6362000</v>
      </c>
      <c r="T101" s="27">
        <v>802000</v>
      </c>
      <c r="U101" s="31">
        <v>7164000</v>
      </c>
      <c r="V101" s="32">
        <v>4836000</v>
      </c>
      <c r="W101" s="33">
        <v>0.59699999999999998</v>
      </c>
      <c r="Y101" s="25" t="s">
        <v>388</v>
      </c>
      <c r="Z101" s="26" t="s">
        <v>59</v>
      </c>
      <c r="AA101" s="27">
        <v>12000000</v>
      </c>
      <c r="AB101" s="27"/>
      <c r="AC101" s="34"/>
      <c r="AD101" s="30">
        <v>12000000</v>
      </c>
      <c r="AE101" s="31">
        <v>7722000</v>
      </c>
      <c r="AF101" s="27">
        <v>558000</v>
      </c>
      <c r="AG101" s="31">
        <v>7722000</v>
      </c>
      <c r="AH101" s="32">
        <v>4278000</v>
      </c>
      <c r="AI101" s="33">
        <v>0.64349999999999996</v>
      </c>
    </row>
    <row r="102" spans="1:35" hidden="1" x14ac:dyDescent="0.25">
      <c r="A102" s="25" t="s">
        <v>389</v>
      </c>
      <c r="B102" s="26" t="s">
        <v>60</v>
      </c>
      <c r="C102" s="27">
        <v>60000000</v>
      </c>
      <c r="D102" s="27"/>
      <c r="E102" s="34"/>
      <c r="F102" s="30">
        <f t="shared" si="20"/>
        <v>60000000</v>
      </c>
      <c r="G102" s="31">
        <v>59951700</v>
      </c>
      <c r="H102" s="27">
        <v>8358400</v>
      </c>
      <c r="I102" s="31">
        <v>59951700</v>
      </c>
      <c r="J102" s="32">
        <f t="shared" si="21"/>
        <v>48300</v>
      </c>
      <c r="K102" s="33">
        <f t="shared" si="18"/>
        <v>0.99919500000000006</v>
      </c>
      <c r="L102" s="113">
        <f t="shared" si="19"/>
        <v>0</v>
      </c>
      <c r="M102" s="25" t="s">
        <v>389</v>
      </c>
      <c r="N102" s="26" t="s">
        <v>60</v>
      </c>
      <c r="O102" s="27">
        <v>60000000</v>
      </c>
      <c r="P102" s="27"/>
      <c r="Q102" s="34"/>
      <c r="R102" s="30">
        <v>60000000</v>
      </c>
      <c r="S102" s="31">
        <v>45171800</v>
      </c>
      <c r="T102" s="27">
        <v>6421500</v>
      </c>
      <c r="U102" s="31">
        <v>51593300</v>
      </c>
      <c r="V102" s="32">
        <v>8406700</v>
      </c>
      <c r="W102" s="33">
        <v>0.85988833333333337</v>
      </c>
      <c r="Y102" s="25" t="s">
        <v>389</v>
      </c>
      <c r="Z102" s="26" t="s">
        <v>60</v>
      </c>
      <c r="AA102" s="27">
        <v>60000000</v>
      </c>
      <c r="AB102" s="27"/>
      <c r="AC102" s="34"/>
      <c r="AD102" s="30">
        <v>60000000</v>
      </c>
      <c r="AE102" s="31">
        <v>59951700</v>
      </c>
      <c r="AF102" s="27">
        <v>8358400</v>
      </c>
      <c r="AG102" s="31">
        <v>59951700</v>
      </c>
      <c r="AH102" s="32">
        <v>48300</v>
      </c>
      <c r="AI102" s="33">
        <v>0.99919500000000006</v>
      </c>
    </row>
    <row r="103" spans="1:35" hidden="1" x14ac:dyDescent="0.25">
      <c r="A103" s="21">
        <v>11255</v>
      </c>
      <c r="B103" s="22" t="s">
        <v>874</v>
      </c>
      <c r="C103" s="23">
        <f t="shared" ref="C103:J103" si="29">+C104</f>
        <v>0</v>
      </c>
      <c r="D103" s="23">
        <f t="shared" si="29"/>
        <v>0</v>
      </c>
      <c r="E103" s="23">
        <f t="shared" si="29"/>
        <v>0</v>
      </c>
      <c r="F103" s="23">
        <f t="shared" si="29"/>
        <v>0</v>
      </c>
      <c r="G103" s="23">
        <f t="shared" si="29"/>
        <v>10854800</v>
      </c>
      <c r="H103" s="23">
        <f t="shared" si="29"/>
        <v>0</v>
      </c>
      <c r="I103" s="23">
        <f t="shared" si="29"/>
        <v>10854800</v>
      </c>
      <c r="J103" s="23">
        <f t="shared" si="29"/>
        <v>0</v>
      </c>
      <c r="K103" s="36" t="e">
        <f t="shared" si="18"/>
        <v>#DIV/0!</v>
      </c>
      <c r="L103" s="113">
        <f t="shared" si="19"/>
        <v>0</v>
      </c>
      <c r="M103" s="21">
        <v>11255</v>
      </c>
      <c r="N103" s="22" t="s">
        <v>874</v>
      </c>
      <c r="O103" s="23">
        <v>0</v>
      </c>
      <c r="P103" s="23">
        <v>0</v>
      </c>
      <c r="Q103" s="23">
        <v>0</v>
      </c>
      <c r="R103" s="23">
        <v>0</v>
      </c>
      <c r="S103" s="23">
        <v>10854800</v>
      </c>
      <c r="T103" s="23">
        <v>0</v>
      </c>
      <c r="U103" s="23">
        <v>10854800</v>
      </c>
      <c r="V103" s="23">
        <v>0</v>
      </c>
      <c r="W103" s="36" t="e">
        <v>#DIV/0!</v>
      </c>
      <c r="Y103" s="21">
        <v>11255</v>
      </c>
      <c r="Z103" s="22" t="s">
        <v>874</v>
      </c>
      <c r="AA103" s="23">
        <v>0</v>
      </c>
      <c r="AB103" s="23">
        <v>0</v>
      </c>
      <c r="AC103" s="23">
        <v>0</v>
      </c>
      <c r="AD103" s="23">
        <v>0</v>
      </c>
      <c r="AE103" s="23">
        <v>10854800</v>
      </c>
      <c r="AF103" s="23">
        <v>0</v>
      </c>
      <c r="AG103" s="23">
        <v>10854800</v>
      </c>
      <c r="AH103" s="23">
        <v>0</v>
      </c>
      <c r="AI103" s="36" t="e">
        <v>#DIV/0!</v>
      </c>
    </row>
    <row r="104" spans="1:35" s="20" customFormat="1" hidden="1" x14ac:dyDescent="0.25">
      <c r="A104" s="25">
        <v>1125501</v>
      </c>
      <c r="B104" s="26" t="s">
        <v>873</v>
      </c>
      <c r="C104" s="27"/>
      <c r="D104" s="27"/>
      <c r="E104" s="34"/>
      <c r="F104" s="30">
        <f>+C104+D104</f>
        <v>0</v>
      </c>
      <c r="G104" s="31">
        <v>10854800</v>
      </c>
      <c r="H104" s="27"/>
      <c r="I104" s="31">
        <v>10854800</v>
      </c>
      <c r="J104" s="32"/>
      <c r="K104" s="33" t="e">
        <f t="shared" si="18"/>
        <v>#DIV/0!</v>
      </c>
      <c r="L104" s="113">
        <f t="shared" si="19"/>
        <v>0</v>
      </c>
      <c r="M104" s="25">
        <v>1125501</v>
      </c>
      <c r="N104" s="26" t="s">
        <v>873</v>
      </c>
      <c r="O104" s="27"/>
      <c r="P104" s="27"/>
      <c r="Q104" s="34"/>
      <c r="R104" s="30">
        <v>0</v>
      </c>
      <c r="S104" s="31">
        <v>10854800</v>
      </c>
      <c r="T104" s="27"/>
      <c r="U104" s="31">
        <v>10854800</v>
      </c>
      <c r="V104" s="32"/>
      <c r="W104" s="33" t="e">
        <v>#DIV/0!</v>
      </c>
      <c r="X104" s="2"/>
      <c r="Y104" s="25">
        <v>1125501</v>
      </c>
      <c r="Z104" s="26" t="s">
        <v>873</v>
      </c>
      <c r="AA104" s="27"/>
      <c r="AB104" s="27"/>
      <c r="AC104" s="34"/>
      <c r="AD104" s="30">
        <v>0</v>
      </c>
      <c r="AE104" s="31">
        <v>10854800</v>
      </c>
      <c r="AF104" s="27"/>
      <c r="AG104" s="31">
        <v>10854800</v>
      </c>
      <c r="AH104" s="32"/>
      <c r="AI104" s="33" t="e">
        <v>#DIV/0!</v>
      </c>
    </row>
    <row r="105" spans="1:35" s="20" customFormat="1" hidden="1" x14ac:dyDescent="0.25">
      <c r="A105" s="21" t="s">
        <v>390</v>
      </c>
      <c r="B105" s="22" t="s">
        <v>391</v>
      </c>
      <c r="C105" s="23">
        <f>SUM(C106)</f>
        <v>94000000</v>
      </c>
      <c r="D105" s="23">
        <f t="shared" ref="D105:J105" si="30">SUM(D106)</f>
        <v>0</v>
      </c>
      <c r="E105" s="23">
        <f t="shared" si="30"/>
        <v>0</v>
      </c>
      <c r="F105" s="23">
        <f t="shared" si="30"/>
        <v>94000000</v>
      </c>
      <c r="G105" s="23">
        <f t="shared" si="30"/>
        <v>54927140</v>
      </c>
      <c r="H105" s="23">
        <f t="shared" si="30"/>
        <v>0</v>
      </c>
      <c r="I105" s="23">
        <f t="shared" si="30"/>
        <v>54927140</v>
      </c>
      <c r="J105" s="23">
        <f t="shared" si="30"/>
        <v>39072860</v>
      </c>
      <c r="K105" s="36">
        <f t="shared" si="18"/>
        <v>0.58433127659574469</v>
      </c>
      <c r="L105" s="113">
        <f t="shared" si="19"/>
        <v>0</v>
      </c>
      <c r="M105" s="21" t="s">
        <v>390</v>
      </c>
      <c r="N105" s="22" t="s">
        <v>391</v>
      </c>
      <c r="O105" s="23">
        <v>94000000</v>
      </c>
      <c r="P105" s="23">
        <v>0</v>
      </c>
      <c r="Q105" s="23">
        <v>0</v>
      </c>
      <c r="R105" s="23">
        <v>94000000</v>
      </c>
      <c r="S105" s="23">
        <v>52948972</v>
      </c>
      <c r="T105" s="23">
        <v>1978168</v>
      </c>
      <c r="U105" s="23">
        <v>54927140</v>
      </c>
      <c r="V105" s="23">
        <v>39072860</v>
      </c>
      <c r="W105" s="36">
        <v>0.58433127659574469</v>
      </c>
      <c r="X105" s="2"/>
      <c r="Y105" s="21" t="s">
        <v>390</v>
      </c>
      <c r="Z105" s="22" t="s">
        <v>391</v>
      </c>
      <c r="AA105" s="23">
        <v>94000000</v>
      </c>
      <c r="AB105" s="23">
        <v>0</v>
      </c>
      <c r="AC105" s="23">
        <v>0</v>
      </c>
      <c r="AD105" s="23">
        <v>94000000</v>
      </c>
      <c r="AE105" s="23">
        <v>54927140</v>
      </c>
      <c r="AF105" s="23">
        <v>0</v>
      </c>
      <c r="AG105" s="23">
        <v>54927140</v>
      </c>
      <c r="AH105" s="23">
        <v>39072860</v>
      </c>
      <c r="AI105" s="36">
        <v>0.58433127659574469</v>
      </c>
    </row>
    <row r="106" spans="1:35" hidden="1" x14ac:dyDescent="0.25">
      <c r="A106" s="25" t="s">
        <v>392</v>
      </c>
      <c r="B106" s="26" t="s">
        <v>393</v>
      </c>
      <c r="C106" s="27">
        <v>94000000</v>
      </c>
      <c r="D106" s="27"/>
      <c r="E106" s="34"/>
      <c r="F106" s="30">
        <f t="shared" si="20"/>
        <v>94000000</v>
      </c>
      <c r="G106" s="31">
        <v>54927140</v>
      </c>
      <c r="H106" s="27"/>
      <c r="I106" s="31">
        <v>54927140</v>
      </c>
      <c r="J106" s="32">
        <f t="shared" si="21"/>
        <v>39072860</v>
      </c>
      <c r="K106" s="33">
        <f t="shared" si="18"/>
        <v>0.58433127659574469</v>
      </c>
      <c r="L106" s="113">
        <f t="shared" si="19"/>
        <v>0</v>
      </c>
      <c r="M106" s="25" t="s">
        <v>392</v>
      </c>
      <c r="N106" s="26" t="s">
        <v>393</v>
      </c>
      <c r="O106" s="27">
        <v>94000000</v>
      </c>
      <c r="P106" s="27"/>
      <c r="Q106" s="34"/>
      <c r="R106" s="30">
        <v>94000000</v>
      </c>
      <c r="S106" s="31">
        <v>52948972</v>
      </c>
      <c r="T106" s="27">
        <v>1978168</v>
      </c>
      <c r="U106" s="31">
        <v>54927140</v>
      </c>
      <c r="V106" s="32">
        <v>39072860</v>
      </c>
      <c r="W106" s="33">
        <v>0.58433127659574469</v>
      </c>
      <c r="X106" s="20"/>
      <c r="Y106" s="25" t="s">
        <v>392</v>
      </c>
      <c r="Z106" s="26" t="s">
        <v>393</v>
      </c>
      <c r="AA106" s="27">
        <v>94000000</v>
      </c>
      <c r="AB106" s="27"/>
      <c r="AC106" s="34"/>
      <c r="AD106" s="30">
        <v>94000000</v>
      </c>
      <c r="AE106" s="31">
        <v>54927140</v>
      </c>
      <c r="AF106" s="27"/>
      <c r="AG106" s="31">
        <v>54927140</v>
      </c>
      <c r="AH106" s="32">
        <v>39072860</v>
      </c>
      <c r="AI106" s="33">
        <v>0.58433127659574469</v>
      </c>
    </row>
    <row r="107" spans="1:35" hidden="1" x14ac:dyDescent="0.25">
      <c r="A107" s="16" t="s">
        <v>394</v>
      </c>
      <c r="B107" s="17" t="s">
        <v>395</v>
      </c>
      <c r="C107" s="18">
        <f>+C108+C109</f>
        <v>1252896796</v>
      </c>
      <c r="D107" s="18">
        <f t="shared" ref="D107:J107" si="31">+D108+D109</f>
        <v>0</v>
      </c>
      <c r="E107" s="18">
        <f t="shared" si="31"/>
        <v>0</v>
      </c>
      <c r="F107" s="18">
        <f t="shared" si="31"/>
        <v>1252896796</v>
      </c>
      <c r="G107" s="18">
        <f t="shared" si="31"/>
        <v>564788485</v>
      </c>
      <c r="H107" s="18">
        <f t="shared" si="31"/>
        <v>94090317</v>
      </c>
      <c r="I107" s="18">
        <f>+I108+I109</f>
        <v>564788485</v>
      </c>
      <c r="J107" s="18">
        <f t="shared" si="31"/>
        <v>964034719</v>
      </c>
      <c r="K107" s="19">
        <f t="shared" si="18"/>
        <v>0.4507861196573768</v>
      </c>
      <c r="L107" s="113">
        <f t="shared" si="19"/>
        <v>0</v>
      </c>
      <c r="M107" s="16" t="s">
        <v>394</v>
      </c>
      <c r="N107" s="17" t="s">
        <v>395</v>
      </c>
      <c r="O107" s="18">
        <v>1252896796</v>
      </c>
      <c r="P107" s="18">
        <v>0</v>
      </c>
      <c r="Q107" s="18">
        <v>0</v>
      </c>
      <c r="R107" s="18">
        <v>1252896796</v>
      </c>
      <c r="S107" s="18">
        <v>344603264</v>
      </c>
      <c r="T107" s="18">
        <v>126094904</v>
      </c>
      <c r="U107" s="18">
        <v>511891816</v>
      </c>
      <c r="V107" s="18">
        <v>908732882</v>
      </c>
      <c r="W107" s="19">
        <v>0.40856662546689121</v>
      </c>
      <c r="X107" s="20"/>
      <c r="Y107" s="16" t="s">
        <v>394</v>
      </c>
      <c r="Z107" s="17" t="s">
        <v>395</v>
      </c>
      <c r="AA107" s="18">
        <v>1252896796</v>
      </c>
      <c r="AB107" s="18">
        <v>0</v>
      </c>
      <c r="AC107" s="18">
        <v>0</v>
      </c>
      <c r="AD107" s="18">
        <v>1252896796</v>
      </c>
      <c r="AE107" s="18">
        <v>564788485</v>
      </c>
      <c r="AF107" s="18">
        <v>94090317</v>
      </c>
      <c r="AG107" s="18">
        <v>564788485</v>
      </c>
      <c r="AH107" s="18">
        <v>964034719</v>
      </c>
      <c r="AI107" s="19">
        <v>0.4507861196573768</v>
      </c>
    </row>
    <row r="108" spans="1:35" hidden="1" x14ac:dyDescent="0.25">
      <c r="A108" s="16" t="s">
        <v>396</v>
      </c>
      <c r="B108" s="17" t="s">
        <v>397</v>
      </c>
      <c r="C108" s="18"/>
      <c r="D108" s="18"/>
      <c r="E108" s="18"/>
      <c r="F108" s="18">
        <f>+C108+D108</f>
        <v>0</v>
      </c>
      <c r="G108" s="18">
        <v>149392154</v>
      </c>
      <c r="H108" s="18">
        <v>22857900</v>
      </c>
      <c r="I108" s="18">
        <v>149392154</v>
      </c>
      <c r="J108" s="18">
        <v>126534254</v>
      </c>
      <c r="K108" s="19" t="e">
        <f t="shared" si="18"/>
        <v>#DIV/0!</v>
      </c>
      <c r="L108" s="113">
        <f t="shared" si="19"/>
        <v>0</v>
      </c>
      <c r="M108" s="16" t="s">
        <v>396</v>
      </c>
      <c r="N108" s="17" t="s">
        <v>397</v>
      </c>
      <c r="O108" s="18"/>
      <c r="P108" s="18"/>
      <c r="Q108" s="18"/>
      <c r="R108" s="18">
        <v>0</v>
      </c>
      <c r="S108" s="18">
        <v>84844760</v>
      </c>
      <c r="T108" s="18">
        <v>41689494</v>
      </c>
      <c r="U108" s="18">
        <v>126534254</v>
      </c>
      <c r="V108" s="18"/>
      <c r="W108" s="19" t="e">
        <v>#DIV/0!</v>
      </c>
      <c r="Y108" s="16" t="s">
        <v>396</v>
      </c>
      <c r="Z108" s="17" t="s">
        <v>397</v>
      </c>
      <c r="AA108" s="18"/>
      <c r="AB108" s="18"/>
      <c r="AC108" s="18"/>
      <c r="AD108" s="18">
        <v>0</v>
      </c>
      <c r="AE108" s="18">
        <v>149392154</v>
      </c>
      <c r="AF108" s="18">
        <v>22857900</v>
      </c>
      <c r="AG108" s="18">
        <v>149392154</v>
      </c>
      <c r="AH108" s="18">
        <v>126534254</v>
      </c>
      <c r="AI108" s="19" t="e">
        <v>#DIV/0!</v>
      </c>
    </row>
    <row r="109" spans="1:35" hidden="1" x14ac:dyDescent="0.25">
      <c r="A109" s="16" t="s">
        <v>398</v>
      </c>
      <c r="B109" s="17" t="s">
        <v>399</v>
      </c>
      <c r="C109" s="18">
        <f>+C110</f>
        <v>1252896796</v>
      </c>
      <c r="D109" s="18">
        <f t="shared" ref="D109:J109" si="32">+D110</f>
        <v>0</v>
      </c>
      <c r="E109" s="18">
        <f t="shared" si="32"/>
        <v>0</v>
      </c>
      <c r="F109" s="18">
        <f t="shared" si="32"/>
        <v>1252896796</v>
      </c>
      <c r="G109" s="18">
        <f t="shared" si="32"/>
        <v>415396331</v>
      </c>
      <c r="H109" s="18">
        <f t="shared" si="32"/>
        <v>71232417</v>
      </c>
      <c r="I109" s="18">
        <f t="shared" si="32"/>
        <v>415396331</v>
      </c>
      <c r="J109" s="18">
        <f t="shared" si="32"/>
        <v>837500465</v>
      </c>
      <c r="K109" s="19">
        <f t="shared" si="18"/>
        <v>0.33154872159159071</v>
      </c>
      <c r="L109" s="113">
        <f t="shared" si="19"/>
        <v>0</v>
      </c>
      <c r="M109" s="16" t="s">
        <v>398</v>
      </c>
      <c r="N109" s="17" t="s">
        <v>399</v>
      </c>
      <c r="O109" s="18">
        <v>1252896796</v>
      </c>
      <c r="P109" s="18">
        <v>0</v>
      </c>
      <c r="Q109" s="18">
        <v>0</v>
      </c>
      <c r="R109" s="18">
        <v>1252896796</v>
      </c>
      <c r="S109" s="18">
        <v>259758504</v>
      </c>
      <c r="T109" s="18">
        <v>84405410</v>
      </c>
      <c r="U109" s="18">
        <v>385357562</v>
      </c>
      <c r="V109" s="18">
        <v>908732882</v>
      </c>
      <c r="W109" s="19">
        <v>0.30757326799006357</v>
      </c>
      <c r="Y109" s="16" t="s">
        <v>398</v>
      </c>
      <c r="Z109" s="17" t="s">
        <v>399</v>
      </c>
      <c r="AA109" s="18">
        <v>1252896796</v>
      </c>
      <c r="AB109" s="18">
        <v>0</v>
      </c>
      <c r="AC109" s="18">
        <v>0</v>
      </c>
      <c r="AD109" s="18">
        <v>1252896796</v>
      </c>
      <c r="AE109" s="18">
        <v>415396331</v>
      </c>
      <c r="AF109" s="18">
        <v>71232417</v>
      </c>
      <c r="AG109" s="18">
        <v>415396331</v>
      </c>
      <c r="AH109" s="18">
        <v>837500465</v>
      </c>
      <c r="AI109" s="19">
        <v>0.33154872159159071</v>
      </c>
    </row>
    <row r="110" spans="1:35" hidden="1" x14ac:dyDescent="0.25">
      <c r="A110" s="21" t="s">
        <v>400</v>
      </c>
      <c r="B110" s="22" t="s">
        <v>401</v>
      </c>
      <c r="C110" s="23">
        <f>+C111+C112+C125</f>
        <v>1252896796</v>
      </c>
      <c r="D110" s="23">
        <f t="shared" ref="D110:J110" si="33">+D111+D112+D125</f>
        <v>0</v>
      </c>
      <c r="E110" s="23">
        <f t="shared" si="33"/>
        <v>0</v>
      </c>
      <c r="F110" s="23">
        <f t="shared" si="33"/>
        <v>1252896796</v>
      </c>
      <c r="G110" s="23">
        <f t="shared" si="33"/>
        <v>415396331</v>
      </c>
      <c r="H110" s="23">
        <f t="shared" si="33"/>
        <v>71232417</v>
      </c>
      <c r="I110" s="23">
        <f t="shared" si="33"/>
        <v>415396331</v>
      </c>
      <c r="J110" s="23">
        <f t="shared" si="33"/>
        <v>837500465</v>
      </c>
      <c r="K110" s="36">
        <f t="shared" si="18"/>
        <v>0.33154872159159071</v>
      </c>
      <c r="L110" s="113">
        <f t="shared" si="19"/>
        <v>0</v>
      </c>
      <c r="M110" s="21" t="s">
        <v>400</v>
      </c>
      <c r="N110" s="22" t="s">
        <v>401</v>
      </c>
      <c r="O110" s="23">
        <v>1252896796</v>
      </c>
      <c r="P110" s="23">
        <v>0</v>
      </c>
      <c r="Q110" s="23">
        <v>0</v>
      </c>
      <c r="R110" s="23">
        <v>1252896796</v>
      </c>
      <c r="S110" s="23">
        <v>259758504</v>
      </c>
      <c r="T110" s="23">
        <v>84405410</v>
      </c>
      <c r="U110" s="23">
        <v>385357562</v>
      </c>
      <c r="V110" s="23">
        <v>908732882</v>
      </c>
      <c r="W110" s="36">
        <v>0.30757326799006357</v>
      </c>
      <c r="Y110" s="21" t="s">
        <v>400</v>
      </c>
      <c r="Z110" s="22" t="s">
        <v>401</v>
      </c>
      <c r="AA110" s="23">
        <v>1252896796</v>
      </c>
      <c r="AB110" s="23">
        <v>0</v>
      </c>
      <c r="AC110" s="23">
        <v>0</v>
      </c>
      <c r="AD110" s="23">
        <v>1252896796</v>
      </c>
      <c r="AE110" s="23">
        <v>415396331</v>
      </c>
      <c r="AF110" s="23">
        <v>71232417</v>
      </c>
      <c r="AG110" s="23">
        <v>415396331</v>
      </c>
      <c r="AH110" s="23">
        <v>837500465</v>
      </c>
      <c r="AI110" s="36">
        <v>0.33154872159159071</v>
      </c>
    </row>
    <row r="111" spans="1:35" hidden="1" x14ac:dyDescent="0.25">
      <c r="A111" s="25" t="s">
        <v>402</v>
      </c>
      <c r="B111" s="26" t="s">
        <v>403</v>
      </c>
      <c r="C111" s="27">
        <v>60000000</v>
      </c>
      <c r="D111" s="27"/>
      <c r="E111" s="34"/>
      <c r="F111" s="30">
        <f t="shared" si="20"/>
        <v>60000000</v>
      </c>
      <c r="G111" s="31">
        <v>771000</v>
      </c>
      <c r="H111" s="27"/>
      <c r="I111" s="31">
        <v>771000</v>
      </c>
      <c r="J111" s="32">
        <f t="shared" si="21"/>
        <v>59229000</v>
      </c>
      <c r="K111" s="33">
        <f t="shared" si="18"/>
        <v>1.285E-2</v>
      </c>
      <c r="L111" s="113">
        <f t="shared" si="19"/>
        <v>0</v>
      </c>
      <c r="M111" s="25" t="s">
        <v>402</v>
      </c>
      <c r="N111" s="26" t="s">
        <v>403</v>
      </c>
      <c r="O111" s="27">
        <v>60000000</v>
      </c>
      <c r="P111" s="27"/>
      <c r="Q111" s="34"/>
      <c r="R111" s="30">
        <v>60000000</v>
      </c>
      <c r="S111" s="31">
        <v>771000</v>
      </c>
      <c r="T111" s="27"/>
      <c r="U111" s="31">
        <v>771000</v>
      </c>
      <c r="V111" s="32">
        <v>59229000</v>
      </c>
      <c r="W111" s="33">
        <v>1.285E-2</v>
      </c>
      <c r="Y111" s="25" t="s">
        <v>402</v>
      </c>
      <c r="Z111" s="26" t="s">
        <v>403</v>
      </c>
      <c r="AA111" s="27">
        <v>60000000</v>
      </c>
      <c r="AB111" s="27"/>
      <c r="AC111" s="34"/>
      <c r="AD111" s="30">
        <v>60000000</v>
      </c>
      <c r="AE111" s="31">
        <v>771000</v>
      </c>
      <c r="AF111" s="27"/>
      <c r="AG111" s="31">
        <v>771000</v>
      </c>
      <c r="AH111" s="32">
        <v>59229000</v>
      </c>
      <c r="AI111" s="33">
        <v>1.285E-2</v>
      </c>
    </row>
    <row r="112" spans="1:35" hidden="1" x14ac:dyDescent="0.25">
      <c r="A112" s="21" t="s">
        <v>404</v>
      </c>
      <c r="B112" s="22" t="s">
        <v>405</v>
      </c>
      <c r="C112" s="23">
        <f>SUM(C113:C124)</f>
        <v>1192896796</v>
      </c>
      <c r="D112" s="23">
        <f t="shared" ref="D112:J112" si="34">SUM(D113:D124)</f>
        <v>0</v>
      </c>
      <c r="E112" s="23">
        <f t="shared" si="34"/>
        <v>0</v>
      </c>
      <c r="F112" s="23">
        <f t="shared" si="34"/>
        <v>1192896796</v>
      </c>
      <c r="G112" s="23">
        <f t="shared" si="34"/>
        <v>365259388</v>
      </c>
      <c r="H112" s="23">
        <f t="shared" si="34"/>
        <v>63060122</v>
      </c>
      <c r="I112" s="23">
        <f t="shared" si="34"/>
        <v>365259388</v>
      </c>
      <c r="J112" s="23">
        <f t="shared" si="34"/>
        <v>827637408</v>
      </c>
      <c r="K112" s="36">
        <f t="shared" si="18"/>
        <v>0.30619529637834653</v>
      </c>
      <c r="L112" s="113">
        <f t="shared" si="19"/>
        <v>0</v>
      </c>
      <c r="M112" s="21" t="s">
        <v>404</v>
      </c>
      <c r="N112" s="22" t="s">
        <v>405</v>
      </c>
      <c r="O112" s="23">
        <v>1192896796</v>
      </c>
      <c r="P112" s="23">
        <v>0</v>
      </c>
      <c r="Q112" s="23">
        <v>0</v>
      </c>
      <c r="R112" s="23">
        <v>1192896796</v>
      </c>
      <c r="S112" s="23">
        <v>244334732</v>
      </c>
      <c r="T112" s="23">
        <v>84405410</v>
      </c>
      <c r="U112" s="23">
        <v>343392914</v>
      </c>
      <c r="V112" s="23">
        <v>890697530</v>
      </c>
      <c r="W112" s="36">
        <v>0.28786472991750744</v>
      </c>
      <c r="Y112" s="21" t="s">
        <v>404</v>
      </c>
      <c r="Z112" s="22" t="s">
        <v>405</v>
      </c>
      <c r="AA112" s="23">
        <v>1192896796</v>
      </c>
      <c r="AB112" s="23">
        <v>0</v>
      </c>
      <c r="AC112" s="23">
        <v>0</v>
      </c>
      <c r="AD112" s="23">
        <v>1192896796</v>
      </c>
      <c r="AE112" s="23">
        <v>414625331</v>
      </c>
      <c r="AF112" s="23">
        <v>71232417</v>
      </c>
      <c r="AG112" s="23">
        <v>414625331</v>
      </c>
      <c r="AH112" s="23">
        <v>827637408</v>
      </c>
      <c r="AI112" s="36">
        <v>0.3475785435842515</v>
      </c>
    </row>
    <row r="113" spans="1:35" hidden="1" x14ac:dyDescent="0.25">
      <c r="A113" s="25" t="s">
        <v>406</v>
      </c>
      <c r="B113" s="26" t="s">
        <v>407</v>
      </c>
      <c r="C113" s="27">
        <v>63999996</v>
      </c>
      <c r="D113" s="27"/>
      <c r="E113" s="34"/>
      <c r="F113" s="30">
        <f t="shared" si="20"/>
        <v>63999996</v>
      </c>
      <c r="G113" s="31">
        <v>106667147</v>
      </c>
      <c r="H113" s="27">
        <v>21469783</v>
      </c>
      <c r="I113" s="31">
        <v>106667147</v>
      </c>
      <c r="J113" s="32">
        <f t="shared" si="21"/>
        <v>-42667151</v>
      </c>
      <c r="K113" s="33">
        <f t="shared" si="18"/>
        <v>1.6666742760421422</v>
      </c>
      <c r="L113" s="113">
        <f t="shared" si="19"/>
        <v>0</v>
      </c>
      <c r="M113" s="25" t="s">
        <v>406</v>
      </c>
      <c r="N113" s="26" t="s">
        <v>407</v>
      </c>
      <c r="O113" s="27">
        <v>63999996</v>
      </c>
      <c r="P113" s="27"/>
      <c r="Q113" s="34"/>
      <c r="R113" s="30">
        <v>63999996</v>
      </c>
      <c r="S113" s="31">
        <v>64247726</v>
      </c>
      <c r="T113" s="27">
        <v>20949638</v>
      </c>
      <c r="U113" s="31">
        <v>85197364</v>
      </c>
      <c r="V113" s="32">
        <v>-21197368</v>
      </c>
      <c r="W113" s="33">
        <v>1.3312088957005559</v>
      </c>
      <c r="Y113" s="25" t="s">
        <v>406</v>
      </c>
      <c r="Z113" s="26" t="s">
        <v>407</v>
      </c>
      <c r="AA113" s="27">
        <v>63999996</v>
      </c>
      <c r="AB113" s="27"/>
      <c r="AC113" s="34"/>
      <c r="AD113" s="30">
        <v>63999996</v>
      </c>
      <c r="AE113" s="31">
        <v>106667147</v>
      </c>
      <c r="AF113" s="27">
        <v>21469783</v>
      </c>
      <c r="AG113" s="31">
        <v>106667147</v>
      </c>
      <c r="AH113" s="32">
        <v>-42667151</v>
      </c>
      <c r="AI113" s="33">
        <v>1.6666742760421422</v>
      </c>
    </row>
    <row r="114" spans="1:35" hidden="1" x14ac:dyDescent="0.25">
      <c r="A114" s="25" t="s">
        <v>408</v>
      </c>
      <c r="B114" s="26" t="s">
        <v>409</v>
      </c>
      <c r="C114" s="27">
        <v>164736000</v>
      </c>
      <c r="D114" s="27"/>
      <c r="E114" s="34"/>
      <c r="F114" s="30">
        <f t="shared" si="20"/>
        <v>164736000</v>
      </c>
      <c r="G114" s="31">
        <v>75916438</v>
      </c>
      <c r="H114" s="27">
        <v>9528975</v>
      </c>
      <c r="I114" s="31">
        <v>75916438</v>
      </c>
      <c r="J114" s="32">
        <f t="shared" si="21"/>
        <v>88819562</v>
      </c>
      <c r="K114" s="33">
        <f t="shared" si="18"/>
        <v>0.46083696338383839</v>
      </c>
      <c r="L114" s="113">
        <f t="shared" si="19"/>
        <v>0</v>
      </c>
      <c r="M114" s="25" t="s">
        <v>408</v>
      </c>
      <c r="N114" s="26" t="s">
        <v>409</v>
      </c>
      <c r="O114" s="27">
        <v>164736000</v>
      </c>
      <c r="P114" s="27"/>
      <c r="Q114" s="34"/>
      <c r="R114" s="30">
        <v>164736000</v>
      </c>
      <c r="S114" s="31">
        <v>56730590</v>
      </c>
      <c r="T114" s="27">
        <v>9656873</v>
      </c>
      <c r="U114" s="31">
        <v>66387463</v>
      </c>
      <c r="V114" s="32">
        <v>98348537</v>
      </c>
      <c r="W114" s="33">
        <v>0.40299304948523701</v>
      </c>
      <c r="Y114" s="25" t="s">
        <v>408</v>
      </c>
      <c r="Z114" s="26" t="s">
        <v>409</v>
      </c>
      <c r="AA114" s="27">
        <v>164736000</v>
      </c>
      <c r="AB114" s="27"/>
      <c r="AC114" s="34"/>
      <c r="AD114" s="30">
        <v>164736000</v>
      </c>
      <c r="AE114" s="31">
        <v>75916438</v>
      </c>
      <c r="AF114" s="27">
        <v>9528975</v>
      </c>
      <c r="AG114" s="31">
        <v>75916438</v>
      </c>
      <c r="AH114" s="32">
        <v>88819562</v>
      </c>
      <c r="AI114" s="33">
        <v>0.46083696338383839</v>
      </c>
    </row>
    <row r="115" spans="1:35" hidden="1" x14ac:dyDescent="0.25">
      <c r="A115" s="25" t="s">
        <v>410</v>
      </c>
      <c r="B115" s="26" t="s">
        <v>411</v>
      </c>
      <c r="C115" s="27">
        <v>47712000</v>
      </c>
      <c r="D115" s="27"/>
      <c r="E115" s="34"/>
      <c r="F115" s="30">
        <f t="shared" si="20"/>
        <v>47712000</v>
      </c>
      <c r="G115" s="31">
        <v>55505501</v>
      </c>
      <c r="H115" s="27">
        <v>12447958</v>
      </c>
      <c r="I115" s="31">
        <v>55505501</v>
      </c>
      <c r="J115" s="32">
        <f t="shared" si="21"/>
        <v>-7793501</v>
      </c>
      <c r="K115" s="33">
        <f t="shared" si="18"/>
        <v>1.1633446721998659</v>
      </c>
      <c r="L115" s="113">
        <f t="shared" si="19"/>
        <v>0</v>
      </c>
      <c r="M115" s="25" t="s">
        <v>410</v>
      </c>
      <c r="N115" s="26" t="s">
        <v>411</v>
      </c>
      <c r="O115" s="27">
        <v>47712000</v>
      </c>
      <c r="P115" s="27"/>
      <c r="Q115" s="34"/>
      <c r="R115" s="30">
        <v>47712000</v>
      </c>
      <c r="S115" s="31">
        <v>32547264</v>
      </c>
      <c r="T115" s="27">
        <v>10510279</v>
      </c>
      <c r="U115" s="31">
        <v>43057543</v>
      </c>
      <c r="V115" s="32">
        <v>4654457</v>
      </c>
      <c r="W115" s="33">
        <v>0.90244682679409793</v>
      </c>
      <c r="Y115" s="25" t="s">
        <v>410</v>
      </c>
      <c r="Z115" s="26" t="s">
        <v>411</v>
      </c>
      <c r="AA115" s="27">
        <v>47712000</v>
      </c>
      <c r="AB115" s="27"/>
      <c r="AC115" s="34"/>
      <c r="AD115" s="30">
        <v>47712000</v>
      </c>
      <c r="AE115" s="31">
        <v>55505501</v>
      </c>
      <c r="AF115" s="27">
        <v>12447958</v>
      </c>
      <c r="AG115" s="31">
        <v>55505501</v>
      </c>
      <c r="AH115" s="32">
        <v>-7793501</v>
      </c>
      <c r="AI115" s="33">
        <v>1.1633446721998659</v>
      </c>
    </row>
    <row r="116" spans="1:35" hidden="1" x14ac:dyDescent="0.25">
      <c r="A116" s="25" t="s">
        <v>412</v>
      </c>
      <c r="B116" s="26" t="s">
        <v>413</v>
      </c>
      <c r="C116" s="27">
        <v>48000000</v>
      </c>
      <c r="D116" s="27"/>
      <c r="E116" s="34"/>
      <c r="F116" s="30">
        <f t="shared" si="20"/>
        <v>48000000</v>
      </c>
      <c r="G116" s="31">
        <v>11778924</v>
      </c>
      <c r="H116" s="27">
        <v>2496313</v>
      </c>
      <c r="I116" s="31">
        <v>11778924</v>
      </c>
      <c r="J116" s="32">
        <f t="shared" si="21"/>
        <v>36221076</v>
      </c>
      <c r="K116" s="33">
        <f t="shared" si="18"/>
        <v>0.24539425000000001</v>
      </c>
      <c r="L116" s="113">
        <f t="shared" si="19"/>
        <v>0</v>
      </c>
      <c r="M116" s="25" t="s">
        <v>412</v>
      </c>
      <c r="N116" s="26" t="s">
        <v>413</v>
      </c>
      <c r="O116" s="27">
        <v>48000000</v>
      </c>
      <c r="P116" s="27"/>
      <c r="Q116" s="34"/>
      <c r="R116" s="30">
        <v>48000000</v>
      </c>
      <c r="S116" s="31">
        <v>6721624</v>
      </c>
      <c r="T116" s="27">
        <v>2560987</v>
      </c>
      <c r="U116" s="31">
        <v>9282611</v>
      </c>
      <c r="V116" s="32">
        <v>38717389</v>
      </c>
      <c r="W116" s="33">
        <v>0.19338772916666666</v>
      </c>
      <c r="Y116" s="25" t="s">
        <v>412</v>
      </c>
      <c r="Z116" s="26" t="s">
        <v>413</v>
      </c>
      <c r="AA116" s="27">
        <v>48000000</v>
      </c>
      <c r="AB116" s="27"/>
      <c r="AC116" s="34"/>
      <c r="AD116" s="30">
        <v>48000000</v>
      </c>
      <c r="AE116" s="31">
        <v>11778924</v>
      </c>
      <c r="AF116" s="27">
        <v>2496313</v>
      </c>
      <c r="AG116" s="31">
        <v>11778924</v>
      </c>
      <c r="AH116" s="32">
        <v>36221076</v>
      </c>
      <c r="AI116" s="33">
        <v>0.24539425000000001</v>
      </c>
    </row>
    <row r="117" spans="1:35" hidden="1" x14ac:dyDescent="0.25">
      <c r="A117" s="25" t="s">
        <v>414</v>
      </c>
      <c r="B117" s="26" t="s">
        <v>415</v>
      </c>
      <c r="C117" s="27">
        <v>132099996</v>
      </c>
      <c r="D117" s="27"/>
      <c r="E117" s="34"/>
      <c r="F117" s="30">
        <f t="shared" si="20"/>
        <v>132099996</v>
      </c>
      <c r="G117" s="31">
        <v>56032418</v>
      </c>
      <c r="H117" s="27">
        <v>9299763</v>
      </c>
      <c r="I117" s="31">
        <v>56032418</v>
      </c>
      <c r="J117" s="32">
        <f t="shared" si="21"/>
        <v>76067578</v>
      </c>
      <c r="K117" s="33">
        <f t="shared" si="18"/>
        <v>0.42416668960383619</v>
      </c>
      <c r="L117" s="113">
        <f t="shared" si="19"/>
        <v>0</v>
      </c>
      <c r="M117" s="25" t="s">
        <v>414</v>
      </c>
      <c r="N117" s="26" t="s">
        <v>415</v>
      </c>
      <c r="O117" s="27">
        <v>132099996</v>
      </c>
      <c r="P117" s="27"/>
      <c r="Q117" s="34"/>
      <c r="R117" s="30">
        <v>132099996</v>
      </c>
      <c r="S117" s="31">
        <v>39887132</v>
      </c>
      <c r="T117" s="27">
        <v>6845523</v>
      </c>
      <c r="U117" s="31">
        <v>46732655</v>
      </c>
      <c r="V117" s="32">
        <v>85367341</v>
      </c>
      <c r="W117" s="33">
        <v>0.35376727036388406</v>
      </c>
      <c r="Y117" s="25" t="s">
        <v>414</v>
      </c>
      <c r="Z117" s="26" t="s">
        <v>415</v>
      </c>
      <c r="AA117" s="27">
        <v>132099996</v>
      </c>
      <c r="AB117" s="27"/>
      <c r="AC117" s="34"/>
      <c r="AD117" s="30">
        <v>132099996</v>
      </c>
      <c r="AE117" s="31">
        <v>56032418</v>
      </c>
      <c r="AF117" s="27">
        <v>9299763</v>
      </c>
      <c r="AG117" s="31">
        <v>56032418</v>
      </c>
      <c r="AH117" s="32">
        <v>76067578</v>
      </c>
      <c r="AI117" s="33">
        <v>0.42416668960383619</v>
      </c>
    </row>
    <row r="118" spans="1:35" hidden="1" x14ac:dyDescent="0.25">
      <c r="A118" s="25" t="s">
        <v>416</v>
      </c>
      <c r="B118" s="26" t="s">
        <v>417</v>
      </c>
      <c r="C118" s="27">
        <v>168000000</v>
      </c>
      <c r="D118" s="27"/>
      <c r="E118" s="34"/>
      <c r="F118" s="30">
        <f t="shared" si="20"/>
        <v>168000000</v>
      </c>
      <c r="G118" s="31">
        <v>38353317</v>
      </c>
      <c r="H118" s="27">
        <v>7817330</v>
      </c>
      <c r="I118" s="31">
        <v>38353317</v>
      </c>
      <c r="J118" s="32">
        <f t="shared" si="21"/>
        <v>129646683</v>
      </c>
      <c r="K118" s="33">
        <f t="shared" si="18"/>
        <v>0.22829355357142858</v>
      </c>
      <c r="L118" s="113">
        <f t="shared" si="19"/>
        <v>0</v>
      </c>
      <c r="M118" s="25" t="s">
        <v>416</v>
      </c>
      <c r="N118" s="26" t="s">
        <v>417</v>
      </c>
      <c r="O118" s="27">
        <v>168000000</v>
      </c>
      <c r="P118" s="27"/>
      <c r="Q118" s="34"/>
      <c r="R118" s="30">
        <v>168000000</v>
      </c>
      <c r="S118" s="31">
        <v>23242347</v>
      </c>
      <c r="T118" s="27">
        <v>7293640</v>
      </c>
      <c r="U118" s="31">
        <v>30535987</v>
      </c>
      <c r="V118" s="32">
        <v>137464013</v>
      </c>
      <c r="W118" s="33">
        <v>0.18176182738095237</v>
      </c>
      <c r="Y118" s="25" t="s">
        <v>416</v>
      </c>
      <c r="Z118" s="26" t="s">
        <v>417</v>
      </c>
      <c r="AA118" s="27">
        <v>168000000</v>
      </c>
      <c r="AB118" s="27"/>
      <c r="AC118" s="34"/>
      <c r="AD118" s="30">
        <v>168000000</v>
      </c>
      <c r="AE118" s="31">
        <v>38353317</v>
      </c>
      <c r="AF118" s="27">
        <v>7817330</v>
      </c>
      <c r="AG118" s="31">
        <v>38353317</v>
      </c>
      <c r="AH118" s="32">
        <v>129646683</v>
      </c>
      <c r="AI118" s="33">
        <v>0.22829355357142858</v>
      </c>
    </row>
    <row r="119" spans="1:35" hidden="1" x14ac:dyDescent="0.25">
      <c r="A119" s="25" t="s">
        <v>418</v>
      </c>
      <c r="B119" s="26" t="s">
        <v>419</v>
      </c>
      <c r="C119" s="27">
        <v>99840000</v>
      </c>
      <c r="D119" s="27"/>
      <c r="E119" s="34"/>
      <c r="F119" s="30">
        <f t="shared" si="20"/>
        <v>99840000</v>
      </c>
      <c r="G119" s="31">
        <v>0</v>
      </c>
      <c r="H119" s="27"/>
      <c r="I119" s="31"/>
      <c r="J119" s="32">
        <f t="shared" si="21"/>
        <v>99840000</v>
      </c>
      <c r="K119" s="33">
        <f t="shared" si="18"/>
        <v>0</v>
      </c>
      <c r="L119" s="113">
        <f t="shared" si="19"/>
        <v>0</v>
      </c>
      <c r="M119" s="25" t="s">
        <v>418</v>
      </c>
      <c r="N119" s="26" t="s">
        <v>419</v>
      </c>
      <c r="O119" s="27">
        <v>99840000</v>
      </c>
      <c r="P119" s="27"/>
      <c r="Q119" s="34"/>
      <c r="R119" s="30">
        <v>99840000</v>
      </c>
      <c r="S119" s="31"/>
      <c r="T119" s="27"/>
      <c r="U119" s="31"/>
      <c r="V119" s="32">
        <v>99840000</v>
      </c>
      <c r="W119" s="33">
        <v>0</v>
      </c>
      <c r="Y119" s="25" t="s">
        <v>418</v>
      </c>
      <c r="Z119" s="26" t="s">
        <v>419</v>
      </c>
      <c r="AA119" s="27">
        <v>99840000</v>
      </c>
      <c r="AB119" s="27"/>
      <c r="AC119" s="34"/>
      <c r="AD119" s="30">
        <v>99840000</v>
      </c>
      <c r="AE119" s="31">
        <v>0</v>
      </c>
      <c r="AF119" s="27"/>
      <c r="AG119" s="31"/>
      <c r="AH119" s="32">
        <v>99840000</v>
      </c>
      <c r="AI119" s="33">
        <v>0</v>
      </c>
    </row>
    <row r="120" spans="1:35" hidden="1" x14ac:dyDescent="0.25">
      <c r="A120" s="25" t="s">
        <v>420</v>
      </c>
      <c r="B120" s="26" t="s">
        <v>421</v>
      </c>
      <c r="C120" s="27">
        <v>50400000</v>
      </c>
      <c r="D120" s="27"/>
      <c r="E120" s="34"/>
      <c r="F120" s="30">
        <f t="shared" si="20"/>
        <v>50400000</v>
      </c>
      <c r="G120" s="31">
        <v>0</v>
      </c>
      <c r="H120" s="27"/>
      <c r="I120" s="31"/>
      <c r="J120" s="32">
        <f t="shared" si="21"/>
        <v>50400000</v>
      </c>
      <c r="K120" s="33">
        <f t="shared" si="18"/>
        <v>0</v>
      </c>
      <c r="L120" s="113">
        <f t="shared" si="19"/>
        <v>0</v>
      </c>
      <c r="M120" s="25" t="s">
        <v>420</v>
      </c>
      <c r="N120" s="26" t="s">
        <v>421</v>
      </c>
      <c r="O120" s="27">
        <v>50400000</v>
      </c>
      <c r="P120" s="27"/>
      <c r="Q120" s="34"/>
      <c r="R120" s="30">
        <v>50400000</v>
      </c>
      <c r="S120" s="31"/>
      <c r="T120" s="27"/>
      <c r="U120" s="31"/>
      <c r="V120" s="32">
        <v>50400000</v>
      </c>
      <c r="W120" s="33">
        <v>0</v>
      </c>
      <c r="Y120" s="25" t="s">
        <v>420</v>
      </c>
      <c r="Z120" s="26" t="s">
        <v>421</v>
      </c>
      <c r="AA120" s="27">
        <v>50400000</v>
      </c>
      <c r="AB120" s="27"/>
      <c r="AC120" s="34"/>
      <c r="AD120" s="30">
        <v>50400000</v>
      </c>
      <c r="AE120" s="31">
        <v>0</v>
      </c>
      <c r="AF120" s="27"/>
      <c r="AG120" s="31"/>
      <c r="AH120" s="32">
        <v>50400000</v>
      </c>
      <c r="AI120" s="33">
        <v>0</v>
      </c>
    </row>
    <row r="121" spans="1:35" hidden="1" x14ac:dyDescent="0.25">
      <c r="A121" s="25" t="s">
        <v>422</v>
      </c>
      <c r="B121" s="26" t="s">
        <v>423</v>
      </c>
      <c r="C121" s="27">
        <v>36108804</v>
      </c>
      <c r="D121" s="27"/>
      <c r="E121" s="34"/>
      <c r="F121" s="30">
        <f t="shared" si="20"/>
        <v>36108804</v>
      </c>
      <c r="G121" s="31">
        <v>239433</v>
      </c>
      <c r="H121" s="27"/>
      <c r="I121" s="31">
        <v>239433</v>
      </c>
      <c r="J121" s="32">
        <f t="shared" si="21"/>
        <v>35869371</v>
      </c>
      <c r="K121" s="33">
        <f t="shared" si="18"/>
        <v>6.6308759492560319E-3</v>
      </c>
      <c r="L121" s="113">
        <f t="shared" si="19"/>
        <v>0</v>
      </c>
      <c r="M121" s="25" t="s">
        <v>422</v>
      </c>
      <c r="N121" s="26" t="s">
        <v>423</v>
      </c>
      <c r="O121" s="27">
        <v>36108804</v>
      </c>
      <c r="P121" s="27"/>
      <c r="Q121" s="34"/>
      <c r="R121" s="30">
        <v>36108804</v>
      </c>
      <c r="S121" s="31">
        <v>191839</v>
      </c>
      <c r="T121" s="27">
        <v>47594</v>
      </c>
      <c r="U121" s="31">
        <v>239433</v>
      </c>
      <c r="V121" s="32">
        <v>35869371</v>
      </c>
      <c r="W121" s="33">
        <v>6.6308759492560319E-3</v>
      </c>
      <c r="Y121" s="25" t="s">
        <v>422</v>
      </c>
      <c r="Z121" s="26" t="s">
        <v>423</v>
      </c>
      <c r="AA121" s="27">
        <v>36108804</v>
      </c>
      <c r="AB121" s="27"/>
      <c r="AC121" s="34"/>
      <c r="AD121" s="30">
        <v>36108804</v>
      </c>
      <c r="AE121" s="31">
        <v>239433</v>
      </c>
      <c r="AF121" s="27"/>
      <c r="AG121" s="31">
        <v>239433</v>
      </c>
      <c r="AH121" s="32">
        <v>35869371</v>
      </c>
      <c r="AI121" s="33">
        <v>6.6308759492560319E-3</v>
      </c>
    </row>
    <row r="122" spans="1:35" hidden="1" x14ac:dyDescent="0.25">
      <c r="A122" s="25" t="s">
        <v>424</v>
      </c>
      <c r="B122" s="26" t="s">
        <v>425</v>
      </c>
      <c r="C122" s="27">
        <v>220000000</v>
      </c>
      <c r="D122" s="27"/>
      <c r="E122" s="34"/>
      <c r="F122" s="30">
        <f>+C122+D122</f>
        <v>220000000</v>
      </c>
      <c r="G122" s="31">
        <v>20766210</v>
      </c>
      <c r="H122" s="27"/>
      <c r="I122" s="31">
        <v>20766210</v>
      </c>
      <c r="J122" s="32">
        <f>SUM(F122-I122)</f>
        <v>199233790</v>
      </c>
      <c r="K122" s="33">
        <f t="shared" si="18"/>
        <v>9.4391863636363635E-2</v>
      </c>
      <c r="L122" s="113">
        <f t="shared" si="19"/>
        <v>0</v>
      </c>
      <c r="M122" s="25" t="s">
        <v>424</v>
      </c>
      <c r="N122" s="26" t="s">
        <v>425</v>
      </c>
      <c r="O122" s="27">
        <v>220000000</v>
      </c>
      <c r="P122" s="27"/>
      <c r="Q122" s="34"/>
      <c r="R122" s="30">
        <v>220000000</v>
      </c>
      <c r="S122" s="31">
        <v>20766210</v>
      </c>
      <c r="T122" s="27"/>
      <c r="U122" s="31">
        <v>20766210</v>
      </c>
      <c r="V122" s="32">
        <v>199233790</v>
      </c>
      <c r="W122" s="33">
        <v>9.4391863636363635E-2</v>
      </c>
      <c r="Y122" s="25" t="s">
        <v>424</v>
      </c>
      <c r="Z122" s="26" t="s">
        <v>425</v>
      </c>
      <c r="AA122" s="27">
        <v>220000000</v>
      </c>
      <c r="AB122" s="27"/>
      <c r="AC122" s="34"/>
      <c r="AD122" s="30">
        <v>220000000</v>
      </c>
      <c r="AE122" s="31">
        <v>20766210</v>
      </c>
      <c r="AF122" s="27"/>
      <c r="AG122" s="31">
        <v>20766210</v>
      </c>
      <c r="AH122" s="32">
        <v>199233790</v>
      </c>
      <c r="AI122" s="33">
        <v>9.4391863636363635E-2</v>
      </c>
    </row>
    <row r="123" spans="1:35" hidden="1" x14ac:dyDescent="0.25">
      <c r="A123" s="25" t="s">
        <v>426</v>
      </c>
      <c r="B123" s="26" t="s">
        <v>427</v>
      </c>
      <c r="C123" s="27">
        <v>12000000</v>
      </c>
      <c r="D123" s="27"/>
      <c r="E123" s="34"/>
      <c r="F123" s="30">
        <f>+C123+D123</f>
        <v>12000000</v>
      </c>
      <c r="G123" s="31">
        <v>0</v>
      </c>
      <c r="H123" s="27"/>
      <c r="I123" s="31"/>
      <c r="J123" s="32">
        <f>SUM(F123-I123)</f>
        <v>12000000</v>
      </c>
      <c r="K123" s="33">
        <f t="shared" si="18"/>
        <v>0</v>
      </c>
      <c r="L123" s="113">
        <f t="shared" si="19"/>
        <v>0</v>
      </c>
      <c r="M123" s="25" t="s">
        <v>426</v>
      </c>
      <c r="N123" s="26" t="s">
        <v>427</v>
      </c>
      <c r="O123" s="27">
        <v>12000000</v>
      </c>
      <c r="P123" s="27"/>
      <c r="Q123" s="34"/>
      <c r="R123" s="30">
        <v>12000000</v>
      </c>
      <c r="S123" s="31"/>
      <c r="T123" s="27"/>
      <c r="U123" s="31"/>
      <c r="V123" s="32">
        <v>12000000</v>
      </c>
      <c r="W123" s="33">
        <v>0</v>
      </c>
      <c r="Y123" s="25" t="s">
        <v>426</v>
      </c>
      <c r="Z123" s="26" t="s">
        <v>427</v>
      </c>
      <c r="AA123" s="27">
        <v>12000000</v>
      </c>
      <c r="AB123" s="27"/>
      <c r="AC123" s="34"/>
      <c r="AD123" s="30">
        <v>12000000</v>
      </c>
      <c r="AE123" s="31">
        <v>0</v>
      </c>
      <c r="AF123" s="27"/>
      <c r="AG123" s="31"/>
      <c r="AH123" s="32">
        <v>12000000</v>
      </c>
      <c r="AI123" s="33">
        <v>0</v>
      </c>
    </row>
    <row r="124" spans="1:35" hidden="1" x14ac:dyDescent="0.25">
      <c r="A124" s="25" t="s">
        <v>428</v>
      </c>
      <c r="B124" s="26" t="s">
        <v>429</v>
      </c>
      <c r="C124" s="27">
        <v>150000000</v>
      </c>
      <c r="D124" s="27"/>
      <c r="E124" s="34"/>
      <c r="F124" s="30">
        <f>+C124+D124</f>
        <v>150000000</v>
      </c>
      <c r="G124" s="31">
        <v>0</v>
      </c>
      <c r="H124" s="27"/>
      <c r="I124" s="31"/>
      <c r="J124" s="32">
        <f>SUM(F124-I124)</f>
        <v>150000000</v>
      </c>
      <c r="K124" s="33">
        <f t="shared" si="18"/>
        <v>0</v>
      </c>
      <c r="L124" s="113">
        <f t="shared" si="19"/>
        <v>0</v>
      </c>
      <c r="M124" s="25" t="s">
        <v>428</v>
      </c>
      <c r="N124" s="26" t="s">
        <v>429</v>
      </c>
      <c r="O124" s="27">
        <v>150000000</v>
      </c>
      <c r="P124" s="27"/>
      <c r="Q124" s="34"/>
      <c r="R124" s="30">
        <v>150000000</v>
      </c>
      <c r="S124" s="31"/>
      <c r="T124" s="27"/>
      <c r="U124" s="31"/>
      <c r="V124" s="32">
        <v>150000000</v>
      </c>
      <c r="W124" s="33">
        <v>0</v>
      </c>
      <c r="Y124" s="25" t="s">
        <v>428</v>
      </c>
      <c r="Z124" s="26" t="s">
        <v>429</v>
      </c>
      <c r="AA124" s="27">
        <v>150000000</v>
      </c>
      <c r="AB124" s="27"/>
      <c r="AC124" s="34"/>
      <c r="AD124" s="30">
        <v>150000000</v>
      </c>
      <c r="AE124" s="31">
        <v>0</v>
      </c>
      <c r="AF124" s="27"/>
      <c r="AG124" s="31"/>
      <c r="AH124" s="32">
        <v>150000000</v>
      </c>
      <c r="AI124" s="33">
        <v>0</v>
      </c>
    </row>
    <row r="125" spans="1:35" hidden="1" x14ac:dyDescent="0.25">
      <c r="A125" s="25" t="s">
        <v>430</v>
      </c>
      <c r="B125" s="26" t="s">
        <v>431</v>
      </c>
      <c r="C125" s="27"/>
      <c r="D125" s="27"/>
      <c r="E125" s="34"/>
      <c r="F125" s="30">
        <f t="shared" si="20"/>
        <v>0</v>
      </c>
      <c r="G125" s="31">
        <v>49365943</v>
      </c>
      <c r="H125" s="27">
        <v>8172295</v>
      </c>
      <c r="I125" s="31">
        <v>49365943</v>
      </c>
      <c r="J125" s="32">
        <f t="shared" si="21"/>
        <v>-49365943</v>
      </c>
      <c r="K125" s="33" t="e">
        <f t="shared" si="18"/>
        <v>#DIV/0!</v>
      </c>
      <c r="L125" s="113">
        <f t="shared" si="19"/>
        <v>0</v>
      </c>
      <c r="M125" s="25" t="s">
        <v>430</v>
      </c>
      <c r="N125" s="26" t="s">
        <v>431</v>
      </c>
      <c r="O125" s="27"/>
      <c r="P125" s="27"/>
      <c r="Q125" s="34"/>
      <c r="R125" s="30">
        <v>0</v>
      </c>
      <c r="S125" s="31">
        <v>14652772</v>
      </c>
      <c r="T125" s="27">
        <v>26540876</v>
      </c>
      <c r="U125" s="31">
        <v>41193648</v>
      </c>
      <c r="V125" s="32">
        <v>-41193648</v>
      </c>
      <c r="W125" s="33" t="e">
        <v>#DIV/0!</v>
      </c>
      <c r="Y125" s="25" t="s">
        <v>430</v>
      </c>
      <c r="Z125" s="26" t="s">
        <v>431</v>
      </c>
      <c r="AA125" s="27"/>
      <c r="AB125" s="27"/>
      <c r="AC125" s="34"/>
      <c r="AD125" s="30">
        <v>0</v>
      </c>
      <c r="AE125" s="31">
        <v>49365943</v>
      </c>
      <c r="AF125" s="27">
        <v>8172295</v>
      </c>
      <c r="AG125" s="31">
        <v>49365943</v>
      </c>
      <c r="AH125" s="32">
        <v>-49365943</v>
      </c>
      <c r="AI125" s="33" t="e">
        <v>#DIV/0!</v>
      </c>
    </row>
    <row r="126" spans="1:35" hidden="1" x14ac:dyDescent="0.25">
      <c r="A126" s="12" t="s">
        <v>432</v>
      </c>
      <c r="B126" s="13" t="s">
        <v>433</v>
      </c>
      <c r="C126" s="14">
        <f>+C127+C142+C144</f>
        <v>81745252610</v>
      </c>
      <c r="D126" s="14">
        <f t="shared" ref="D126:J126" si="35">+D127+D142+D144</f>
        <v>1289139986</v>
      </c>
      <c r="E126" s="14">
        <f t="shared" si="35"/>
        <v>0</v>
      </c>
      <c r="F126" s="14">
        <f t="shared" si="35"/>
        <v>83034392596</v>
      </c>
      <c r="G126" s="14">
        <f t="shared" si="35"/>
        <v>44929290036.32</v>
      </c>
      <c r="H126" s="14">
        <f t="shared" si="35"/>
        <v>5669037887.8400002</v>
      </c>
      <c r="I126" s="14">
        <f t="shared" si="35"/>
        <v>44929290036.32</v>
      </c>
      <c r="J126" s="14">
        <f t="shared" si="35"/>
        <v>38072641043</v>
      </c>
      <c r="K126" s="15">
        <f t="shared" si="18"/>
        <v>0.54109253565473026</v>
      </c>
      <c r="L126" s="113">
        <f t="shared" si="19"/>
        <v>0</v>
      </c>
      <c r="M126" s="12" t="s">
        <v>432</v>
      </c>
      <c r="N126" s="13" t="s">
        <v>433</v>
      </c>
      <c r="O126" s="14">
        <v>81745252610</v>
      </c>
      <c r="P126" s="14">
        <v>1289139986</v>
      </c>
      <c r="Q126" s="14">
        <v>0</v>
      </c>
      <c r="R126" s="14">
        <v>83034392596</v>
      </c>
      <c r="S126" s="14">
        <v>34162645554.48</v>
      </c>
      <c r="T126" s="14">
        <v>8021972438</v>
      </c>
      <c r="U126" s="14">
        <v>42184617992.480003</v>
      </c>
      <c r="V126" s="14">
        <v>40798935609</v>
      </c>
      <c r="W126" s="15">
        <v>0.50803789458336035</v>
      </c>
      <c r="Y126" s="12" t="s">
        <v>432</v>
      </c>
      <c r="Z126" s="13" t="s">
        <v>433</v>
      </c>
      <c r="AA126" s="14">
        <v>81745252610</v>
      </c>
      <c r="AB126" s="14">
        <v>1289139986</v>
      </c>
      <c r="AC126" s="14">
        <v>0</v>
      </c>
      <c r="AD126" s="14">
        <v>83034392596</v>
      </c>
      <c r="AE126" s="14">
        <v>43845786661.32</v>
      </c>
      <c r="AF126" s="14">
        <v>5669037887.8400002</v>
      </c>
      <c r="AG126" s="14">
        <v>43845786661.32</v>
      </c>
      <c r="AH126" s="14">
        <v>39156144418</v>
      </c>
      <c r="AI126" s="15">
        <v>0.52804368515886724</v>
      </c>
    </row>
    <row r="127" spans="1:35" hidden="1" x14ac:dyDescent="0.25">
      <c r="A127" s="16" t="s">
        <v>434</v>
      </c>
      <c r="B127" s="17" t="s">
        <v>435</v>
      </c>
      <c r="C127" s="18">
        <f>+C128</f>
        <v>80649929936</v>
      </c>
      <c r="D127" s="18">
        <f t="shared" ref="D127:J127" si="36">+D128</f>
        <v>399932472</v>
      </c>
      <c r="E127" s="18">
        <f t="shared" si="36"/>
        <v>0</v>
      </c>
      <c r="F127" s="18">
        <f t="shared" si="36"/>
        <v>81049862408</v>
      </c>
      <c r="G127" s="18">
        <f t="shared" si="36"/>
        <v>42835673261.32</v>
      </c>
      <c r="H127" s="18">
        <f t="shared" si="36"/>
        <v>5262200158.8400002</v>
      </c>
      <c r="I127" s="18">
        <f t="shared" si="36"/>
        <v>42835673261.32</v>
      </c>
      <c r="J127" s="18">
        <f t="shared" si="36"/>
        <v>38142961448</v>
      </c>
      <c r="K127" s="19">
        <f t="shared" si="18"/>
        <v>0.52851012930395691</v>
      </c>
      <c r="L127" s="113">
        <f t="shared" si="19"/>
        <v>0</v>
      </c>
      <c r="M127" s="16" t="s">
        <v>434</v>
      </c>
      <c r="N127" s="17" t="s">
        <v>435</v>
      </c>
      <c r="O127" s="18">
        <v>80649929936</v>
      </c>
      <c r="P127" s="18">
        <v>399932472</v>
      </c>
      <c r="Q127" s="18">
        <v>0</v>
      </c>
      <c r="R127" s="18">
        <v>81049862408</v>
      </c>
      <c r="S127" s="18">
        <v>32475866508.48</v>
      </c>
      <c r="T127" s="18">
        <v>8021972438</v>
      </c>
      <c r="U127" s="18">
        <v>40497838946.480003</v>
      </c>
      <c r="V127" s="18">
        <v>40462418285</v>
      </c>
      <c r="W127" s="19">
        <v>0.49966573345450466</v>
      </c>
      <c r="Y127" s="16" t="s">
        <v>434</v>
      </c>
      <c r="Z127" s="17" t="s">
        <v>435</v>
      </c>
      <c r="AA127" s="18">
        <v>80649929936</v>
      </c>
      <c r="AB127" s="18">
        <v>399932472</v>
      </c>
      <c r="AC127" s="18">
        <v>0</v>
      </c>
      <c r="AD127" s="18">
        <v>81049862408</v>
      </c>
      <c r="AE127" s="18">
        <v>41752169886.32</v>
      </c>
      <c r="AF127" s="18">
        <v>5262200158.8400002</v>
      </c>
      <c r="AG127" s="18">
        <v>41752169886.32</v>
      </c>
      <c r="AH127" s="18">
        <v>39226464823</v>
      </c>
      <c r="AI127" s="19">
        <v>0.51514177379033854</v>
      </c>
    </row>
    <row r="128" spans="1:35" hidden="1" x14ac:dyDescent="0.25">
      <c r="A128" s="21" t="s">
        <v>436</v>
      </c>
      <c r="B128" s="22" t="s">
        <v>437</v>
      </c>
      <c r="C128" s="23">
        <f>SUM(C129:C135)+C141</f>
        <v>80649929936</v>
      </c>
      <c r="D128" s="23">
        <f t="shared" ref="D128:J128" si="37">SUM(D129:D135)+D141</f>
        <v>399932472</v>
      </c>
      <c r="E128" s="23">
        <f t="shared" si="37"/>
        <v>0</v>
      </c>
      <c r="F128" s="23">
        <f t="shared" si="37"/>
        <v>81049862408</v>
      </c>
      <c r="G128" s="23">
        <f t="shared" si="37"/>
        <v>42835673261.32</v>
      </c>
      <c r="H128" s="23">
        <f t="shared" si="37"/>
        <v>5262200158.8400002</v>
      </c>
      <c r="I128" s="23">
        <f t="shared" si="37"/>
        <v>42835673261.32</v>
      </c>
      <c r="J128" s="23">
        <f t="shared" si="37"/>
        <v>38142961448</v>
      </c>
      <c r="K128" s="36">
        <f t="shared" si="18"/>
        <v>0.52851012930395691</v>
      </c>
      <c r="L128" s="113">
        <f t="shared" si="19"/>
        <v>0</v>
      </c>
      <c r="M128" s="21" t="s">
        <v>436</v>
      </c>
      <c r="N128" s="22" t="s">
        <v>437</v>
      </c>
      <c r="O128" s="23">
        <v>80649929936</v>
      </c>
      <c r="P128" s="23">
        <v>399932472</v>
      </c>
      <c r="Q128" s="23">
        <v>0</v>
      </c>
      <c r="R128" s="23">
        <v>81049862408</v>
      </c>
      <c r="S128" s="23">
        <v>32475866508.48</v>
      </c>
      <c r="T128" s="23">
        <v>8021972438</v>
      </c>
      <c r="U128" s="23">
        <v>40497838946.480003</v>
      </c>
      <c r="V128" s="23">
        <v>40462418285</v>
      </c>
      <c r="W128" s="36">
        <v>0.49966573345450466</v>
      </c>
      <c r="Y128" s="21" t="s">
        <v>436</v>
      </c>
      <c r="Z128" s="22" t="s">
        <v>437</v>
      </c>
      <c r="AA128" s="23">
        <v>80649929936</v>
      </c>
      <c r="AB128" s="23">
        <v>399932472</v>
      </c>
      <c r="AC128" s="23">
        <v>0</v>
      </c>
      <c r="AD128" s="23">
        <v>81049862408</v>
      </c>
      <c r="AE128" s="23">
        <v>41752169886.32</v>
      </c>
      <c r="AF128" s="23">
        <v>5262200158.8400002</v>
      </c>
      <c r="AG128" s="23">
        <v>41752169886.32</v>
      </c>
      <c r="AH128" s="23">
        <v>39226464823</v>
      </c>
      <c r="AI128" s="36">
        <v>0.51514177379033854</v>
      </c>
    </row>
    <row r="129" spans="1:36" hidden="1" x14ac:dyDescent="0.25">
      <c r="A129" s="25" t="s">
        <v>438</v>
      </c>
      <c r="B129" s="26" t="s">
        <v>439</v>
      </c>
      <c r="C129" s="27">
        <v>62787807977</v>
      </c>
      <c r="D129" s="27"/>
      <c r="E129" s="34"/>
      <c r="F129" s="30">
        <f t="shared" si="20"/>
        <v>62787807977</v>
      </c>
      <c r="G129" s="31">
        <v>36070822971</v>
      </c>
      <c r="H129" s="27">
        <v>4007869219</v>
      </c>
      <c r="I129" s="31">
        <v>36070822971</v>
      </c>
      <c r="J129" s="32">
        <f t="shared" si="21"/>
        <v>26716985006</v>
      </c>
      <c r="K129" s="33">
        <f t="shared" si="18"/>
        <v>0.57448769328295735</v>
      </c>
      <c r="L129" s="113">
        <f t="shared" si="19"/>
        <v>0</v>
      </c>
      <c r="M129" s="25" t="s">
        <v>438</v>
      </c>
      <c r="N129" s="26" t="s">
        <v>439</v>
      </c>
      <c r="O129" s="27">
        <v>62787807977</v>
      </c>
      <c r="P129" s="27"/>
      <c r="Q129" s="34"/>
      <c r="R129" s="30">
        <v>62787807977</v>
      </c>
      <c r="S129" s="31">
        <v>26971581158</v>
      </c>
      <c r="T129" s="27">
        <v>8015738438</v>
      </c>
      <c r="U129" s="31">
        <v>34987319596</v>
      </c>
      <c r="V129" s="32">
        <v>27800488381</v>
      </c>
      <c r="W129" s="33">
        <v>0.55723110462490288</v>
      </c>
      <c r="Y129" s="25" t="s">
        <v>438</v>
      </c>
      <c r="Z129" s="26" t="s">
        <v>439</v>
      </c>
      <c r="AA129" s="27">
        <v>62787807977</v>
      </c>
      <c r="AB129" s="27"/>
      <c r="AC129" s="34"/>
      <c r="AD129" s="30">
        <v>62787807977</v>
      </c>
      <c r="AE129" s="31">
        <v>34987319596</v>
      </c>
      <c r="AF129" s="27">
        <v>4007869219</v>
      </c>
      <c r="AG129" s="31">
        <v>34987319596</v>
      </c>
      <c r="AH129" s="32">
        <v>27800488381</v>
      </c>
      <c r="AI129" s="33">
        <v>0.55723110462490288</v>
      </c>
      <c r="AJ129" s="127">
        <f>+H129*9</f>
        <v>36070822971</v>
      </c>
    </row>
    <row r="130" spans="1:36" hidden="1" x14ac:dyDescent="0.25">
      <c r="A130" s="25" t="s">
        <v>440</v>
      </c>
      <c r="B130" s="26" t="s">
        <v>441</v>
      </c>
      <c r="C130" s="27">
        <v>1334382815</v>
      </c>
      <c r="D130" s="27">
        <f>+[1]INGRESOS_UNIVERSIDADES_V2!E13</f>
        <v>81443507</v>
      </c>
      <c r="E130" s="34"/>
      <c r="F130" s="30">
        <f t="shared" si="20"/>
        <v>1415826322</v>
      </c>
      <c r="G130" s="31">
        <v>1415826322</v>
      </c>
      <c r="H130" s="27"/>
      <c r="I130" s="31">
        <v>1415826322</v>
      </c>
      <c r="J130" s="32">
        <f t="shared" si="21"/>
        <v>0</v>
      </c>
      <c r="K130" s="33">
        <f t="shared" si="18"/>
        <v>1</v>
      </c>
      <c r="L130" s="113">
        <f t="shared" si="19"/>
        <v>0</v>
      </c>
      <c r="M130" s="25" t="s">
        <v>440</v>
      </c>
      <c r="N130" s="26" t="s">
        <v>441</v>
      </c>
      <c r="O130" s="27">
        <v>1334382815</v>
      </c>
      <c r="P130" s="27">
        <v>81443507</v>
      </c>
      <c r="Q130" s="34"/>
      <c r="R130" s="30">
        <v>1415826322</v>
      </c>
      <c r="S130" s="31">
        <v>1415826322</v>
      </c>
      <c r="T130" s="27"/>
      <c r="U130" s="31">
        <v>1415826322</v>
      </c>
      <c r="V130" s="32">
        <v>0</v>
      </c>
      <c r="W130" s="33">
        <v>1</v>
      </c>
      <c r="Y130" s="25" t="s">
        <v>440</v>
      </c>
      <c r="Z130" s="26" t="s">
        <v>441</v>
      </c>
      <c r="AA130" s="27">
        <v>1334382815</v>
      </c>
      <c r="AB130" s="27">
        <v>81443507</v>
      </c>
      <c r="AC130" s="34"/>
      <c r="AD130" s="30">
        <v>1415826322</v>
      </c>
      <c r="AE130" s="31">
        <v>1415826322</v>
      </c>
      <c r="AF130" s="27"/>
      <c r="AG130" s="31">
        <v>1415826322</v>
      </c>
      <c r="AH130" s="32">
        <v>0</v>
      </c>
      <c r="AI130" s="33">
        <v>1</v>
      </c>
      <c r="AJ130" s="174">
        <f>+AJ129-I129</f>
        <v>0</v>
      </c>
    </row>
    <row r="131" spans="1:36" hidden="1" x14ac:dyDescent="0.25">
      <c r="A131" s="25" t="s">
        <v>442</v>
      </c>
      <c r="B131" s="26" t="s">
        <v>443</v>
      </c>
      <c r="C131" s="27">
        <v>956870000</v>
      </c>
      <c r="D131" s="27"/>
      <c r="E131" s="34"/>
      <c r="F131" s="30">
        <f t="shared" si="20"/>
        <v>956870000</v>
      </c>
      <c r="G131" s="31">
        <v>1235953462</v>
      </c>
      <c r="H131" s="27">
        <v>1235953462</v>
      </c>
      <c r="I131" s="31">
        <v>1235953462</v>
      </c>
      <c r="J131" s="32">
        <f t="shared" si="21"/>
        <v>-279083462</v>
      </c>
      <c r="K131" s="33">
        <f t="shared" si="18"/>
        <v>1.2916628821051972</v>
      </c>
      <c r="L131" s="113">
        <f t="shared" si="19"/>
        <v>0</v>
      </c>
      <c r="M131" s="25" t="s">
        <v>442</v>
      </c>
      <c r="N131" s="26" t="s">
        <v>443</v>
      </c>
      <c r="O131" s="27">
        <v>956870000</v>
      </c>
      <c r="P131" s="27"/>
      <c r="Q131" s="34"/>
      <c r="R131" s="30">
        <v>956870000</v>
      </c>
      <c r="S131" s="31"/>
      <c r="T131" s="27"/>
      <c r="U131" s="31"/>
      <c r="V131" s="32">
        <v>956870000</v>
      </c>
      <c r="W131" s="33">
        <v>0</v>
      </c>
      <c r="Y131" s="25" t="s">
        <v>442</v>
      </c>
      <c r="Z131" s="26" t="s">
        <v>443</v>
      </c>
      <c r="AA131" s="27">
        <v>956870000</v>
      </c>
      <c r="AB131" s="27"/>
      <c r="AC131" s="34"/>
      <c r="AD131" s="30">
        <v>956870000</v>
      </c>
      <c r="AE131" s="31">
        <v>1235953462</v>
      </c>
      <c r="AF131" s="27">
        <v>1235953462</v>
      </c>
      <c r="AG131" s="27">
        <v>1235953462</v>
      </c>
      <c r="AH131" s="32">
        <v>-279083462</v>
      </c>
      <c r="AI131" s="33">
        <v>1.2916628821051972</v>
      </c>
      <c r="AJ131" s="2">
        <f>+H129*2</f>
        <v>8015738438</v>
      </c>
    </row>
    <row r="132" spans="1:36" hidden="1" x14ac:dyDescent="0.25">
      <c r="A132" s="25" t="s">
        <v>444</v>
      </c>
      <c r="B132" s="26" t="s">
        <v>445</v>
      </c>
      <c r="C132" s="27">
        <v>2500000000</v>
      </c>
      <c r="D132" s="27">
        <v>318488965</v>
      </c>
      <c r="E132" s="34"/>
      <c r="F132" s="30">
        <f t="shared" si="20"/>
        <v>2818488965</v>
      </c>
      <c r="G132" s="31">
        <v>2818488965</v>
      </c>
      <c r="H132" s="27"/>
      <c r="I132" s="31">
        <v>2818488965</v>
      </c>
      <c r="J132" s="32">
        <f>SUM(F132-I132)</f>
        <v>0</v>
      </c>
      <c r="K132" s="33">
        <f t="shared" si="18"/>
        <v>1</v>
      </c>
      <c r="L132" s="113">
        <f t="shared" si="19"/>
        <v>0</v>
      </c>
      <c r="M132" s="25" t="s">
        <v>444</v>
      </c>
      <c r="N132" s="26" t="s">
        <v>445</v>
      </c>
      <c r="O132" s="27">
        <v>2500000000</v>
      </c>
      <c r="P132" s="27">
        <v>318488965</v>
      </c>
      <c r="Q132" s="34"/>
      <c r="R132" s="30">
        <v>2818488965</v>
      </c>
      <c r="S132" s="31">
        <v>2818488965</v>
      </c>
      <c r="T132" s="27"/>
      <c r="U132" s="31">
        <v>2818488965</v>
      </c>
      <c r="V132" s="32">
        <v>0</v>
      </c>
      <c r="W132" s="33">
        <v>1</v>
      </c>
      <c r="Y132" s="25" t="s">
        <v>444</v>
      </c>
      <c r="Z132" s="26" t="s">
        <v>445</v>
      </c>
      <c r="AA132" s="27">
        <v>2500000000</v>
      </c>
      <c r="AB132" s="27">
        <v>318488965</v>
      </c>
      <c r="AC132" s="34"/>
      <c r="AD132" s="30">
        <v>2818488965</v>
      </c>
      <c r="AE132" s="31">
        <v>2818488965</v>
      </c>
      <c r="AF132" s="27"/>
      <c r="AG132" s="31">
        <v>2818488965</v>
      </c>
      <c r="AH132" s="32">
        <v>0</v>
      </c>
      <c r="AI132" s="33">
        <v>1</v>
      </c>
    </row>
    <row r="133" spans="1:36" hidden="1" x14ac:dyDescent="0.25">
      <c r="A133" s="25" t="s">
        <v>446</v>
      </c>
      <c r="B133" s="26" t="s">
        <v>447</v>
      </c>
      <c r="C133" s="27">
        <v>3200000000</v>
      </c>
      <c r="D133" s="27"/>
      <c r="E133" s="34"/>
      <c r="F133" s="30">
        <f t="shared" si="20"/>
        <v>3200000000</v>
      </c>
      <c r="G133" s="31">
        <v>0</v>
      </c>
      <c r="H133" s="27"/>
      <c r="I133" s="31"/>
      <c r="J133" s="32">
        <f>SUM(F133-I133)</f>
        <v>3200000000</v>
      </c>
      <c r="K133" s="33">
        <f t="shared" si="18"/>
        <v>0</v>
      </c>
      <c r="L133" s="113">
        <f t="shared" si="19"/>
        <v>0</v>
      </c>
      <c r="M133" s="25" t="s">
        <v>446</v>
      </c>
      <c r="N133" s="26" t="s">
        <v>447</v>
      </c>
      <c r="O133" s="27">
        <v>3200000000</v>
      </c>
      <c r="P133" s="27"/>
      <c r="Q133" s="34"/>
      <c r="R133" s="30">
        <v>3200000000</v>
      </c>
      <c r="S133" s="31"/>
      <c r="T133" s="27"/>
      <c r="U133" s="31"/>
      <c r="V133" s="32">
        <v>3200000000</v>
      </c>
      <c r="W133" s="33">
        <v>0</v>
      </c>
      <c r="Y133" s="25" t="s">
        <v>446</v>
      </c>
      <c r="Z133" s="26" t="s">
        <v>447</v>
      </c>
      <c r="AA133" s="27">
        <v>3200000000</v>
      </c>
      <c r="AB133" s="27"/>
      <c r="AC133" s="34"/>
      <c r="AD133" s="30">
        <v>3200000000</v>
      </c>
      <c r="AE133" s="31">
        <v>0</v>
      </c>
      <c r="AF133" s="27"/>
      <c r="AG133" s="31"/>
      <c r="AH133" s="32">
        <v>3200000000</v>
      </c>
      <c r="AI133" s="33">
        <v>0</v>
      </c>
    </row>
    <row r="134" spans="1:36" hidden="1" x14ac:dyDescent="0.25">
      <c r="A134" s="25" t="s">
        <v>448</v>
      </c>
      <c r="B134" s="26" t="s">
        <v>449</v>
      </c>
      <c r="C134" s="27">
        <v>8505059904</v>
      </c>
      <c r="D134" s="27"/>
      <c r="E134" s="34"/>
      <c r="F134" s="30">
        <f t="shared" si="20"/>
        <v>8505059904</v>
      </c>
      <c r="G134" s="31">
        <v>0</v>
      </c>
      <c r="H134" s="27"/>
      <c r="I134" s="31"/>
      <c r="J134" s="32">
        <f>SUM(F134-I134)</f>
        <v>8505059904</v>
      </c>
      <c r="K134" s="33">
        <f t="shared" si="18"/>
        <v>0</v>
      </c>
      <c r="L134" s="113">
        <f t="shared" ref="L134:L180" si="38">+I134-G134</f>
        <v>0</v>
      </c>
      <c r="M134" s="25" t="s">
        <v>448</v>
      </c>
      <c r="N134" s="26" t="s">
        <v>449</v>
      </c>
      <c r="O134" s="27">
        <v>8505059904</v>
      </c>
      <c r="P134" s="27"/>
      <c r="Q134" s="34"/>
      <c r="R134" s="30">
        <v>8505059904</v>
      </c>
      <c r="S134" s="31"/>
      <c r="T134" s="27"/>
      <c r="U134" s="31"/>
      <c r="V134" s="32">
        <v>8505059904</v>
      </c>
      <c r="W134" s="33">
        <v>0</v>
      </c>
      <c r="Y134" s="25" t="s">
        <v>448</v>
      </c>
      <c r="Z134" s="26" t="s">
        <v>449</v>
      </c>
      <c r="AA134" s="27">
        <v>8505059904</v>
      </c>
      <c r="AB134" s="27"/>
      <c r="AC134" s="34"/>
      <c r="AD134" s="30">
        <v>8505059904</v>
      </c>
      <c r="AE134" s="31">
        <v>0</v>
      </c>
      <c r="AF134" s="27"/>
      <c r="AG134" s="31"/>
      <c r="AH134" s="32">
        <v>8505059904</v>
      </c>
      <c r="AI134" s="33">
        <v>0</v>
      </c>
    </row>
    <row r="135" spans="1:36" hidden="1" x14ac:dyDescent="0.25">
      <c r="A135" s="16" t="s">
        <v>450</v>
      </c>
      <c r="B135" s="17" t="s">
        <v>451</v>
      </c>
      <c r="C135" s="18">
        <f>+C136</f>
        <v>1365809240</v>
      </c>
      <c r="D135" s="18">
        <f t="shared" ref="D135:J136" si="39">+D136</f>
        <v>0</v>
      </c>
      <c r="E135" s="18">
        <f t="shared" si="39"/>
        <v>0</v>
      </c>
      <c r="F135" s="18">
        <f t="shared" si="39"/>
        <v>1365809240</v>
      </c>
      <c r="G135" s="18">
        <f t="shared" si="39"/>
        <v>264104883.31999999</v>
      </c>
      <c r="H135" s="18">
        <f t="shared" si="39"/>
        <v>18377477.84</v>
      </c>
      <c r="I135" s="18">
        <f t="shared" si="39"/>
        <v>264104883.31999999</v>
      </c>
      <c r="J135" s="18">
        <f t="shared" si="39"/>
        <v>0</v>
      </c>
      <c r="K135" s="19">
        <f t="shared" si="18"/>
        <v>0.1933687923505335</v>
      </c>
      <c r="L135" s="113">
        <f t="shared" si="38"/>
        <v>0</v>
      </c>
      <c r="M135" s="16" t="s">
        <v>450</v>
      </c>
      <c r="N135" s="17" t="s">
        <v>451</v>
      </c>
      <c r="O135" s="18">
        <v>1365809240</v>
      </c>
      <c r="P135" s="18">
        <v>0</v>
      </c>
      <c r="Q135" s="18">
        <v>0</v>
      </c>
      <c r="R135" s="18">
        <v>1365809240</v>
      </c>
      <c r="S135" s="18">
        <v>239493405.47999999</v>
      </c>
      <c r="T135" s="18">
        <v>6234000</v>
      </c>
      <c r="U135" s="18">
        <v>245727405.47999999</v>
      </c>
      <c r="V135" s="18">
        <v>0</v>
      </c>
      <c r="W135" s="19">
        <v>0.17991341563921473</v>
      </c>
      <c r="Y135" s="16" t="s">
        <v>450</v>
      </c>
      <c r="Z135" s="17" t="s">
        <v>451</v>
      </c>
      <c r="AA135" s="18">
        <v>1365809240</v>
      </c>
      <c r="AB135" s="18">
        <v>0</v>
      </c>
      <c r="AC135" s="18">
        <v>0</v>
      </c>
      <c r="AD135" s="18">
        <v>1365809240</v>
      </c>
      <c r="AE135" s="18">
        <v>264104883.31999999</v>
      </c>
      <c r="AF135" s="18">
        <v>18377477.84</v>
      </c>
      <c r="AG135" s="18">
        <v>264104883.31999999</v>
      </c>
      <c r="AH135" s="18">
        <v>0</v>
      </c>
      <c r="AI135" s="19">
        <v>0.1933687923505335</v>
      </c>
    </row>
    <row r="136" spans="1:36" hidden="1" x14ac:dyDescent="0.25">
      <c r="A136" s="16" t="s">
        <v>452</v>
      </c>
      <c r="B136" s="17" t="s">
        <v>453</v>
      </c>
      <c r="C136" s="18">
        <f>+C137</f>
        <v>1365809240</v>
      </c>
      <c r="D136" s="18">
        <f t="shared" si="39"/>
        <v>0</v>
      </c>
      <c r="E136" s="18">
        <f t="shared" si="39"/>
        <v>0</v>
      </c>
      <c r="F136" s="18">
        <f t="shared" si="39"/>
        <v>1365809240</v>
      </c>
      <c r="G136" s="18">
        <f t="shared" si="39"/>
        <v>264104883.31999999</v>
      </c>
      <c r="H136" s="18">
        <f t="shared" si="39"/>
        <v>18377477.84</v>
      </c>
      <c r="I136" s="18">
        <f t="shared" si="39"/>
        <v>264104883.31999999</v>
      </c>
      <c r="J136" s="18">
        <f t="shared" si="39"/>
        <v>0</v>
      </c>
      <c r="K136" s="19">
        <f t="shared" ref="K136:K180" si="40">+I136/F136</f>
        <v>0.1933687923505335</v>
      </c>
      <c r="L136" s="113">
        <f t="shared" si="38"/>
        <v>0</v>
      </c>
      <c r="M136" s="16" t="s">
        <v>452</v>
      </c>
      <c r="N136" s="17" t="s">
        <v>453</v>
      </c>
      <c r="O136" s="18">
        <v>1365809240</v>
      </c>
      <c r="P136" s="18">
        <v>0</v>
      </c>
      <c r="Q136" s="18">
        <v>0</v>
      </c>
      <c r="R136" s="18">
        <v>1365809240</v>
      </c>
      <c r="S136" s="18">
        <v>239493405.47999999</v>
      </c>
      <c r="T136" s="18">
        <v>6234000</v>
      </c>
      <c r="U136" s="18">
        <v>245727405.47999999</v>
      </c>
      <c r="V136" s="18">
        <v>0</v>
      </c>
      <c r="W136" s="19">
        <v>0.17991341563921473</v>
      </c>
      <c r="Y136" s="16" t="s">
        <v>452</v>
      </c>
      <c r="Z136" s="17" t="s">
        <v>453</v>
      </c>
      <c r="AA136" s="18">
        <v>1365809240</v>
      </c>
      <c r="AB136" s="18">
        <v>0</v>
      </c>
      <c r="AC136" s="18">
        <v>0</v>
      </c>
      <c r="AD136" s="18">
        <v>1365809240</v>
      </c>
      <c r="AE136" s="18">
        <v>264104883.31999999</v>
      </c>
      <c r="AF136" s="18">
        <v>18377477.84</v>
      </c>
      <c r="AG136" s="18">
        <v>264104883.31999999</v>
      </c>
      <c r="AH136" s="18">
        <v>0</v>
      </c>
      <c r="AI136" s="19">
        <v>0.1933687923505335</v>
      </c>
    </row>
    <row r="137" spans="1:36" hidden="1" x14ac:dyDescent="0.25">
      <c r="A137" s="21" t="s">
        <v>454</v>
      </c>
      <c r="B137" s="22" t="s">
        <v>455</v>
      </c>
      <c r="C137" s="23">
        <f>+C138+C139+C140</f>
        <v>1365809240</v>
      </c>
      <c r="D137" s="23">
        <f t="shared" ref="D137:J137" si="41">+D138+D139+D140</f>
        <v>0</v>
      </c>
      <c r="E137" s="23">
        <f t="shared" si="41"/>
        <v>0</v>
      </c>
      <c r="F137" s="23">
        <f t="shared" si="41"/>
        <v>1365809240</v>
      </c>
      <c r="G137" s="23">
        <f t="shared" si="41"/>
        <v>264104883.31999999</v>
      </c>
      <c r="H137" s="23">
        <f t="shared" si="41"/>
        <v>18377477.84</v>
      </c>
      <c r="I137" s="23">
        <f t="shared" si="41"/>
        <v>264104883.31999999</v>
      </c>
      <c r="J137" s="23">
        <f t="shared" si="41"/>
        <v>0</v>
      </c>
      <c r="K137" s="36">
        <f t="shared" si="40"/>
        <v>0.1933687923505335</v>
      </c>
      <c r="L137" s="113">
        <f t="shared" si="38"/>
        <v>0</v>
      </c>
      <c r="M137" s="21" t="s">
        <v>454</v>
      </c>
      <c r="N137" s="22" t="s">
        <v>455</v>
      </c>
      <c r="O137" s="23">
        <v>1365809240</v>
      </c>
      <c r="P137" s="23">
        <v>0</v>
      </c>
      <c r="Q137" s="23">
        <v>0</v>
      </c>
      <c r="R137" s="23">
        <v>1365809240</v>
      </c>
      <c r="S137" s="23">
        <v>239493405.47999999</v>
      </c>
      <c r="T137" s="23">
        <v>6234000</v>
      </c>
      <c r="U137" s="23">
        <v>245727405.47999999</v>
      </c>
      <c r="V137" s="23">
        <v>0</v>
      </c>
      <c r="W137" s="36">
        <v>0.17991341563921473</v>
      </c>
      <c r="Y137" s="21" t="s">
        <v>454</v>
      </c>
      <c r="Z137" s="22" t="s">
        <v>455</v>
      </c>
      <c r="AA137" s="23">
        <v>1365809240</v>
      </c>
      <c r="AB137" s="23">
        <v>0</v>
      </c>
      <c r="AC137" s="23">
        <v>0</v>
      </c>
      <c r="AD137" s="23">
        <v>1365809240</v>
      </c>
      <c r="AE137" s="23">
        <v>264104883.31999999</v>
      </c>
      <c r="AF137" s="23">
        <v>18377477.84</v>
      </c>
      <c r="AG137" s="23">
        <v>264104883.31999999</v>
      </c>
      <c r="AH137" s="23">
        <v>0</v>
      </c>
      <c r="AI137" s="36">
        <v>0.1933687923505335</v>
      </c>
    </row>
    <row r="138" spans="1:36" hidden="1" x14ac:dyDescent="0.25">
      <c r="A138" s="25" t="s">
        <v>456</v>
      </c>
      <c r="B138" s="26" t="s">
        <v>457</v>
      </c>
      <c r="C138" s="27">
        <v>515924814</v>
      </c>
      <c r="D138" s="27"/>
      <c r="E138" s="34"/>
      <c r="F138" s="30">
        <f t="shared" si="20"/>
        <v>515924814</v>
      </c>
      <c r="G138" s="31">
        <v>264104883.31999999</v>
      </c>
      <c r="H138" s="27">
        <v>18377477.84</v>
      </c>
      <c r="I138" s="31">
        <v>264104883.31999999</v>
      </c>
      <c r="J138" s="32"/>
      <c r="K138" s="33">
        <f t="shared" si="40"/>
        <v>0.51190575865575638</v>
      </c>
      <c r="L138" s="113">
        <f t="shared" si="38"/>
        <v>0</v>
      </c>
      <c r="M138" s="25" t="s">
        <v>456</v>
      </c>
      <c r="N138" s="26" t="s">
        <v>457</v>
      </c>
      <c r="O138" s="27">
        <v>515924814</v>
      </c>
      <c r="P138" s="27"/>
      <c r="Q138" s="34"/>
      <c r="R138" s="30">
        <v>515924814</v>
      </c>
      <c r="S138" s="31">
        <v>239493405.47999999</v>
      </c>
      <c r="T138" s="27">
        <v>6234000</v>
      </c>
      <c r="U138" s="31">
        <v>245727405.47999999</v>
      </c>
      <c r="V138" s="32"/>
      <c r="W138" s="33">
        <v>0.47628530129198243</v>
      </c>
      <c r="Y138" s="25" t="s">
        <v>456</v>
      </c>
      <c r="Z138" s="26" t="s">
        <v>457</v>
      </c>
      <c r="AA138" s="27">
        <v>515924814</v>
      </c>
      <c r="AB138" s="27"/>
      <c r="AC138" s="34"/>
      <c r="AD138" s="30">
        <v>515924814</v>
      </c>
      <c r="AE138" s="31">
        <v>264104883.31999999</v>
      </c>
      <c r="AF138" s="27">
        <v>18377477.84</v>
      </c>
      <c r="AG138" s="31">
        <v>264104883.31999999</v>
      </c>
      <c r="AH138" s="32"/>
      <c r="AI138" s="33">
        <v>0.51190575865575638</v>
      </c>
    </row>
    <row r="139" spans="1:36" hidden="1" x14ac:dyDescent="0.25">
      <c r="A139" s="25" t="s">
        <v>458</v>
      </c>
      <c r="B139" s="26" t="s">
        <v>459</v>
      </c>
      <c r="C139" s="27">
        <v>474667785</v>
      </c>
      <c r="D139" s="27"/>
      <c r="E139" s="34"/>
      <c r="F139" s="30">
        <f t="shared" si="20"/>
        <v>474667785</v>
      </c>
      <c r="G139" s="31">
        <v>0</v>
      </c>
      <c r="H139" s="27"/>
      <c r="I139" s="31"/>
      <c r="J139" s="32"/>
      <c r="K139" s="33">
        <f t="shared" si="40"/>
        <v>0</v>
      </c>
      <c r="L139" s="113">
        <f t="shared" si="38"/>
        <v>0</v>
      </c>
      <c r="M139" s="25" t="s">
        <v>458</v>
      </c>
      <c r="N139" s="26" t="s">
        <v>459</v>
      </c>
      <c r="O139" s="27">
        <v>474667785</v>
      </c>
      <c r="P139" s="27"/>
      <c r="Q139" s="34"/>
      <c r="R139" s="30">
        <v>474667785</v>
      </c>
      <c r="S139" s="31"/>
      <c r="T139" s="27"/>
      <c r="U139" s="31"/>
      <c r="V139" s="32"/>
      <c r="W139" s="33">
        <v>0</v>
      </c>
      <c r="Y139" s="25" t="s">
        <v>458</v>
      </c>
      <c r="Z139" s="26" t="s">
        <v>459</v>
      </c>
      <c r="AA139" s="27">
        <v>474667785</v>
      </c>
      <c r="AB139" s="27"/>
      <c r="AC139" s="34"/>
      <c r="AD139" s="30">
        <v>474667785</v>
      </c>
      <c r="AE139" s="31">
        <v>0</v>
      </c>
      <c r="AF139" s="27"/>
      <c r="AG139" s="31"/>
      <c r="AH139" s="32"/>
      <c r="AI139" s="33">
        <v>0</v>
      </c>
    </row>
    <row r="140" spans="1:36" hidden="1" x14ac:dyDescent="0.25">
      <c r="A140" s="25" t="s">
        <v>460</v>
      </c>
      <c r="B140" s="26" t="s">
        <v>461</v>
      </c>
      <c r="C140" s="27">
        <v>375216641</v>
      </c>
      <c r="D140" s="27"/>
      <c r="E140" s="34"/>
      <c r="F140" s="30">
        <f t="shared" si="20"/>
        <v>375216641</v>
      </c>
      <c r="G140" s="31">
        <v>0</v>
      </c>
      <c r="H140" s="27"/>
      <c r="I140" s="31"/>
      <c r="J140" s="32"/>
      <c r="K140" s="33">
        <f t="shared" si="40"/>
        <v>0</v>
      </c>
      <c r="L140" s="113">
        <f t="shared" si="38"/>
        <v>0</v>
      </c>
      <c r="M140" s="25" t="s">
        <v>460</v>
      </c>
      <c r="N140" s="26" t="s">
        <v>461</v>
      </c>
      <c r="O140" s="27">
        <v>375216641</v>
      </c>
      <c r="P140" s="27"/>
      <c r="Q140" s="34"/>
      <c r="R140" s="30">
        <v>375216641</v>
      </c>
      <c r="S140" s="31"/>
      <c r="T140" s="27"/>
      <c r="U140" s="31"/>
      <c r="V140" s="32"/>
      <c r="W140" s="33">
        <v>0</v>
      </c>
      <c r="Y140" s="25" t="s">
        <v>460</v>
      </c>
      <c r="Z140" s="26" t="s">
        <v>461</v>
      </c>
      <c r="AA140" s="27">
        <v>375216641</v>
      </c>
      <c r="AB140" s="27"/>
      <c r="AC140" s="34"/>
      <c r="AD140" s="30">
        <v>375216641</v>
      </c>
      <c r="AE140" s="31">
        <v>0</v>
      </c>
      <c r="AF140" s="27"/>
      <c r="AG140" s="31"/>
      <c r="AH140" s="32"/>
      <c r="AI140" s="33">
        <v>0</v>
      </c>
    </row>
    <row r="141" spans="1:36" hidden="1" x14ac:dyDescent="0.25">
      <c r="A141" s="16" t="s">
        <v>887</v>
      </c>
      <c r="B141" s="17" t="s">
        <v>888</v>
      </c>
      <c r="C141" s="18"/>
      <c r="D141" s="18"/>
      <c r="E141" s="18"/>
      <c r="F141" s="18"/>
      <c r="G141" s="18">
        <v>1030476658</v>
      </c>
      <c r="H141" s="18"/>
      <c r="I141" s="18">
        <v>1030476658</v>
      </c>
      <c r="J141" s="18"/>
      <c r="K141" s="19"/>
      <c r="L141" s="113">
        <f t="shared" si="38"/>
        <v>0</v>
      </c>
      <c r="M141" s="16" t="s">
        <v>887</v>
      </c>
      <c r="N141" s="17" t="s">
        <v>888</v>
      </c>
      <c r="O141" s="18"/>
      <c r="P141" s="18"/>
      <c r="Q141" s="18"/>
      <c r="R141" s="18"/>
      <c r="S141" s="18">
        <v>1030476658</v>
      </c>
      <c r="T141" s="18"/>
      <c r="U141" s="18">
        <v>1030476658</v>
      </c>
      <c r="V141" s="18"/>
      <c r="W141" s="19"/>
      <c r="Y141" s="16" t="s">
        <v>887</v>
      </c>
      <c r="Z141" s="17" t="s">
        <v>888</v>
      </c>
      <c r="AA141" s="18"/>
      <c r="AB141" s="18"/>
      <c r="AC141" s="18"/>
      <c r="AD141" s="18"/>
      <c r="AE141" s="18">
        <v>1030476658</v>
      </c>
      <c r="AF141" s="18"/>
      <c r="AG141" s="18">
        <v>1030476658</v>
      </c>
      <c r="AH141" s="18"/>
      <c r="AI141" s="19"/>
    </row>
    <row r="142" spans="1:36" hidden="1" x14ac:dyDescent="0.25">
      <c r="A142" s="16" t="s">
        <v>462</v>
      </c>
      <c r="B142" s="17" t="s">
        <v>463</v>
      </c>
      <c r="C142" s="18">
        <f>+C143</f>
        <v>1095322674</v>
      </c>
      <c r="D142" s="18">
        <f t="shared" ref="D142:J142" si="42">+D143</f>
        <v>0</v>
      </c>
      <c r="E142" s="18">
        <f t="shared" si="42"/>
        <v>0</v>
      </c>
      <c r="F142" s="18">
        <f t="shared" si="42"/>
        <v>1095322674</v>
      </c>
      <c r="G142" s="18">
        <f t="shared" si="42"/>
        <v>1165643079</v>
      </c>
      <c r="H142" s="18">
        <f t="shared" si="42"/>
        <v>406837729</v>
      </c>
      <c r="I142" s="18">
        <f t="shared" si="42"/>
        <v>1165643079</v>
      </c>
      <c r="J142" s="18">
        <f t="shared" si="42"/>
        <v>-70320405</v>
      </c>
      <c r="K142" s="19">
        <f t="shared" si="40"/>
        <v>1.0642006293389303</v>
      </c>
      <c r="L142" s="113">
        <f t="shared" si="38"/>
        <v>0</v>
      </c>
      <c r="M142" s="16" t="s">
        <v>462</v>
      </c>
      <c r="N142" s="17" t="s">
        <v>463</v>
      </c>
      <c r="O142" s="18">
        <v>1095322674</v>
      </c>
      <c r="P142" s="18">
        <v>0</v>
      </c>
      <c r="Q142" s="18">
        <v>0</v>
      </c>
      <c r="R142" s="18">
        <v>1095322674</v>
      </c>
      <c r="S142" s="18">
        <v>758805350</v>
      </c>
      <c r="T142" s="18">
        <v>0</v>
      </c>
      <c r="U142" s="18">
        <v>758805350</v>
      </c>
      <c r="V142" s="18">
        <v>336517324</v>
      </c>
      <c r="W142" s="19">
        <v>0.6927687776506305</v>
      </c>
      <c r="Y142" s="16" t="s">
        <v>462</v>
      </c>
      <c r="Z142" s="17" t="s">
        <v>463</v>
      </c>
      <c r="AA142" s="18">
        <v>1095322674</v>
      </c>
      <c r="AB142" s="18">
        <v>889207514</v>
      </c>
      <c r="AC142" s="18">
        <v>0</v>
      </c>
      <c r="AD142" s="18">
        <v>1095322674</v>
      </c>
      <c r="AE142" s="18">
        <v>1165643079</v>
      </c>
      <c r="AF142" s="18">
        <v>406837729</v>
      </c>
      <c r="AG142" s="18">
        <v>1165643079</v>
      </c>
      <c r="AH142" s="18">
        <v>-70320405</v>
      </c>
      <c r="AI142" s="19">
        <v>1.0642006293389303</v>
      </c>
    </row>
    <row r="143" spans="1:36" hidden="1" x14ac:dyDescent="0.25">
      <c r="A143" s="25" t="s">
        <v>464</v>
      </c>
      <c r="B143" s="26" t="s">
        <v>465</v>
      </c>
      <c r="C143" s="27">
        <v>1095322674</v>
      </c>
      <c r="D143" s="27"/>
      <c r="E143" s="34"/>
      <c r="F143" s="30">
        <f t="shared" si="20"/>
        <v>1095322674</v>
      </c>
      <c r="G143" s="31">
        <v>1165643079</v>
      </c>
      <c r="H143" s="27">
        <v>406837729</v>
      </c>
      <c r="I143" s="31">
        <v>1165643079</v>
      </c>
      <c r="J143" s="32">
        <f>SUM(F143-I143)</f>
        <v>-70320405</v>
      </c>
      <c r="K143" s="33">
        <f t="shared" si="40"/>
        <v>1.0642006293389303</v>
      </c>
      <c r="L143" s="113">
        <f t="shared" si="38"/>
        <v>0</v>
      </c>
      <c r="M143" s="25" t="s">
        <v>464</v>
      </c>
      <c r="N143" s="26" t="s">
        <v>465</v>
      </c>
      <c r="O143" s="27">
        <v>1095322674</v>
      </c>
      <c r="P143" s="27"/>
      <c r="Q143" s="34"/>
      <c r="R143" s="30">
        <v>1095322674</v>
      </c>
      <c r="S143" s="31">
        <v>758805350</v>
      </c>
      <c r="T143" s="27"/>
      <c r="U143" s="31">
        <v>758805350</v>
      </c>
      <c r="V143" s="32">
        <v>336517324</v>
      </c>
      <c r="W143" s="33">
        <v>0.6927687776506305</v>
      </c>
      <c r="Y143" s="25" t="s">
        <v>464</v>
      </c>
      <c r="Z143" s="26" t="s">
        <v>465</v>
      </c>
      <c r="AA143" s="27">
        <v>1095322674</v>
      </c>
      <c r="AB143" s="27"/>
      <c r="AC143" s="34"/>
      <c r="AD143" s="30">
        <v>1095322674</v>
      </c>
      <c r="AE143" s="31">
        <v>1165643079</v>
      </c>
      <c r="AF143" s="27">
        <v>406837729</v>
      </c>
      <c r="AG143" s="31">
        <v>1165643079</v>
      </c>
      <c r="AH143" s="32">
        <v>-70320405</v>
      </c>
      <c r="AI143" s="33">
        <v>1.0642006293389303</v>
      </c>
    </row>
    <row r="144" spans="1:36" hidden="1" x14ac:dyDescent="0.25">
      <c r="A144" s="16" t="s">
        <v>466</v>
      </c>
      <c r="B144" s="17" t="s">
        <v>467</v>
      </c>
      <c r="C144" s="18">
        <f>+C145</f>
        <v>0</v>
      </c>
      <c r="D144" s="18">
        <f t="shared" ref="D144:J145" si="43">+D145</f>
        <v>889207514</v>
      </c>
      <c r="E144" s="18">
        <f t="shared" si="43"/>
        <v>0</v>
      </c>
      <c r="F144" s="18">
        <f t="shared" si="43"/>
        <v>889207514</v>
      </c>
      <c r="G144" s="18">
        <f t="shared" si="43"/>
        <v>927973696</v>
      </c>
      <c r="H144" s="18">
        <f t="shared" si="43"/>
        <v>0</v>
      </c>
      <c r="I144" s="18">
        <f t="shared" si="43"/>
        <v>927973696</v>
      </c>
      <c r="J144" s="18">
        <f t="shared" si="43"/>
        <v>0</v>
      </c>
      <c r="K144" s="19">
        <f t="shared" si="40"/>
        <v>1.043596327504718</v>
      </c>
      <c r="L144" s="113">
        <f t="shared" si="38"/>
        <v>0</v>
      </c>
      <c r="M144" s="16" t="s">
        <v>466</v>
      </c>
      <c r="N144" s="17" t="s">
        <v>467</v>
      </c>
      <c r="O144" s="18">
        <v>0</v>
      </c>
      <c r="P144" s="18">
        <v>889207514</v>
      </c>
      <c r="Q144" s="18">
        <v>0</v>
      </c>
      <c r="R144" s="18">
        <v>889207514</v>
      </c>
      <c r="S144" s="18">
        <v>927973696</v>
      </c>
      <c r="T144" s="18">
        <v>0</v>
      </c>
      <c r="U144" s="18">
        <v>927973696</v>
      </c>
      <c r="V144" s="18">
        <v>0</v>
      </c>
      <c r="W144" s="19">
        <v>1.043596327504718</v>
      </c>
      <c r="Y144" s="16" t="s">
        <v>466</v>
      </c>
      <c r="Z144" s="17" t="s">
        <v>467</v>
      </c>
      <c r="AA144" s="18">
        <v>0</v>
      </c>
      <c r="AB144" s="18">
        <v>0</v>
      </c>
      <c r="AC144" s="18">
        <v>0</v>
      </c>
      <c r="AD144" s="18">
        <v>889207514</v>
      </c>
      <c r="AE144" s="18">
        <v>927973696</v>
      </c>
      <c r="AF144" s="18">
        <v>0</v>
      </c>
      <c r="AG144" s="18">
        <v>927973696</v>
      </c>
      <c r="AH144" s="18">
        <v>0</v>
      </c>
      <c r="AI144" s="19">
        <v>1.043596327504718</v>
      </c>
    </row>
    <row r="145" spans="1:35" hidden="1" x14ac:dyDescent="0.25">
      <c r="A145" s="16" t="s">
        <v>468</v>
      </c>
      <c r="B145" s="17" t="s">
        <v>469</v>
      </c>
      <c r="C145" s="18">
        <f>+C146</f>
        <v>0</v>
      </c>
      <c r="D145" s="18">
        <f t="shared" si="43"/>
        <v>889207514</v>
      </c>
      <c r="E145" s="18">
        <f t="shared" si="43"/>
        <v>0</v>
      </c>
      <c r="F145" s="18">
        <f t="shared" si="43"/>
        <v>889207514</v>
      </c>
      <c r="G145" s="18">
        <f t="shared" si="43"/>
        <v>927973696</v>
      </c>
      <c r="H145" s="18">
        <f t="shared" si="43"/>
        <v>0</v>
      </c>
      <c r="I145" s="18">
        <f t="shared" si="43"/>
        <v>927973696</v>
      </c>
      <c r="J145" s="18">
        <f t="shared" si="43"/>
        <v>0</v>
      </c>
      <c r="K145" s="19">
        <f t="shared" si="40"/>
        <v>1.043596327504718</v>
      </c>
      <c r="L145" s="113">
        <f t="shared" si="38"/>
        <v>0</v>
      </c>
      <c r="M145" s="16" t="s">
        <v>468</v>
      </c>
      <c r="N145" s="17" t="s">
        <v>469</v>
      </c>
      <c r="O145" s="18">
        <v>0</v>
      </c>
      <c r="P145" s="18">
        <v>889207514</v>
      </c>
      <c r="Q145" s="18">
        <v>0</v>
      </c>
      <c r="R145" s="18">
        <v>889207514</v>
      </c>
      <c r="S145" s="18">
        <v>927973696</v>
      </c>
      <c r="T145" s="18">
        <v>0</v>
      </c>
      <c r="U145" s="18">
        <v>927973696</v>
      </c>
      <c r="V145" s="18">
        <v>0</v>
      </c>
      <c r="W145" s="19">
        <v>1.043596327504718</v>
      </c>
      <c r="Y145" s="16" t="s">
        <v>468</v>
      </c>
      <c r="Z145" s="17" t="s">
        <v>469</v>
      </c>
      <c r="AA145" s="18">
        <v>0</v>
      </c>
      <c r="AB145" s="18"/>
      <c r="AC145" s="18">
        <v>0</v>
      </c>
      <c r="AD145" s="18">
        <v>889207514</v>
      </c>
      <c r="AE145" s="18">
        <v>927973696</v>
      </c>
      <c r="AF145" s="18">
        <v>0</v>
      </c>
      <c r="AG145" s="18">
        <v>927973696</v>
      </c>
      <c r="AH145" s="18">
        <v>0</v>
      </c>
      <c r="AI145" s="19">
        <v>1.043596327504718</v>
      </c>
    </row>
    <row r="146" spans="1:35" hidden="1" x14ac:dyDescent="0.25">
      <c r="A146" s="21" t="s">
        <v>470</v>
      </c>
      <c r="B146" s="22" t="s">
        <v>471</v>
      </c>
      <c r="C146" s="23">
        <f>SUM(C147:C159)</f>
        <v>0</v>
      </c>
      <c r="D146" s="23">
        <f t="shared" ref="D146:J146" si="44">SUM(D147:D159)</f>
        <v>889207514</v>
      </c>
      <c r="E146" s="23">
        <f t="shared" si="44"/>
        <v>0</v>
      </c>
      <c r="F146" s="23">
        <f t="shared" si="44"/>
        <v>889207514</v>
      </c>
      <c r="G146" s="23">
        <f t="shared" si="44"/>
        <v>927973696</v>
      </c>
      <c r="H146" s="23">
        <f t="shared" si="44"/>
        <v>0</v>
      </c>
      <c r="I146" s="23">
        <f t="shared" si="44"/>
        <v>927973696</v>
      </c>
      <c r="J146" s="23">
        <f t="shared" si="44"/>
        <v>0</v>
      </c>
      <c r="K146" s="24">
        <f t="shared" si="40"/>
        <v>1.043596327504718</v>
      </c>
      <c r="L146" s="113">
        <f t="shared" si="38"/>
        <v>0</v>
      </c>
      <c r="M146" s="21" t="s">
        <v>470</v>
      </c>
      <c r="N146" s="22" t="s">
        <v>471</v>
      </c>
      <c r="O146" s="23">
        <v>0</v>
      </c>
      <c r="P146" s="23">
        <v>889207514</v>
      </c>
      <c r="Q146" s="23">
        <v>0</v>
      </c>
      <c r="R146" s="23">
        <v>889207514</v>
      </c>
      <c r="S146" s="23">
        <v>927973696</v>
      </c>
      <c r="T146" s="23">
        <v>0</v>
      </c>
      <c r="U146" s="23">
        <v>927973696</v>
      </c>
      <c r="V146" s="23">
        <v>0</v>
      </c>
      <c r="W146" s="24">
        <v>1.043596327504718</v>
      </c>
      <c r="Y146" s="21" t="s">
        <v>470</v>
      </c>
      <c r="Z146" s="22" t="s">
        <v>471</v>
      </c>
      <c r="AA146" s="23">
        <v>0</v>
      </c>
      <c r="AB146" s="23">
        <v>889207514</v>
      </c>
      <c r="AC146" s="23">
        <v>0</v>
      </c>
      <c r="AD146" s="23">
        <v>889207514</v>
      </c>
      <c r="AE146" s="23">
        <v>927973696</v>
      </c>
      <c r="AF146" s="23">
        <v>0</v>
      </c>
      <c r="AG146" s="23">
        <v>927973696</v>
      </c>
      <c r="AH146" s="23">
        <v>0</v>
      </c>
      <c r="AI146" s="24">
        <v>1.043596327504718</v>
      </c>
    </row>
    <row r="147" spans="1:35" hidden="1" x14ac:dyDescent="0.25">
      <c r="A147" s="25">
        <v>112670102</v>
      </c>
      <c r="B147" s="26" t="s">
        <v>472</v>
      </c>
      <c r="C147" s="27"/>
      <c r="D147" s="27">
        <v>267934973</v>
      </c>
      <c r="E147" s="34"/>
      <c r="F147" s="30">
        <f t="shared" si="20"/>
        <v>267934973</v>
      </c>
      <c r="G147" s="31">
        <v>267934973</v>
      </c>
      <c r="H147" s="27"/>
      <c r="I147" s="31">
        <v>267934973</v>
      </c>
      <c r="J147" s="32">
        <f>SUM(F147-I147)</f>
        <v>0</v>
      </c>
      <c r="K147" s="33">
        <f t="shared" si="40"/>
        <v>1</v>
      </c>
      <c r="L147" s="113">
        <f t="shared" si="38"/>
        <v>0</v>
      </c>
      <c r="M147" s="25">
        <v>112670102</v>
      </c>
      <c r="N147" s="26" t="s">
        <v>472</v>
      </c>
      <c r="O147" s="27"/>
      <c r="P147" s="27">
        <v>267934973</v>
      </c>
      <c r="Q147" s="34"/>
      <c r="R147" s="30">
        <v>267934973</v>
      </c>
      <c r="S147" s="31">
        <v>267934973</v>
      </c>
      <c r="T147" s="27"/>
      <c r="U147" s="31">
        <v>267934973</v>
      </c>
      <c r="V147" s="32">
        <v>0</v>
      </c>
      <c r="W147" s="33">
        <v>1</v>
      </c>
      <c r="Y147" s="25">
        <v>112670102</v>
      </c>
      <c r="Z147" s="26" t="s">
        <v>472</v>
      </c>
      <c r="AA147" s="27"/>
      <c r="AB147" s="27">
        <v>267934973</v>
      </c>
      <c r="AC147" s="34"/>
      <c r="AD147" s="30">
        <v>267934973</v>
      </c>
      <c r="AE147" s="31">
        <v>267934973</v>
      </c>
      <c r="AF147" s="27"/>
      <c r="AG147" s="31">
        <v>267934973</v>
      </c>
      <c r="AH147" s="32">
        <v>0</v>
      </c>
      <c r="AI147" s="33">
        <v>1</v>
      </c>
    </row>
    <row r="148" spans="1:35" hidden="1" x14ac:dyDescent="0.25">
      <c r="A148" s="25">
        <v>112670103</v>
      </c>
      <c r="B148" s="26" t="s">
        <v>858</v>
      </c>
      <c r="C148" s="27"/>
      <c r="D148" s="27"/>
      <c r="E148" s="34"/>
      <c r="F148" s="30">
        <f t="shared" si="20"/>
        <v>0</v>
      </c>
      <c r="G148" s="31">
        <v>0</v>
      </c>
      <c r="H148" s="27"/>
      <c r="I148" s="31"/>
      <c r="J148" s="32"/>
      <c r="K148" s="33" t="e">
        <f t="shared" si="40"/>
        <v>#DIV/0!</v>
      </c>
      <c r="L148" s="113">
        <f t="shared" si="38"/>
        <v>0</v>
      </c>
      <c r="M148" s="25">
        <v>112670103</v>
      </c>
      <c r="N148" s="26" t="s">
        <v>858</v>
      </c>
      <c r="O148" s="27"/>
      <c r="P148" s="27"/>
      <c r="Q148" s="34"/>
      <c r="R148" s="30">
        <v>0</v>
      </c>
      <c r="S148" s="31"/>
      <c r="T148" s="27"/>
      <c r="U148" s="31"/>
      <c r="V148" s="32"/>
      <c r="W148" s="33" t="e">
        <v>#DIV/0!</v>
      </c>
      <c r="Y148" s="25">
        <v>112670103</v>
      </c>
      <c r="Z148" s="26" t="s">
        <v>858</v>
      </c>
      <c r="AA148" s="27"/>
      <c r="AB148" s="27"/>
      <c r="AC148" s="34"/>
      <c r="AD148" s="30">
        <v>0</v>
      </c>
      <c r="AE148" s="31">
        <v>0</v>
      </c>
      <c r="AF148" s="27"/>
      <c r="AG148" s="31"/>
      <c r="AH148" s="32"/>
      <c r="AI148" s="33" t="e">
        <v>#DIV/0!</v>
      </c>
    </row>
    <row r="149" spans="1:35" hidden="1" x14ac:dyDescent="0.25">
      <c r="A149" s="25">
        <v>112670104</v>
      </c>
      <c r="B149" s="26" t="s">
        <v>859</v>
      </c>
      <c r="C149" s="27"/>
      <c r="D149" s="27"/>
      <c r="E149" s="34"/>
      <c r="F149" s="30">
        <f t="shared" ref="F149:F159" si="45">+C149+D149</f>
        <v>0</v>
      </c>
      <c r="G149" s="31">
        <v>1397800</v>
      </c>
      <c r="H149" s="27"/>
      <c r="I149" s="31">
        <v>1397800</v>
      </c>
      <c r="J149" s="32"/>
      <c r="K149" s="33" t="e">
        <f t="shared" si="40"/>
        <v>#DIV/0!</v>
      </c>
      <c r="L149" s="113">
        <f t="shared" si="38"/>
        <v>0</v>
      </c>
      <c r="M149" s="25">
        <v>112670104</v>
      </c>
      <c r="N149" s="26" t="s">
        <v>859</v>
      </c>
      <c r="O149" s="27"/>
      <c r="P149" s="27"/>
      <c r="Q149" s="34"/>
      <c r="R149" s="30">
        <v>0</v>
      </c>
      <c r="S149" s="31">
        <v>1397800</v>
      </c>
      <c r="T149" s="27"/>
      <c r="U149" s="31">
        <v>1397800</v>
      </c>
      <c r="V149" s="32"/>
      <c r="W149" s="33" t="e">
        <v>#DIV/0!</v>
      </c>
      <c r="Y149" s="25">
        <v>112670104</v>
      </c>
      <c r="Z149" s="26" t="s">
        <v>859</v>
      </c>
      <c r="AA149" s="27"/>
      <c r="AB149" s="27"/>
      <c r="AC149" s="34"/>
      <c r="AD149" s="30">
        <v>0</v>
      </c>
      <c r="AE149" s="31">
        <v>1397800</v>
      </c>
      <c r="AF149" s="27"/>
      <c r="AG149" s="31">
        <v>1397800</v>
      </c>
      <c r="AH149" s="32"/>
      <c r="AI149" s="33" t="e">
        <v>#DIV/0!</v>
      </c>
    </row>
    <row r="150" spans="1:35" hidden="1" x14ac:dyDescent="0.25">
      <c r="A150" s="25">
        <v>112670105</v>
      </c>
      <c r="B150" s="26" t="s">
        <v>860</v>
      </c>
      <c r="C150" s="27"/>
      <c r="D150" s="27">
        <v>450000000</v>
      </c>
      <c r="E150" s="34"/>
      <c r="F150" s="30">
        <f t="shared" si="45"/>
        <v>450000000</v>
      </c>
      <c r="G150" s="31">
        <v>450000000</v>
      </c>
      <c r="H150" s="27"/>
      <c r="I150" s="31">
        <v>450000000</v>
      </c>
      <c r="J150" s="32"/>
      <c r="K150" s="33">
        <f t="shared" si="40"/>
        <v>1</v>
      </c>
      <c r="L150" s="113">
        <f t="shared" si="38"/>
        <v>0</v>
      </c>
      <c r="M150" s="25">
        <v>112670105</v>
      </c>
      <c r="N150" s="26" t="s">
        <v>860</v>
      </c>
      <c r="O150" s="27"/>
      <c r="P150" s="27">
        <v>450000000</v>
      </c>
      <c r="Q150" s="34"/>
      <c r="R150" s="30">
        <v>450000000</v>
      </c>
      <c r="S150" s="31">
        <v>450000000</v>
      </c>
      <c r="T150" s="27"/>
      <c r="U150" s="31">
        <v>450000000</v>
      </c>
      <c r="V150" s="32"/>
      <c r="W150" s="33">
        <v>1</v>
      </c>
      <c r="Y150" s="25">
        <v>112670105</v>
      </c>
      <c r="Z150" s="26" t="s">
        <v>860</v>
      </c>
      <c r="AA150" s="27"/>
      <c r="AB150" s="27">
        <v>450000000</v>
      </c>
      <c r="AC150" s="34"/>
      <c r="AD150" s="30">
        <v>450000000</v>
      </c>
      <c r="AE150" s="31">
        <v>450000000</v>
      </c>
      <c r="AF150" s="27"/>
      <c r="AG150" s="31">
        <v>450000000</v>
      </c>
      <c r="AH150" s="32"/>
      <c r="AI150" s="33">
        <v>1</v>
      </c>
    </row>
    <row r="151" spans="1:35" hidden="1" x14ac:dyDescent="0.25">
      <c r="A151" s="25">
        <v>112670106</v>
      </c>
      <c r="B151" s="26" t="s">
        <v>861</v>
      </c>
      <c r="C151" s="27"/>
      <c r="D151" s="27"/>
      <c r="E151" s="34"/>
      <c r="F151" s="30">
        <f t="shared" si="45"/>
        <v>0</v>
      </c>
      <c r="G151" s="31">
        <v>0</v>
      </c>
      <c r="H151" s="27"/>
      <c r="I151" s="31"/>
      <c r="J151" s="32"/>
      <c r="K151" s="33" t="e">
        <f t="shared" si="40"/>
        <v>#DIV/0!</v>
      </c>
      <c r="L151" s="113">
        <f t="shared" si="38"/>
        <v>0</v>
      </c>
      <c r="M151" s="25">
        <v>112670106</v>
      </c>
      <c r="N151" s="26" t="s">
        <v>861</v>
      </c>
      <c r="O151" s="27"/>
      <c r="P151" s="27"/>
      <c r="Q151" s="34"/>
      <c r="R151" s="30">
        <v>0</v>
      </c>
      <c r="S151" s="31"/>
      <c r="T151" s="27"/>
      <c r="U151" s="31"/>
      <c r="V151" s="32"/>
      <c r="W151" s="33" t="e">
        <v>#DIV/0!</v>
      </c>
      <c r="Y151" s="25">
        <v>112670106</v>
      </c>
      <c r="Z151" s="26" t="s">
        <v>861</v>
      </c>
      <c r="AA151" s="27"/>
      <c r="AB151" s="27"/>
      <c r="AC151" s="34"/>
      <c r="AD151" s="30">
        <v>0</v>
      </c>
      <c r="AE151" s="31">
        <v>0</v>
      </c>
      <c r="AF151" s="27"/>
      <c r="AG151" s="31"/>
      <c r="AH151" s="32"/>
      <c r="AI151" s="33" t="e">
        <v>#DIV/0!</v>
      </c>
    </row>
    <row r="152" spans="1:35" hidden="1" x14ac:dyDescent="0.25">
      <c r="A152" s="25">
        <v>112670107</v>
      </c>
      <c r="B152" s="26" t="s">
        <v>862</v>
      </c>
      <c r="C152" s="27"/>
      <c r="D152" s="27"/>
      <c r="E152" s="34"/>
      <c r="F152" s="30">
        <f t="shared" si="45"/>
        <v>0</v>
      </c>
      <c r="G152" s="31">
        <v>6800000</v>
      </c>
      <c r="H152" s="27"/>
      <c r="I152" s="31">
        <v>6800000</v>
      </c>
      <c r="J152" s="32"/>
      <c r="K152" s="33" t="e">
        <f t="shared" si="40"/>
        <v>#DIV/0!</v>
      </c>
      <c r="L152" s="113">
        <f t="shared" si="38"/>
        <v>0</v>
      </c>
      <c r="M152" s="25">
        <v>112670107</v>
      </c>
      <c r="N152" s="26" t="s">
        <v>862</v>
      </c>
      <c r="O152" s="27"/>
      <c r="P152" s="27"/>
      <c r="Q152" s="34"/>
      <c r="R152" s="30">
        <v>0</v>
      </c>
      <c r="S152" s="31">
        <v>6800000</v>
      </c>
      <c r="T152" s="27"/>
      <c r="U152" s="31">
        <v>6800000</v>
      </c>
      <c r="V152" s="32"/>
      <c r="W152" s="33" t="e">
        <v>#DIV/0!</v>
      </c>
      <c r="Y152" s="25">
        <v>112670107</v>
      </c>
      <c r="Z152" s="26" t="s">
        <v>862</v>
      </c>
      <c r="AA152" s="27"/>
      <c r="AB152" s="27"/>
      <c r="AC152" s="34"/>
      <c r="AD152" s="30">
        <v>0</v>
      </c>
      <c r="AE152" s="31">
        <v>6800000</v>
      </c>
      <c r="AF152" s="27"/>
      <c r="AG152" s="31">
        <v>6800000</v>
      </c>
      <c r="AH152" s="32"/>
      <c r="AI152" s="33" t="e">
        <v>#DIV/0!</v>
      </c>
    </row>
    <row r="153" spans="1:35" hidden="1" x14ac:dyDescent="0.25">
      <c r="A153" s="25">
        <v>112670108</v>
      </c>
      <c r="B153" s="26" t="s">
        <v>863</v>
      </c>
      <c r="C153" s="27"/>
      <c r="D153" s="27"/>
      <c r="E153" s="34"/>
      <c r="F153" s="30">
        <f t="shared" si="45"/>
        <v>0</v>
      </c>
      <c r="G153" s="31">
        <v>0</v>
      </c>
      <c r="H153" s="27"/>
      <c r="I153" s="31"/>
      <c r="J153" s="32"/>
      <c r="K153" s="33" t="e">
        <f t="shared" si="40"/>
        <v>#DIV/0!</v>
      </c>
      <c r="L153" s="113">
        <f t="shared" si="38"/>
        <v>0</v>
      </c>
      <c r="M153" s="25">
        <v>112670108</v>
      </c>
      <c r="N153" s="26" t="s">
        <v>863</v>
      </c>
      <c r="O153" s="27"/>
      <c r="P153" s="27"/>
      <c r="Q153" s="34"/>
      <c r="R153" s="30">
        <v>0</v>
      </c>
      <c r="S153" s="31"/>
      <c r="T153" s="27"/>
      <c r="U153" s="31"/>
      <c r="V153" s="32"/>
      <c r="W153" s="33" t="e">
        <v>#DIV/0!</v>
      </c>
      <c r="Y153" s="25">
        <v>112670108</v>
      </c>
      <c r="Z153" s="26" t="s">
        <v>863</v>
      </c>
      <c r="AA153" s="27"/>
      <c r="AB153" s="27"/>
      <c r="AC153" s="34"/>
      <c r="AD153" s="30">
        <v>0</v>
      </c>
      <c r="AE153" s="31">
        <v>0</v>
      </c>
      <c r="AF153" s="27"/>
      <c r="AG153" s="31"/>
      <c r="AH153" s="32"/>
      <c r="AI153" s="33" t="e">
        <v>#DIV/0!</v>
      </c>
    </row>
    <row r="154" spans="1:35" hidden="1" x14ac:dyDescent="0.25">
      <c r="A154" s="25">
        <v>112670109</v>
      </c>
      <c r="B154" s="26" t="s">
        <v>864</v>
      </c>
      <c r="C154" s="27"/>
      <c r="D154" s="27"/>
      <c r="E154" s="34"/>
      <c r="F154" s="30">
        <f t="shared" si="45"/>
        <v>0</v>
      </c>
      <c r="G154" s="31">
        <v>0</v>
      </c>
      <c r="H154" s="27"/>
      <c r="I154" s="31"/>
      <c r="J154" s="32"/>
      <c r="K154" s="33" t="e">
        <f t="shared" si="40"/>
        <v>#DIV/0!</v>
      </c>
      <c r="L154" s="113">
        <f t="shared" si="38"/>
        <v>0</v>
      </c>
      <c r="M154" s="25">
        <v>112670109</v>
      </c>
      <c r="N154" s="26" t="s">
        <v>864</v>
      </c>
      <c r="O154" s="27"/>
      <c r="P154" s="27"/>
      <c r="Q154" s="34"/>
      <c r="R154" s="30">
        <v>0</v>
      </c>
      <c r="S154" s="31"/>
      <c r="T154" s="27"/>
      <c r="U154" s="31"/>
      <c r="V154" s="32"/>
      <c r="W154" s="33" t="e">
        <v>#DIV/0!</v>
      </c>
      <c r="Y154" s="25">
        <v>112670109</v>
      </c>
      <c r="Z154" s="26" t="s">
        <v>864</v>
      </c>
      <c r="AA154" s="27"/>
      <c r="AB154" s="27"/>
      <c r="AC154" s="34"/>
      <c r="AD154" s="30">
        <v>0</v>
      </c>
      <c r="AE154" s="31">
        <v>0</v>
      </c>
      <c r="AF154" s="27"/>
      <c r="AG154" s="31"/>
      <c r="AH154" s="32"/>
      <c r="AI154" s="33" t="e">
        <v>#DIV/0!</v>
      </c>
    </row>
    <row r="155" spans="1:35" hidden="1" x14ac:dyDescent="0.25">
      <c r="A155" s="25">
        <v>112670110</v>
      </c>
      <c r="B155" s="26" t="s">
        <v>865</v>
      </c>
      <c r="C155" s="27"/>
      <c r="D155" s="27"/>
      <c r="E155" s="34"/>
      <c r="F155" s="30">
        <f t="shared" si="45"/>
        <v>0</v>
      </c>
      <c r="G155" s="31">
        <v>50483923</v>
      </c>
      <c r="H155" s="27"/>
      <c r="I155" s="31">
        <v>50483923</v>
      </c>
      <c r="J155" s="32"/>
      <c r="K155" s="33" t="e">
        <f t="shared" si="40"/>
        <v>#DIV/0!</v>
      </c>
      <c r="L155" s="113">
        <f t="shared" si="38"/>
        <v>0</v>
      </c>
      <c r="M155" s="25">
        <v>112670110</v>
      </c>
      <c r="N155" s="26" t="s">
        <v>865</v>
      </c>
      <c r="O155" s="27"/>
      <c r="P155" s="27"/>
      <c r="Q155" s="34"/>
      <c r="R155" s="30">
        <v>0</v>
      </c>
      <c r="S155" s="31">
        <v>50483923</v>
      </c>
      <c r="T155" s="27"/>
      <c r="U155" s="31">
        <v>50483923</v>
      </c>
      <c r="V155" s="32"/>
      <c r="W155" s="33" t="e">
        <v>#DIV/0!</v>
      </c>
      <c r="Y155" s="25">
        <v>112670110</v>
      </c>
      <c r="Z155" s="26" t="s">
        <v>865</v>
      </c>
      <c r="AA155" s="27"/>
      <c r="AB155" s="27"/>
      <c r="AC155" s="34"/>
      <c r="AD155" s="30">
        <v>0</v>
      </c>
      <c r="AE155" s="31">
        <v>50483923</v>
      </c>
      <c r="AF155" s="27"/>
      <c r="AG155" s="31">
        <v>50483923</v>
      </c>
      <c r="AH155" s="32"/>
      <c r="AI155" s="33" t="e">
        <v>#DIV/0!</v>
      </c>
    </row>
    <row r="156" spans="1:35" hidden="1" x14ac:dyDescent="0.25">
      <c r="A156" s="25">
        <v>112670111</v>
      </c>
      <c r="B156" s="26" t="s">
        <v>866</v>
      </c>
      <c r="C156" s="27"/>
      <c r="D156" s="27">
        <v>75272541</v>
      </c>
      <c r="E156" s="34"/>
      <c r="F156" s="30">
        <f t="shared" si="45"/>
        <v>75272541</v>
      </c>
      <c r="G156" s="31">
        <v>102975000</v>
      </c>
      <c r="H156" s="27"/>
      <c r="I156" s="31">
        <v>102975000</v>
      </c>
      <c r="J156" s="32"/>
      <c r="K156" s="33">
        <f t="shared" si="40"/>
        <v>1.3680287476943285</v>
      </c>
      <c r="L156" s="113">
        <f t="shared" si="38"/>
        <v>0</v>
      </c>
      <c r="M156" s="25">
        <v>112670111</v>
      </c>
      <c r="N156" s="26" t="s">
        <v>866</v>
      </c>
      <c r="O156" s="27"/>
      <c r="P156" s="27">
        <v>75272541</v>
      </c>
      <c r="Q156" s="34"/>
      <c r="R156" s="30">
        <v>75272541</v>
      </c>
      <c r="S156" s="31">
        <v>102975000</v>
      </c>
      <c r="T156" s="27"/>
      <c r="U156" s="31">
        <v>102975000</v>
      </c>
      <c r="V156" s="32"/>
      <c r="W156" s="33">
        <v>1.3680287476943285</v>
      </c>
      <c r="Y156" s="25">
        <v>112670111</v>
      </c>
      <c r="Z156" s="26" t="s">
        <v>866</v>
      </c>
      <c r="AA156" s="27"/>
      <c r="AB156" s="27">
        <v>75272541</v>
      </c>
      <c r="AC156" s="34"/>
      <c r="AD156" s="30">
        <v>75272541</v>
      </c>
      <c r="AE156" s="31">
        <v>102975000</v>
      </c>
      <c r="AF156" s="27"/>
      <c r="AG156" s="31">
        <v>102975000</v>
      </c>
      <c r="AH156" s="32"/>
      <c r="AI156" s="33">
        <v>1.3680287476943285</v>
      </c>
    </row>
    <row r="157" spans="1:35" hidden="1" x14ac:dyDescent="0.25">
      <c r="A157" s="25">
        <v>112670112</v>
      </c>
      <c r="B157" s="26" t="s">
        <v>867</v>
      </c>
      <c r="C157" s="27"/>
      <c r="D157" s="27"/>
      <c r="E157" s="34"/>
      <c r="F157" s="30">
        <f t="shared" si="45"/>
        <v>0</v>
      </c>
      <c r="G157" s="31">
        <v>30882000</v>
      </c>
      <c r="H157" s="27"/>
      <c r="I157" s="31">
        <v>30882000</v>
      </c>
      <c r="J157" s="32"/>
      <c r="K157" s="33" t="e">
        <f t="shared" si="40"/>
        <v>#DIV/0!</v>
      </c>
      <c r="L157" s="113">
        <f t="shared" si="38"/>
        <v>0</v>
      </c>
      <c r="M157" s="25">
        <v>112670112</v>
      </c>
      <c r="N157" s="26" t="s">
        <v>867</v>
      </c>
      <c r="O157" s="27"/>
      <c r="P157" s="27"/>
      <c r="Q157" s="34"/>
      <c r="R157" s="30">
        <v>0</v>
      </c>
      <c r="S157" s="31">
        <v>30882000</v>
      </c>
      <c r="T157" s="27"/>
      <c r="U157" s="31">
        <v>30882000</v>
      </c>
      <c r="V157" s="32"/>
      <c r="W157" s="33" t="e">
        <v>#DIV/0!</v>
      </c>
      <c r="Y157" s="25">
        <v>112670112</v>
      </c>
      <c r="Z157" s="26" t="s">
        <v>867</v>
      </c>
      <c r="AA157" s="27"/>
      <c r="AB157" s="27"/>
      <c r="AC157" s="34"/>
      <c r="AD157" s="30">
        <v>0</v>
      </c>
      <c r="AE157" s="31">
        <v>30882000</v>
      </c>
      <c r="AF157" s="27"/>
      <c r="AG157" s="31">
        <v>30882000</v>
      </c>
      <c r="AH157" s="32"/>
      <c r="AI157" s="33" t="e">
        <v>#DIV/0!</v>
      </c>
    </row>
    <row r="158" spans="1:35" hidden="1" x14ac:dyDescent="0.25">
      <c r="A158" s="25">
        <v>112670113</v>
      </c>
      <c r="B158" s="26" t="s">
        <v>868</v>
      </c>
      <c r="C158" s="27"/>
      <c r="D158" s="27"/>
      <c r="E158" s="34"/>
      <c r="F158" s="30">
        <f t="shared" si="45"/>
        <v>0</v>
      </c>
      <c r="G158" s="31">
        <v>17500000</v>
      </c>
      <c r="H158" s="27"/>
      <c r="I158" s="31">
        <v>17500000</v>
      </c>
      <c r="J158" s="32"/>
      <c r="K158" s="33" t="e">
        <f t="shared" si="40"/>
        <v>#DIV/0!</v>
      </c>
      <c r="L158" s="113">
        <f t="shared" si="38"/>
        <v>0</v>
      </c>
      <c r="M158" s="25">
        <v>112670113</v>
      </c>
      <c r="N158" s="26" t="s">
        <v>868</v>
      </c>
      <c r="O158" s="27"/>
      <c r="P158" s="27"/>
      <c r="Q158" s="34"/>
      <c r="R158" s="30">
        <v>0</v>
      </c>
      <c r="S158" s="31">
        <v>17500000</v>
      </c>
      <c r="T158" s="27"/>
      <c r="U158" s="31">
        <v>17500000</v>
      </c>
      <c r="V158" s="32"/>
      <c r="W158" s="33" t="e">
        <v>#DIV/0!</v>
      </c>
      <c r="Y158" s="25">
        <v>112670113</v>
      </c>
      <c r="Z158" s="26" t="s">
        <v>868</v>
      </c>
      <c r="AA158" s="27"/>
      <c r="AB158" s="27"/>
      <c r="AC158" s="34"/>
      <c r="AD158" s="30">
        <v>0</v>
      </c>
      <c r="AE158" s="31">
        <v>17500000</v>
      </c>
      <c r="AF158" s="27"/>
      <c r="AG158" s="31">
        <v>17500000</v>
      </c>
      <c r="AH158" s="32"/>
      <c r="AI158" s="33" t="e">
        <v>#DIV/0!</v>
      </c>
    </row>
    <row r="159" spans="1:35" hidden="1" x14ac:dyDescent="0.25">
      <c r="A159" s="25">
        <v>112670114</v>
      </c>
      <c r="B159" s="26" t="s">
        <v>885</v>
      </c>
      <c r="C159" s="27"/>
      <c r="D159" s="27">
        <v>96000000</v>
      </c>
      <c r="E159" s="34"/>
      <c r="F159" s="30">
        <f t="shared" si="45"/>
        <v>96000000</v>
      </c>
      <c r="G159" s="31">
        <v>0</v>
      </c>
      <c r="H159" s="27"/>
      <c r="I159" s="31"/>
      <c r="J159" s="32"/>
      <c r="K159" s="33"/>
      <c r="L159" s="113">
        <f t="shared" si="38"/>
        <v>0</v>
      </c>
      <c r="M159" s="25">
        <v>112670114</v>
      </c>
      <c r="N159" s="26" t="s">
        <v>885</v>
      </c>
      <c r="O159" s="27"/>
      <c r="P159" s="27">
        <v>96000000</v>
      </c>
      <c r="Q159" s="34"/>
      <c r="R159" s="30">
        <v>96000000</v>
      </c>
      <c r="S159" s="31"/>
      <c r="T159" s="27"/>
      <c r="U159" s="31"/>
      <c r="V159" s="32"/>
      <c r="W159" s="33"/>
      <c r="Y159" s="25">
        <v>112670114</v>
      </c>
      <c r="Z159" s="26" t="s">
        <v>885</v>
      </c>
      <c r="AA159" s="27"/>
      <c r="AB159" s="27">
        <v>96000000</v>
      </c>
      <c r="AC159" s="34"/>
      <c r="AD159" s="30">
        <v>96000000</v>
      </c>
      <c r="AE159" s="31">
        <v>0</v>
      </c>
      <c r="AF159" s="27"/>
      <c r="AG159" s="31"/>
      <c r="AH159" s="32"/>
      <c r="AI159" s="33"/>
    </row>
    <row r="160" spans="1:35" hidden="1" x14ac:dyDescent="0.25">
      <c r="A160" s="12" t="s">
        <v>473</v>
      </c>
      <c r="B160" s="13" t="s">
        <v>474</v>
      </c>
      <c r="C160" s="14">
        <f>+C161+C164+C166</f>
        <v>360566197</v>
      </c>
      <c r="D160" s="14">
        <f t="shared" ref="D160:J160" si="46">+D161+D164+D166</f>
        <v>23080820183.77</v>
      </c>
      <c r="E160" s="14">
        <f t="shared" si="46"/>
        <v>0</v>
      </c>
      <c r="F160" s="14">
        <f t="shared" si="46"/>
        <v>23441386380.77</v>
      </c>
      <c r="G160" s="14">
        <f t="shared" si="46"/>
        <v>23471268345.599998</v>
      </c>
      <c r="H160" s="14">
        <f t="shared" si="46"/>
        <v>64757892.140000001</v>
      </c>
      <c r="I160" s="14">
        <f t="shared" si="46"/>
        <v>23471268345.599998</v>
      </c>
      <c r="J160" s="14">
        <f t="shared" si="46"/>
        <v>-29881964.829999983</v>
      </c>
      <c r="K160" s="15">
        <f t="shared" si="40"/>
        <v>1.0012747524546803</v>
      </c>
      <c r="L160" s="113">
        <f t="shared" si="38"/>
        <v>0</v>
      </c>
      <c r="M160" s="12" t="s">
        <v>473</v>
      </c>
      <c r="N160" s="13" t="s">
        <v>474</v>
      </c>
      <c r="O160" s="14">
        <v>360566197</v>
      </c>
      <c r="P160" s="14">
        <v>23080820183.77</v>
      </c>
      <c r="Q160" s="14">
        <v>0</v>
      </c>
      <c r="R160" s="14">
        <v>23441386380.77</v>
      </c>
      <c r="S160" s="14">
        <v>23334770592.449997</v>
      </c>
      <c r="T160" s="14">
        <v>75370359.00999999</v>
      </c>
      <c r="U160" s="14">
        <v>23406510393.929996</v>
      </c>
      <c r="V160" s="14">
        <v>34875927.310000002</v>
      </c>
      <c r="W160" s="15">
        <v>0.99851220459944234</v>
      </c>
      <c r="Y160" s="12" t="s">
        <v>473</v>
      </c>
      <c r="Z160" s="13" t="s">
        <v>474</v>
      </c>
      <c r="AA160" s="14">
        <v>360566197</v>
      </c>
      <c r="AB160" s="14">
        <v>23080820183.77</v>
      </c>
      <c r="AC160" s="14">
        <v>0</v>
      </c>
      <c r="AD160" s="14">
        <v>23441386380.77</v>
      </c>
      <c r="AE160" s="14">
        <v>23166663303.599998</v>
      </c>
      <c r="AF160" s="14">
        <v>64757892.140000001</v>
      </c>
      <c r="AG160" s="14">
        <v>23166663303.599998</v>
      </c>
      <c r="AH160" s="14">
        <v>-29881964.829999983</v>
      </c>
      <c r="AI160" s="15">
        <v>0.9882804253678712</v>
      </c>
    </row>
    <row r="161" spans="1:35" hidden="1" x14ac:dyDescent="0.25">
      <c r="A161" s="12" t="s">
        <v>475</v>
      </c>
      <c r="B161" s="13" t="s">
        <v>476</v>
      </c>
      <c r="C161" s="14">
        <f>+C162+C163</f>
        <v>0</v>
      </c>
      <c r="D161" s="14">
        <f t="shared" ref="D161:J161" si="47">+D162+D163</f>
        <v>22435224661.73</v>
      </c>
      <c r="E161" s="14">
        <f t="shared" si="47"/>
        <v>0</v>
      </c>
      <c r="F161" s="14">
        <f t="shared" si="47"/>
        <v>22435224661.73</v>
      </c>
      <c r="G161" s="14">
        <f t="shared" si="47"/>
        <v>22435224661.73</v>
      </c>
      <c r="H161" s="14">
        <f t="shared" si="47"/>
        <v>0</v>
      </c>
      <c r="I161" s="14">
        <f t="shared" si="47"/>
        <v>22435224661.73</v>
      </c>
      <c r="J161" s="14">
        <f t="shared" si="47"/>
        <v>0</v>
      </c>
      <c r="K161" s="15">
        <f t="shared" si="40"/>
        <v>1</v>
      </c>
      <c r="L161" s="113">
        <f t="shared" si="38"/>
        <v>0</v>
      </c>
      <c r="M161" s="12" t="s">
        <v>475</v>
      </c>
      <c r="N161" s="13" t="s">
        <v>476</v>
      </c>
      <c r="O161" s="14">
        <v>0</v>
      </c>
      <c r="P161" s="14">
        <v>22435224661.73</v>
      </c>
      <c r="Q161" s="14">
        <v>0</v>
      </c>
      <c r="R161" s="14">
        <v>22435224661.73</v>
      </c>
      <c r="S161" s="14">
        <v>22435224661.73</v>
      </c>
      <c r="T161" s="14">
        <v>0</v>
      </c>
      <c r="U161" s="14">
        <v>22435224661.73</v>
      </c>
      <c r="V161" s="14">
        <v>0</v>
      </c>
      <c r="W161" s="15">
        <v>1</v>
      </c>
      <c r="Y161" s="12" t="s">
        <v>475</v>
      </c>
      <c r="Z161" s="13" t="s">
        <v>476</v>
      </c>
      <c r="AA161" s="14">
        <v>0</v>
      </c>
      <c r="AB161" s="14">
        <v>22435224661.73</v>
      </c>
      <c r="AC161" s="14">
        <v>0</v>
      </c>
      <c r="AD161" s="14">
        <v>22435224661.73</v>
      </c>
      <c r="AE161" s="14">
        <v>22435224661.73</v>
      </c>
      <c r="AF161" s="14">
        <v>0</v>
      </c>
      <c r="AG161" s="14">
        <v>22435224661.73</v>
      </c>
      <c r="AH161" s="14">
        <v>0</v>
      </c>
      <c r="AI161" s="15">
        <v>1</v>
      </c>
    </row>
    <row r="162" spans="1:35" hidden="1" x14ac:dyDescent="0.25">
      <c r="A162" s="25" t="s">
        <v>477</v>
      </c>
      <c r="B162" s="26" t="s">
        <v>478</v>
      </c>
      <c r="C162" s="27"/>
      <c r="D162" s="27">
        <v>22370712241</v>
      </c>
      <c r="E162" s="34"/>
      <c r="F162" s="30">
        <f t="shared" ref="F162:F180" si="48">+C162+D162</f>
        <v>22370712241</v>
      </c>
      <c r="G162" s="31">
        <v>22370712241</v>
      </c>
      <c r="H162" s="27"/>
      <c r="I162" s="31">
        <v>22370712241</v>
      </c>
      <c r="J162" s="32">
        <f>SUM(F162-I162)</f>
        <v>0</v>
      </c>
      <c r="K162" s="33">
        <f t="shared" si="40"/>
        <v>1</v>
      </c>
      <c r="L162" s="113">
        <f t="shared" si="38"/>
        <v>0</v>
      </c>
      <c r="M162" s="25" t="s">
        <v>477</v>
      </c>
      <c r="N162" s="26" t="s">
        <v>478</v>
      </c>
      <c r="O162" s="27"/>
      <c r="P162" s="27">
        <v>22370712241</v>
      </c>
      <c r="Q162" s="34"/>
      <c r="R162" s="30">
        <v>22370712241</v>
      </c>
      <c r="S162" s="31">
        <v>22370712241</v>
      </c>
      <c r="T162" s="27"/>
      <c r="U162" s="31">
        <v>22370712241</v>
      </c>
      <c r="V162" s="32">
        <v>0</v>
      </c>
      <c r="W162" s="33">
        <v>1</v>
      </c>
      <c r="Y162" s="25" t="s">
        <v>477</v>
      </c>
      <c r="Z162" s="26" t="s">
        <v>478</v>
      </c>
      <c r="AA162" s="27"/>
      <c r="AB162" s="27">
        <v>22370712241</v>
      </c>
      <c r="AC162" s="34"/>
      <c r="AD162" s="30">
        <v>22370712241</v>
      </c>
      <c r="AE162" s="31">
        <v>22370712241</v>
      </c>
      <c r="AF162" s="27"/>
      <c r="AG162" s="31">
        <v>22370712241</v>
      </c>
      <c r="AH162" s="32">
        <v>0</v>
      </c>
      <c r="AI162" s="33">
        <v>1</v>
      </c>
    </row>
    <row r="163" spans="1:35" hidden="1" x14ac:dyDescent="0.25">
      <c r="A163" s="25">
        <v>121301</v>
      </c>
      <c r="B163" s="26" t="s">
        <v>886</v>
      </c>
      <c r="C163" s="27"/>
      <c r="D163" s="27">
        <v>64512420.729999997</v>
      </c>
      <c r="E163" s="34"/>
      <c r="F163" s="30">
        <f t="shared" si="48"/>
        <v>64512420.729999997</v>
      </c>
      <c r="G163" s="31">
        <v>64512420.729999997</v>
      </c>
      <c r="H163" s="27"/>
      <c r="I163" s="31">
        <v>64512420.729999997</v>
      </c>
      <c r="J163" s="32"/>
      <c r="K163" s="33">
        <f t="shared" si="40"/>
        <v>1</v>
      </c>
      <c r="L163" s="113">
        <f t="shared" si="38"/>
        <v>0</v>
      </c>
      <c r="M163" s="25">
        <v>121301</v>
      </c>
      <c r="N163" s="26" t="s">
        <v>886</v>
      </c>
      <c r="O163" s="27"/>
      <c r="P163" s="27">
        <v>64512420.729999997</v>
      </c>
      <c r="Q163" s="34"/>
      <c r="R163" s="30">
        <v>64512420.729999997</v>
      </c>
      <c r="S163" s="31">
        <v>64512420.729999997</v>
      </c>
      <c r="T163" s="27"/>
      <c r="U163" s="31">
        <v>64512420.729999997</v>
      </c>
      <c r="V163" s="32"/>
      <c r="W163" s="33">
        <v>1</v>
      </c>
      <c r="Y163" s="25">
        <v>121301</v>
      </c>
      <c r="Z163" s="26" t="s">
        <v>886</v>
      </c>
      <c r="AA163" s="27"/>
      <c r="AB163" s="27">
        <v>64512420.729999997</v>
      </c>
      <c r="AC163" s="34"/>
      <c r="AD163" s="30">
        <v>64512420.729999997</v>
      </c>
      <c r="AE163" s="31">
        <v>64512420.729999997</v>
      </c>
      <c r="AF163" s="27"/>
      <c r="AG163" s="31">
        <v>64512420.729999997</v>
      </c>
      <c r="AH163" s="32"/>
      <c r="AI163" s="33">
        <v>1</v>
      </c>
    </row>
    <row r="164" spans="1:35" hidden="1" x14ac:dyDescent="0.25">
      <c r="A164" s="12">
        <v>123</v>
      </c>
      <c r="B164" s="13" t="s">
        <v>869</v>
      </c>
      <c r="C164" s="14">
        <f>+C165</f>
        <v>0</v>
      </c>
      <c r="D164" s="14">
        <f t="shared" ref="D164:J164" si="49">+D165</f>
        <v>304605042</v>
      </c>
      <c r="E164" s="14">
        <f t="shared" si="49"/>
        <v>0</v>
      </c>
      <c r="F164" s="14">
        <f t="shared" si="49"/>
        <v>304605042</v>
      </c>
      <c r="G164" s="14">
        <f t="shared" si="49"/>
        <v>304605042</v>
      </c>
      <c r="H164" s="14">
        <f t="shared" si="49"/>
        <v>0</v>
      </c>
      <c r="I164" s="14">
        <f t="shared" si="49"/>
        <v>304605042</v>
      </c>
      <c r="J164" s="14">
        <f t="shared" si="49"/>
        <v>0</v>
      </c>
      <c r="K164" s="15">
        <f t="shared" si="40"/>
        <v>1</v>
      </c>
      <c r="L164" s="113">
        <f t="shared" si="38"/>
        <v>0</v>
      </c>
      <c r="M164" s="12">
        <v>123</v>
      </c>
      <c r="N164" s="13" t="s">
        <v>869</v>
      </c>
      <c r="O164" s="14">
        <v>0</v>
      </c>
      <c r="P164" s="14">
        <v>304605042</v>
      </c>
      <c r="Q164" s="14">
        <v>0</v>
      </c>
      <c r="R164" s="14">
        <v>304605042</v>
      </c>
      <c r="S164" s="14">
        <v>304604982.46999699</v>
      </c>
      <c r="T164" s="14">
        <v>0</v>
      </c>
      <c r="U164" s="14">
        <v>304604982.46999699</v>
      </c>
      <c r="V164" s="14">
        <v>0</v>
      </c>
      <c r="W164" s="15">
        <v>0.99999980456658688</v>
      </c>
      <c r="Y164" s="12">
        <v>123</v>
      </c>
      <c r="Z164" s="13" t="s">
        <v>869</v>
      </c>
      <c r="AA164" s="14">
        <v>0</v>
      </c>
      <c r="AB164" s="14">
        <v>304605042</v>
      </c>
      <c r="AC164" s="14">
        <v>0</v>
      </c>
      <c r="AD164" s="14">
        <v>304605042</v>
      </c>
      <c r="AE164" s="14">
        <v>0</v>
      </c>
      <c r="AF164" s="14">
        <v>0</v>
      </c>
      <c r="AG164" s="14">
        <v>0</v>
      </c>
      <c r="AH164" s="14">
        <v>0</v>
      </c>
      <c r="AI164" s="15">
        <v>0</v>
      </c>
    </row>
    <row r="165" spans="1:35" hidden="1" x14ac:dyDescent="0.25">
      <c r="A165" s="12">
        <v>1232</v>
      </c>
      <c r="B165" s="13" t="s">
        <v>870</v>
      </c>
      <c r="C165" s="14"/>
      <c r="D165" s="14">
        <v>304605042</v>
      </c>
      <c r="E165" s="14"/>
      <c r="F165" s="14">
        <f t="shared" si="48"/>
        <v>304605042</v>
      </c>
      <c r="G165" s="14">
        <v>304605042</v>
      </c>
      <c r="H165" s="14"/>
      <c r="I165" s="14">
        <v>304605042</v>
      </c>
      <c r="J165" s="14"/>
      <c r="K165" s="15">
        <f t="shared" si="40"/>
        <v>1</v>
      </c>
      <c r="L165" s="113">
        <f t="shared" si="38"/>
        <v>0</v>
      </c>
      <c r="M165" s="12">
        <v>1232</v>
      </c>
      <c r="N165" s="13" t="s">
        <v>870</v>
      </c>
      <c r="O165" s="14"/>
      <c r="P165" s="14">
        <v>304605042</v>
      </c>
      <c r="Q165" s="14"/>
      <c r="R165" s="14">
        <v>304605042</v>
      </c>
      <c r="S165" s="14">
        <v>304604982.46999699</v>
      </c>
      <c r="T165" s="14"/>
      <c r="U165" s="14">
        <v>304604982.46999699</v>
      </c>
      <c r="V165" s="14"/>
      <c r="W165" s="15">
        <v>0.99999980456658688</v>
      </c>
      <c r="Y165" s="12">
        <v>1232</v>
      </c>
      <c r="Z165" s="13" t="s">
        <v>870</v>
      </c>
      <c r="AA165" s="14"/>
      <c r="AB165" s="14">
        <v>304605042</v>
      </c>
      <c r="AC165" s="14"/>
      <c r="AD165" s="14">
        <v>304605042</v>
      </c>
      <c r="AE165" s="14">
        <v>0</v>
      </c>
      <c r="AF165" s="14"/>
      <c r="AG165" s="14"/>
      <c r="AH165" s="14"/>
      <c r="AI165" s="15">
        <v>0</v>
      </c>
    </row>
    <row r="166" spans="1:35" hidden="1" x14ac:dyDescent="0.25">
      <c r="A166" s="12" t="s">
        <v>479</v>
      </c>
      <c r="B166" s="13" t="s">
        <v>480</v>
      </c>
      <c r="C166" s="14">
        <f>+C167+C180</f>
        <v>360566197</v>
      </c>
      <c r="D166" s="14">
        <f>+D167+D180</f>
        <v>340990480.04000002</v>
      </c>
      <c r="E166" s="14">
        <f t="shared" ref="E166:J166" si="50">+E167+E180</f>
        <v>0</v>
      </c>
      <c r="F166" s="14">
        <f t="shared" si="50"/>
        <v>701556677.03999996</v>
      </c>
      <c r="G166" s="14">
        <f t="shared" si="50"/>
        <v>731438641.87</v>
      </c>
      <c r="H166" s="14">
        <f t="shared" si="50"/>
        <v>64757892.140000001</v>
      </c>
      <c r="I166" s="14">
        <f t="shared" si="50"/>
        <v>731438641.87</v>
      </c>
      <c r="J166" s="14">
        <f t="shared" si="50"/>
        <v>-29881964.829999983</v>
      </c>
      <c r="K166" s="15">
        <f t="shared" si="40"/>
        <v>1.0425938000562944</v>
      </c>
      <c r="L166" s="113">
        <f t="shared" si="38"/>
        <v>0</v>
      </c>
      <c r="M166" s="12" t="s">
        <v>479</v>
      </c>
      <c r="N166" s="13" t="s">
        <v>480</v>
      </c>
      <c r="O166" s="14">
        <v>360566197</v>
      </c>
      <c r="P166" s="14">
        <v>340990480.04000002</v>
      </c>
      <c r="Q166" s="14">
        <v>0</v>
      </c>
      <c r="R166" s="14">
        <v>701556677.03999996</v>
      </c>
      <c r="S166" s="14">
        <v>594940948.25</v>
      </c>
      <c r="T166" s="14">
        <v>75370359.00999999</v>
      </c>
      <c r="U166" s="14">
        <v>666680749.73000002</v>
      </c>
      <c r="V166" s="14">
        <v>34875927.310000002</v>
      </c>
      <c r="W166" s="15">
        <v>0.95028779790515561</v>
      </c>
      <c r="Y166" s="12" t="s">
        <v>479</v>
      </c>
      <c r="Z166" s="13" t="s">
        <v>480</v>
      </c>
      <c r="AA166" s="14">
        <v>360566197</v>
      </c>
      <c r="AB166" s="14">
        <v>340990480.04000002</v>
      </c>
      <c r="AC166" s="14">
        <v>0</v>
      </c>
      <c r="AD166" s="14">
        <v>701556677.03999996</v>
      </c>
      <c r="AE166" s="14">
        <v>731438641.87</v>
      </c>
      <c r="AF166" s="14">
        <v>64757892.140000001</v>
      </c>
      <c r="AG166" s="14">
        <v>731438641.87</v>
      </c>
      <c r="AH166" s="14">
        <v>-29881964.829999983</v>
      </c>
      <c r="AI166" s="15">
        <v>1.0425938000562944</v>
      </c>
    </row>
    <row r="167" spans="1:35" hidden="1" x14ac:dyDescent="0.25">
      <c r="A167" s="21" t="s">
        <v>481</v>
      </c>
      <c r="B167" s="22" t="s">
        <v>482</v>
      </c>
      <c r="C167" s="23">
        <f>SUM(C168:C179)</f>
        <v>360566197</v>
      </c>
      <c r="D167" s="23">
        <f t="shared" ref="D167:J167" si="51">SUM(D168:D179)</f>
        <v>25003040.039999999</v>
      </c>
      <c r="E167" s="23">
        <f t="shared" si="51"/>
        <v>0</v>
      </c>
      <c r="F167" s="23">
        <f t="shared" si="51"/>
        <v>385569237.04000002</v>
      </c>
      <c r="G167" s="23">
        <f t="shared" si="51"/>
        <v>415451201.87</v>
      </c>
      <c r="H167" s="23">
        <f t="shared" si="51"/>
        <v>64757892.140000001</v>
      </c>
      <c r="I167" s="23">
        <f t="shared" si="51"/>
        <v>415451201.87</v>
      </c>
      <c r="J167" s="23">
        <f t="shared" si="51"/>
        <v>-29881964.829999983</v>
      </c>
      <c r="K167" s="24">
        <f t="shared" si="40"/>
        <v>1.0775009050499014</v>
      </c>
      <c r="L167" s="113">
        <f t="shared" si="38"/>
        <v>0</v>
      </c>
      <c r="M167" s="21" t="s">
        <v>481</v>
      </c>
      <c r="N167" s="22" t="s">
        <v>482</v>
      </c>
      <c r="O167" s="23">
        <v>360566197</v>
      </c>
      <c r="P167" s="23">
        <v>25003040.039999999</v>
      </c>
      <c r="Q167" s="23">
        <v>0</v>
      </c>
      <c r="R167" s="23">
        <v>385569237.04000002</v>
      </c>
      <c r="S167" s="23">
        <v>278953508.25</v>
      </c>
      <c r="T167" s="23">
        <v>75370359.00999999</v>
      </c>
      <c r="U167" s="23">
        <v>350693309.73000002</v>
      </c>
      <c r="V167" s="23">
        <v>34875927.310000002</v>
      </c>
      <c r="W167" s="24">
        <v>0.90954691412172528</v>
      </c>
      <c r="Y167" s="21" t="s">
        <v>481</v>
      </c>
      <c r="Z167" s="22" t="s">
        <v>482</v>
      </c>
      <c r="AA167" s="23">
        <v>360566197</v>
      </c>
      <c r="AB167" s="23">
        <v>25003040.039999999</v>
      </c>
      <c r="AC167" s="23">
        <v>0</v>
      </c>
      <c r="AD167" s="23">
        <v>385569237.04000002</v>
      </c>
      <c r="AE167" s="23">
        <v>415451201.87</v>
      </c>
      <c r="AF167" s="23">
        <v>64757892.140000001</v>
      </c>
      <c r="AG167" s="23">
        <v>415451201.87</v>
      </c>
      <c r="AH167" s="23">
        <v>-29881964.829999983</v>
      </c>
      <c r="AI167" s="24">
        <v>1.0775009050499014</v>
      </c>
    </row>
    <row r="168" spans="1:35" hidden="1" x14ac:dyDescent="0.25">
      <c r="A168" s="25" t="s">
        <v>483</v>
      </c>
      <c r="B168" s="26" t="s">
        <v>484</v>
      </c>
      <c r="C168" s="30"/>
      <c r="D168" s="27"/>
      <c r="E168" s="34"/>
      <c r="F168" s="30">
        <f t="shared" si="48"/>
        <v>0</v>
      </c>
      <c r="G168" s="31">
        <v>9629412.1799999997</v>
      </c>
      <c r="H168" s="27">
        <v>1704568.29</v>
      </c>
      <c r="I168" s="31">
        <v>9629412.1799999997</v>
      </c>
      <c r="J168" s="32">
        <f t="shared" ref="J168:J180" si="52">SUM(F168-I168)</f>
        <v>-9629412.1799999997</v>
      </c>
      <c r="K168" s="33" t="e">
        <f t="shared" si="40"/>
        <v>#DIV/0!</v>
      </c>
      <c r="L168" s="113">
        <f t="shared" si="38"/>
        <v>0</v>
      </c>
      <c r="M168" s="25" t="s">
        <v>483</v>
      </c>
      <c r="N168" s="26" t="s">
        <v>484</v>
      </c>
      <c r="O168" s="30"/>
      <c r="P168" s="27"/>
      <c r="Q168" s="34"/>
      <c r="R168" s="30">
        <v>0</v>
      </c>
      <c r="S168" s="31">
        <v>6146654.8900000006</v>
      </c>
      <c r="T168" s="27">
        <v>1793219.65</v>
      </c>
      <c r="U168" s="31">
        <v>7924843.8900000006</v>
      </c>
      <c r="V168" s="32">
        <v>-7924843.8900000006</v>
      </c>
      <c r="W168" s="33" t="e">
        <v>#DIV/0!</v>
      </c>
      <c r="Y168" s="25" t="s">
        <v>483</v>
      </c>
      <c r="Z168" s="26" t="s">
        <v>484</v>
      </c>
      <c r="AA168" s="30"/>
      <c r="AB168" s="27"/>
      <c r="AC168" s="34"/>
      <c r="AD168" s="30">
        <v>0</v>
      </c>
      <c r="AE168" s="31">
        <v>9629412.1799999997</v>
      </c>
      <c r="AF168" s="27">
        <v>1704568.29</v>
      </c>
      <c r="AG168" s="31">
        <v>9629412.1799999997</v>
      </c>
      <c r="AH168" s="32">
        <v>-9629412.1799999997</v>
      </c>
      <c r="AI168" s="33" t="e">
        <v>#DIV/0!</v>
      </c>
    </row>
    <row r="169" spans="1:35" hidden="1" x14ac:dyDescent="0.25">
      <c r="A169" s="25" t="s">
        <v>485</v>
      </c>
      <c r="B169" s="26" t="s">
        <v>486</v>
      </c>
      <c r="C169" s="27"/>
      <c r="D169" s="27"/>
      <c r="E169" s="34"/>
      <c r="F169" s="30">
        <f t="shared" si="48"/>
        <v>0</v>
      </c>
      <c r="G169" s="31">
        <v>7344719.2400000002</v>
      </c>
      <c r="H169" s="27">
        <v>1148513.44</v>
      </c>
      <c r="I169" s="31">
        <v>7344719.2400000002</v>
      </c>
      <c r="J169" s="32">
        <f t="shared" si="52"/>
        <v>-7344719.2400000002</v>
      </c>
      <c r="K169" s="33" t="e">
        <f t="shared" si="40"/>
        <v>#DIV/0!</v>
      </c>
      <c r="L169" s="113">
        <f t="shared" si="38"/>
        <v>0</v>
      </c>
      <c r="M169" s="25" t="s">
        <v>485</v>
      </c>
      <c r="N169" s="26" t="s">
        <v>486</v>
      </c>
      <c r="O169" s="27"/>
      <c r="P169" s="27"/>
      <c r="Q169" s="34"/>
      <c r="R169" s="30">
        <v>0</v>
      </c>
      <c r="S169" s="31">
        <v>5005354.88</v>
      </c>
      <c r="T169" s="27">
        <v>1190850.92</v>
      </c>
      <c r="U169" s="31">
        <v>6196205.7999999998</v>
      </c>
      <c r="V169" s="32">
        <v>-6196205.7999999998</v>
      </c>
      <c r="W169" s="33" t="e">
        <v>#DIV/0!</v>
      </c>
      <c r="Y169" s="25" t="s">
        <v>485</v>
      </c>
      <c r="Z169" s="26" t="s">
        <v>486</v>
      </c>
      <c r="AA169" s="27"/>
      <c r="AB169" s="27"/>
      <c r="AC169" s="34"/>
      <c r="AD169" s="30">
        <v>0</v>
      </c>
      <c r="AE169" s="31">
        <v>7344719.2400000002</v>
      </c>
      <c r="AF169" s="27">
        <v>1148513.44</v>
      </c>
      <c r="AG169" s="31">
        <v>7344719.2400000002</v>
      </c>
      <c r="AH169" s="32">
        <v>-7344719.2400000002</v>
      </c>
      <c r="AI169" s="33" t="e">
        <v>#DIV/0!</v>
      </c>
    </row>
    <row r="170" spans="1:35" hidden="1" x14ac:dyDescent="0.25">
      <c r="A170" s="25" t="s">
        <v>487</v>
      </c>
      <c r="B170" s="26" t="s">
        <v>488</v>
      </c>
      <c r="C170" s="27"/>
      <c r="D170" s="27">
        <f>+[1]Hoja3!F17</f>
        <v>20933828.129999999</v>
      </c>
      <c r="E170" s="34"/>
      <c r="F170" s="30">
        <f t="shared" si="48"/>
        <v>20933828.129999999</v>
      </c>
      <c r="G170" s="31">
        <v>42398563.480000004</v>
      </c>
      <c r="H170" s="27">
        <v>5434688.2400000002</v>
      </c>
      <c r="I170" s="31">
        <v>42398563.480000004</v>
      </c>
      <c r="J170" s="32">
        <f t="shared" si="52"/>
        <v>-21464735.350000005</v>
      </c>
      <c r="K170" s="33">
        <f t="shared" si="40"/>
        <v>2.0253612104151735</v>
      </c>
      <c r="L170" s="113">
        <f t="shared" si="38"/>
        <v>0</v>
      </c>
      <c r="M170" s="25" t="s">
        <v>487</v>
      </c>
      <c r="N170" s="26" t="s">
        <v>488</v>
      </c>
      <c r="O170" s="27"/>
      <c r="P170" s="27">
        <v>20933828.129999999</v>
      </c>
      <c r="Q170" s="34"/>
      <c r="R170" s="30">
        <v>20933828.129999999</v>
      </c>
      <c r="S170" s="31">
        <v>29248828.219999999</v>
      </c>
      <c r="T170" s="27">
        <v>7715047.0199999996</v>
      </c>
      <c r="U170" s="31">
        <v>36963875.239999995</v>
      </c>
      <c r="V170" s="32">
        <v>-16030047.109999996</v>
      </c>
      <c r="W170" s="33">
        <v>1.7657484818568632</v>
      </c>
      <c r="Y170" s="25" t="s">
        <v>487</v>
      </c>
      <c r="Z170" s="26" t="s">
        <v>488</v>
      </c>
      <c r="AA170" s="27"/>
      <c r="AB170" s="27">
        <v>20933828.129999999</v>
      </c>
      <c r="AC170" s="34"/>
      <c r="AD170" s="30">
        <v>20933828.129999999</v>
      </c>
      <c r="AE170" s="31">
        <v>42398563.480000004</v>
      </c>
      <c r="AF170" s="27">
        <v>5434688.2400000002</v>
      </c>
      <c r="AG170" s="31">
        <v>42398563.480000004</v>
      </c>
      <c r="AH170" s="32">
        <v>-21464735.350000005</v>
      </c>
      <c r="AI170" s="33">
        <v>2.0253612104151735</v>
      </c>
    </row>
    <row r="171" spans="1:35" hidden="1" x14ac:dyDescent="0.25">
      <c r="A171" s="25" t="s">
        <v>489</v>
      </c>
      <c r="B171" s="26" t="s">
        <v>490</v>
      </c>
      <c r="C171" s="27"/>
      <c r="D171" s="27">
        <f>+[1]Hoja3!F19</f>
        <v>1579921.17</v>
      </c>
      <c r="E171" s="34"/>
      <c r="F171" s="30">
        <f t="shared" si="48"/>
        <v>1579921.17</v>
      </c>
      <c r="G171" s="31">
        <v>9379896.3300000001</v>
      </c>
      <c r="H171" s="27">
        <v>2689617.58</v>
      </c>
      <c r="I171" s="31">
        <v>9379896.3300000001</v>
      </c>
      <c r="J171" s="32">
        <f t="shared" si="52"/>
        <v>-7799975.1600000001</v>
      </c>
      <c r="K171" s="33">
        <f t="shared" si="40"/>
        <v>5.9369394550235697</v>
      </c>
      <c r="L171" s="113">
        <f t="shared" si="38"/>
        <v>0</v>
      </c>
      <c r="M171" s="25" t="s">
        <v>489</v>
      </c>
      <c r="N171" s="26" t="s">
        <v>490</v>
      </c>
      <c r="O171" s="27"/>
      <c r="P171" s="27">
        <v>1579921.17</v>
      </c>
      <c r="Q171" s="34"/>
      <c r="R171" s="30">
        <v>1579921.17</v>
      </c>
      <c r="S171" s="31">
        <v>3565688.59</v>
      </c>
      <c r="T171" s="27">
        <v>3124590.16</v>
      </c>
      <c r="U171" s="31">
        <v>6690278.75</v>
      </c>
      <c r="V171" s="32">
        <v>-5110357.58</v>
      </c>
      <c r="W171" s="33">
        <v>4.2345649118683566</v>
      </c>
      <c r="Y171" s="25" t="s">
        <v>489</v>
      </c>
      <c r="Z171" s="26" t="s">
        <v>490</v>
      </c>
      <c r="AA171" s="27"/>
      <c r="AB171" s="27">
        <v>1579921.17</v>
      </c>
      <c r="AC171" s="34"/>
      <c r="AD171" s="30">
        <v>1579921.17</v>
      </c>
      <c r="AE171" s="31">
        <v>9379896.3300000001</v>
      </c>
      <c r="AF171" s="27">
        <v>2689617.58</v>
      </c>
      <c r="AG171" s="31">
        <v>9379896.3300000001</v>
      </c>
      <c r="AH171" s="32">
        <v>-7799975.1600000001</v>
      </c>
      <c r="AI171" s="33">
        <v>5.9369394550235697</v>
      </c>
    </row>
    <row r="172" spans="1:35" hidden="1" x14ac:dyDescent="0.25">
      <c r="A172" s="25" t="s">
        <v>491</v>
      </c>
      <c r="B172" s="26" t="s">
        <v>492</v>
      </c>
      <c r="C172" s="27"/>
      <c r="D172" s="27"/>
      <c r="E172" s="34"/>
      <c r="F172" s="30">
        <f t="shared" si="48"/>
        <v>0</v>
      </c>
      <c r="G172" s="31">
        <v>115201144.66</v>
      </c>
      <c r="H172" s="27">
        <v>11485107.66</v>
      </c>
      <c r="I172" s="31">
        <v>115201144.66</v>
      </c>
      <c r="J172" s="32">
        <f t="shared" si="52"/>
        <v>-115201144.66</v>
      </c>
      <c r="K172" s="33" t="e">
        <f t="shared" si="40"/>
        <v>#DIV/0!</v>
      </c>
      <c r="L172" s="113">
        <f t="shared" si="38"/>
        <v>0</v>
      </c>
      <c r="M172" s="25" t="s">
        <v>491</v>
      </c>
      <c r="N172" s="26" t="s">
        <v>492</v>
      </c>
      <c r="O172" s="27"/>
      <c r="P172" s="27"/>
      <c r="Q172" s="34"/>
      <c r="R172" s="30">
        <v>0</v>
      </c>
      <c r="S172" s="31">
        <v>91566557</v>
      </c>
      <c r="T172" s="27">
        <v>12149480</v>
      </c>
      <c r="U172" s="31">
        <v>103716037</v>
      </c>
      <c r="V172" s="32">
        <v>-103716037</v>
      </c>
      <c r="W172" s="33" t="e">
        <v>#DIV/0!</v>
      </c>
      <c r="Y172" s="25" t="s">
        <v>491</v>
      </c>
      <c r="Z172" s="26" t="s">
        <v>492</v>
      </c>
      <c r="AA172" s="27"/>
      <c r="AB172" s="27"/>
      <c r="AC172" s="34"/>
      <c r="AD172" s="30">
        <v>0</v>
      </c>
      <c r="AE172" s="31">
        <v>115201144.66</v>
      </c>
      <c r="AF172" s="27">
        <v>11485107.66</v>
      </c>
      <c r="AG172" s="31">
        <v>115201144.66</v>
      </c>
      <c r="AH172" s="32">
        <v>-115201144.66</v>
      </c>
      <c r="AI172" s="33" t="e">
        <v>#DIV/0!</v>
      </c>
    </row>
    <row r="173" spans="1:35" hidden="1" x14ac:dyDescent="0.25">
      <c r="A173" s="25" t="s">
        <v>493</v>
      </c>
      <c r="B173" s="26" t="s">
        <v>494</v>
      </c>
      <c r="C173" s="27"/>
      <c r="D173" s="27">
        <f>+[1]Hoja3!F21</f>
        <v>2489290.7400000002</v>
      </c>
      <c r="E173" s="34"/>
      <c r="F173" s="30">
        <f t="shared" si="48"/>
        <v>2489290.7400000002</v>
      </c>
      <c r="G173" s="31">
        <v>8309984.1299999999</v>
      </c>
      <c r="H173" s="27">
        <v>6018652.6799999997</v>
      </c>
      <c r="I173" s="31">
        <v>8309984.1299999999</v>
      </c>
      <c r="J173" s="32">
        <f t="shared" si="52"/>
        <v>-5820693.3899999997</v>
      </c>
      <c r="K173" s="33">
        <f t="shared" si="40"/>
        <v>3.3382939149968474</v>
      </c>
      <c r="L173" s="113">
        <f t="shared" si="38"/>
        <v>0</v>
      </c>
      <c r="M173" s="25" t="s">
        <v>493</v>
      </c>
      <c r="N173" s="26" t="s">
        <v>494</v>
      </c>
      <c r="O173" s="27"/>
      <c r="P173" s="27">
        <v>2489290.7400000002</v>
      </c>
      <c r="Q173" s="34"/>
      <c r="R173" s="30">
        <v>2489290.7400000002</v>
      </c>
      <c r="S173" s="31">
        <v>2115017.2200000002</v>
      </c>
      <c r="T173" s="27">
        <v>176314.23</v>
      </c>
      <c r="U173" s="31">
        <v>2291331.4500000002</v>
      </c>
      <c r="V173" s="32">
        <v>197959.29000000004</v>
      </c>
      <c r="W173" s="33">
        <v>0.92047562511721714</v>
      </c>
      <c r="Y173" s="25" t="s">
        <v>493</v>
      </c>
      <c r="Z173" s="26" t="s">
        <v>494</v>
      </c>
      <c r="AA173" s="27"/>
      <c r="AB173" s="27">
        <v>2489290.7400000002</v>
      </c>
      <c r="AC173" s="34"/>
      <c r="AD173" s="30">
        <v>2489290.7400000002</v>
      </c>
      <c r="AE173" s="31">
        <v>8309984.1299999999</v>
      </c>
      <c r="AF173" s="27">
        <v>6018652.6799999997</v>
      </c>
      <c r="AG173" s="31">
        <v>8309984.1299999999</v>
      </c>
      <c r="AH173" s="32">
        <v>-5820693.3899999997</v>
      </c>
      <c r="AI173" s="33">
        <v>3.3382939149968474</v>
      </c>
    </row>
    <row r="174" spans="1:35" hidden="1" x14ac:dyDescent="0.25">
      <c r="A174" s="25" t="s">
        <v>495</v>
      </c>
      <c r="B174" s="26" t="s">
        <v>496</v>
      </c>
      <c r="C174" s="27"/>
      <c r="D174" s="27"/>
      <c r="E174" s="34"/>
      <c r="F174" s="30">
        <f t="shared" si="48"/>
        <v>0</v>
      </c>
      <c r="G174" s="31">
        <v>8481475.7599999998</v>
      </c>
      <c r="H174" s="27">
        <v>6723798.8700000001</v>
      </c>
      <c r="I174" s="31">
        <v>8481475.7599999998</v>
      </c>
      <c r="J174" s="32">
        <f t="shared" si="52"/>
        <v>-8481475.7599999998</v>
      </c>
      <c r="K174" s="33" t="e">
        <f t="shared" si="40"/>
        <v>#DIV/0!</v>
      </c>
      <c r="L174" s="113">
        <f t="shared" si="38"/>
        <v>0</v>
      </c>
      <c r="M174" s="25" t="s">
        <v>495</v>
      </c>
      <c r="N174" s="26" t="s">
        <v>496</v>
      </c>
      <c r="O174" s="27"/>
      <c r="P174" s="27"/>
      <c r="Q174" s="34"/>
      <c r="R174" s="30">
        <v>0</v>
      </c>
      <c r="S174" s="31">
        <v>1259479.48</v>
      </c>
      <c r="T174" s="27">
        <v>498197.41</v>
      </c>
      <c r="U174" s="31">
        <v>1757676.89</v>
      </c>
      <c r="V174" s="32">
        <v>-1757676.89</v>
      </c>
      <c r="W174" s="33" t="e">
        <v>#DIV/0!</v>
      </c>
      <c r="Y174" s="25" t="s">
        <v>495</v>
      </c>
      <c r="Z174" s="26" t="s">
        <v>496</v>
      </c>
      <c r="AA174" s="27"/>
      <c r="AB174" s="27"/>
      <c r="AC174" s="34"/>
      <c r="AD174" s="30">
        <v>0</v>
      </c>
      <c r="AE174" s="31">
        <v>8481475.7599999998</v>
      </c>
      <c r="AF174" s="27">
        <v>6723798.8700000001</v>
      </c>
      <c r="AG174" s="31">
        <v>8481475.7599999998</v>
      </c>
      <c r="AH174" s="32">
        <v>-8481475.7599999998</v>
      </c>
      <c r="AI174" s="33" t="e">
        <v>#DIV/0!</v>
      </c>
    </row>
    <row r="175" spans="1:35" hidden="1" x14ac:dyDescent="0.25">
      <c r="A175" s="25" t="s">
        <v>497</v>
      </c>
      <c r="B175" s="26" t="s">
        <v>498</v>
      </c>
      <c r="C175" s="27">
        <v>360566197</v>
      </c>
      <c r="D175" s="27"/>
      <c r="E175" s="34"/>
      <c r="F175" s="30">
        <f t="shared" si="48"/>
        <v>360566197</v>
      </c>
      <c r="G175" s="31">
        <v>142604020.09</v>
      </c>
      <c r="H175" s="27">
        <v>21215110.379999999</v>
      </c>
      <c r="I175" s="31">
        <v>142604020.09</v>
      </c>
      <c r="J175" s="32">
        <f t="shared" si="52"/>
        <v>217962176.91</v>
      </c>
      <c r="K175" s="33">
        <f t="shared" si="40"/>
        <v>0.39550024732351713</v>
      </c>
      <c r="L175" s="113">
        <f t="shared" si="38"/>
        <v>0</v>
      </c>
      <c r="M175" s="25" t="s">
        <v>497</v>
      </c>
      <c r="N175" s="26" t="s">
        <v>498</v>
      </c>
      <c r="O175" s="27">
        <v>360566197</v>
      </c>
      <c r="P175" s="27"/>
      <c r="Q175" s="34"/>
      <c r="R175" s="30">
        <v>360566197</v>
      </c>
      <c r="S175" s="31">
        <v>83579598.969999999</v>
      </c>
      <c r="T175" s="27">
        <v>41424837.619999997</v>
      </c>
      <c r="U175" s="31">
        <v>121388909.71000001</v>
      </c>
      <c r="V175" s="32">
        <v>239177287.28999999</v>
      </c>
      <c r="W175" s="33">
        <v>0.33666192427350589</v>
      </c>
      <c r="Y175" s="25" t="s">
        <v>497</v>
      </c>
      <c r="Z175" s="26" t="s">
        <v>498</v>
      </c>
      <c r="AA175" s="27">
        <v>360566197</v>
      </c>
      <c r="AB175" s="27"/>
      <c r="AC175" s="34"/>
      <c r="AD175" s="30">
        <v>360566197</v>
      </c>
      <c r="AE175" s="31">
        <v>142604020.09</v>
      </c>
      <c r="AF175" s="27">
        <v>21215110.379999999</v>
      </c>
      <c r="AG175" s="31">
        <v>142604020.09</v>
      </c>
      <c r="AH175" s="32">
        <v>217962176.91</v>
      </c>
      <c r="AI175" s="33">
        <v>0.39550024732351713</v>
      </c>
    </row>
    <row r="176" spans="1:35" hidden="1" x14ac:dyDescent="0.25">
      <c r="A176" s="25" t="s">
        <v>499</v>
      </c>
      <c r="B176" s="26" t="s">
        <v>500</v>
      </c>
      <c r="C176" s="27"/>
      <c r="D176" s="27"/>
      <c r="E176" s="34"/>
      <c r="F176" s="30">
        <f t="shared" si="48"/>
        <v>0</v>
      </c>
      <c r="G176" s="31">
        <v>1190171</v>
      </c>
      <c r="H176" s="27"/>
      <c r="I176" s="31">
        <v>1190171</v>
      </c>
      <c r="J176" s="32">
        <f t="shared" si="52"/>
        <v>-1190171</v>
      </c>
      <c r="K176" s="33" t="e">
        <f t="shared" si="40"/>
        <v>#DIV/0!</v>
      </c>
      <c r="L176" s="113">
        <f t="shared" si="38"/>
        <v>0</v>
      </c>
      <c r="M176" s="25" t="s">
        <v>499</v>
      </c>
      <c r="N176" s="26" t="s">
        <v>500</v>
      </c>
      <c r="O176" s="27"/>
      <c r="P176" s="27"/>
      <c r="Q176" s="34"/>
      <c r="R176" s="30">
        <v>0</v>
      </c>
      <c r="S176" s="31">
        <v>684596</v>
      </c>
      <c r="T176" s="27">
        <v>505575</v>
      </c>
      <c r="U176" s="31">
        <v>1190171</v>
      </c>
      <c r="V176" s="32">
        <v>-1190171</v>
      </c>
      <c r="W176" s="33" t="e">
        <v>#DIV/0!</v>
      </c>
      <c r="Y176" s="25" t="s">
        <v>499</v>
      </c>
      <c r="Z176" s="26" t="s">
        <v>500</v>
      </c>
      <c r="AA176" s="27"/>
      <c r="AB176" s="27"/>
      <c r="AC176" s="34"/>
      <c r="AD176" s="30">
        <v>0</v>
      </c>
      <c r="AE176" s="31">
        <v>1190171</v>
      </c>
      <c r="AF176" s="27"/>
      <c r="AG176" s="31">
        <v>1190171</v>
      </c>
      <c r="AH176" s="32">
        <v>-1190171</v>
      </c>
      <c r="AI176" s="33" t="e">
        <v>#DIV/0!</v>
      </c>
    </row>
    <row r="177" spans="1:36" hidden="1" x14ac:dyDescent="0.25">
      <c r="A177" s="25" t="s">
        <v>501</v>
      </c>
      <c r="B177" s="26" t="s">
        <v>502</v>
      </c>
      <c r="C177" s="27"/>
      <c r="D177" s="27"/>
      <c r="E177" s="34"/>
      <c r="F177" s="30">
        <f t="shared" si="48"/>
        <v>0</v>
      </c>
      <c r="G177" s="31">
        <v>18589726</v>
      </c>
      <c r="H177" s="27">
        <v>522936</v>
      </c>
      <c r="I177" s="31">
        <v>18589726</v>
      </c>
      <c r="J177" s="32">
        <f t="shared" si="52"/>
        <v>-18589726</v>
      </c>
      <c r="K177" s="33" t="e">
        <f t="shared" si="40"/>
        <v>#DIV/0!</v>
      </c>
      <c r="L177" s="113">
        <f t="shared" si="38"/>
        <v>0</v>
      </c>
      <c r="M177" s="25" t="s">
        <v>501</v>
      </c>
      <c r="N177" s="26" t="s">
        <v>502</v>
      </c>
      <c r="O177" s="27"/>
      <c r="P177" s="27"/>
      <c r="Q177" s="34"/>
      <c r="R177" s="30">
        <v>0</v>
      </c>
      <c r="S177" s="31">
        <v>11964778</v>
      </c>
      <c r="T177" s="27">
        <v>6102012</v>
      </c>
      <c r="U177" s="31">
        <v>18066790</v>
      </c>
      <c r="V177" s="32">
        <v>-18066790</v>
      </c>
      <c r="W177" s="33" t="e">
        <v>#DIV/0!</v>
      </c>
      <c r="Y177" s="25" t="s">
        <v>501</v>
      </c>
      <c r="Z177" s="26" t="s">
        <v>502</v>
      </c>
      <c r="AA177" s="27"/>
      <c r="AB177" s="27"/>
      <c r="AC177" s="34"/>
      <c r="AD177" s="30">
        <v>0</v>
      </c>
      <c r="AE177" s="31">
        <v>18589726</v>
      </c>
      <c r="AF177" s="27">
        <v>522936</v>
      </c>
      <c r="AG177" s="31">
        <v>18589726</v>
      </c>
      <c r="AH177" s="32">
        <v>-18589726</v>
      </c>
      <c r="AI177" s="33" t="e">
        <v>#DIV/0!</v>
      </c>
    </row>
    <row r="178" spans="1:36" hidden="1" x14ac:dyDescent="0.25">
      <c r="A178" s="25" t="s">
        <v>503</v>
      </c>
      <c r="B178" s="26" t="s">
        <v>504</v>
      </c>
      <c r="C178" s="27"/>
      <c r="D178" s="27"/>
      <c r="E178" s="34"/>
      <c r="F178" s="30">
        <f t="shared" si="48"/>
        <v>0</v>
      </c>
      <c r="G178" s="31">
        <v>49345833</v>
      </c>
      <c r="H178" s="27">
        <v>7086220</v>
      </c>
      <c r="I178" s="31">
        <v>49345833</v>
      </c>
      <c r="J178" s="32">
        <f t="shared" si="52"/>
        <v>-49345833</v>
      </c>
      <c r="K178" s="33" t="e">
        <f t="shared" si="40"/>
        <v>#DIV/0!</v>
      </c>
      <c r="L178" s="113">
        <f t="shared" si="38"/>
        <v>0</v>
      </c>
      <c r="M178" s="25" t="s">
        <v>503</v>
      </c>
      <c r="N178" s="26" t="s">
        <v>504</v>
      </c>
      <c r="O178" s="27"/>
      <c r="P178" s="27"/>
      <c r="Q178" s="34"/>
      <c r="R178" s="30">
        <v>0</v>
      </c>
      <c r="S178" s="31">
        <v>42259613</v>
      </c>
      <c r="T178" s="27"/>
      <c r="U178" s="31">
        <v>42259613</v>
      </c>
      <c r="V178" s="32">
        <v>-42259613</v>
      </c>
      <c r="W178" s="33" t="e">
        <v>#DIV/0!</v>
      </c>
      <c r="Y178" s="25" t="s">
        <v>503</v>
      </c>
      <c r="Z178" s="26" t="s">
        <v>504</v>
      </c>
      <c r="AA178" s="27"/>
      <c r="AB178" s="27"/>
      <c r="AC178" s="34"/>
      <c r="AD178" s="30">
        <v>0</v>
      </c>
      <c r="AE178" s="31">
        <v>49345833</v>
      </c>
      <c r="AF178" s="27">
        <v>7086220</v>
      </c>
      <c r="AG178" s="31">
        <v>49345833</v>
      </c>
      <c r="AH178" s="32">
        <v>-49345833</v>
      </c>
      <c r="AI178" s="33" t="e">
        <v>#DIV/0!</v>
      </c>
    </row>
    <row r="179" spans="1:36" hidden="1" x14ac:dyDescent="0.25">
      <c r="A179" s="125">
        <v>1262212</v>
      </c>
      <c r="B179" s="26" t="s">
        <v>871</v>
      </c>
      <c r="C179" s="34"/>
      <c r="D179" s="34"/>
      <c r="E179" s="34"/>
      <c r="F179" s="30">
        <f t="shared" si="48"/>
        <v>0</v>
      </c>
      <c r="G179" s="31">
        <v>2976256</v>
      </c>
      <c r="H179" s="27">
        <v>728679</v>
      </c>
      <c r="I179" s="31">
        <v>2976256</v>
      </c>
      <c r="J179" s="32">
        <f t="shared" si="52"/>
        <v>-2976256</v>
      </c>
      <c r="K179" s="33" t="e">
        <f t="shared" si="40"/>
        <v>#DIV/0!</v>
      </c>
      <c r="L179" s="113">
        <f t="shared" si="38"/>
        <v>0</v>
      </c>
      <c r="M179" s="125">
        <v>1262212</v>
      </c>
      <c r="N179" s="26" t="s">
        <v>871</v>
      </c>
      <c r="O179" s="34"/>
      <c r="P179" s="34"/>
      <c r="Q179" s="34"/>
      <c r="R179" s="30">
        <v>0</v>
      </c>
      <c r="S179" s="31">
        <v>1557342</v>
      </c>
      <c r="T179" s="27">
        <v>690235</v>
      </c>
      <c r="U179" s="31">
        <v>2247577</v>
      </c>
      <c r="V179" s="32">
        <v>-2247577</v>
      </c>
      <c r="W179" s="33" t="e">
        <v>#DIV/0!</v>
      </c>
      <c r="Y179" s="125">
        <v>1262212</v>
      </c>
      <c r="Z179" s="26" t="s">
        <v>871</v>
      </c>
      <c r="AA179" s="34"/>
      <c r="AB179" s="34"/>
      <c r="AC179" s="34"/>
      <c r="AD179" s="30">
        <v>0</v>
      </c>
      <c r="AE179" s="31">
        <v>2976256</v>
      </c>
      <c r="AF179" s="27">
        <v>728679</v>
      </c>
      <c r="AG179" s="31">
        <v>2976256</v>
      </c>
      <c r="AH179" s="32">
        <v>-2976256</v>
      </c>
      <c r="AI179" s="33" t="e">
        <v>#DIV/0!</v>
      </c>
    </row>
    <row r="180" spans="1:36" hidden="1" x14ac:dyDescent="0.25">
      <c r="A180" s="125">
        <v>12627</v>
      </c>
      <c r="B180" s="26" t="s">
        <v>872</v>
      </c>
      <c r="C180" s="34"/>
      <c r="D180" s="34">
        <v>315987440</v>
      </c>
      <c r="E180" s="34"/>
      <c r="F180" s="30">
        <f t="shared" si="48"/>
        <v>315987440</v>
      </c>
      <c r="G180" s="31">
        <v>315987440</v>
      </c>
      <c r="H180" s="27"/>
      <c r="I180" s="31">
        <v>315987440</v>
      </c>
      <c r="J180" s="32">
        <f t="shared" si="52"/>
        <v>0</v>
      </c>
      <c r="K180" s="33">
        <f t="shared" si="40"/>
        <v>1</v>
      </c>
      <c r="L180" s="113">
        <f t="shared" si="38"/>
        <v>0</v>
      </c>
      <c r="M180" s="125">
        <v>12627</v>
      </c>
      <c r="N180" s="26" t="s">
        <v>872</v>
      </c>
      <c r="O180" s="34"/>
      <c r="P180" s="34">
        <v>315987440</v>
      </c>
      <c r="Q180" s="34"/>
      <c r="R180" s="30">
        <v>315987440</v>
      </c>
      <c r="S180" s="31">
        <v>315987440</v>
      </c>
      <c r="T180" s="27"/>
      <c r="U180" s="31">
        <v>315987440</v>
      </c>
      <c r="V180" s="32">
        <v>0</v>
      </c>
      <c r="W180" s="33">
        <v>1</v>
      </c>
      <c r="Y180" s="125">
        <v>12627</v>
      </c>
      <c r="Z180" s="26" t="s">
        <v>872</v>
      </c>
      <c r="AA180" s="34"/>
      <c r="AB180" s="34">
        <v>315987440</v>
      </c>
      <c r="AC180" s="34"/>
      <c r="AD180" s="30">
        <v>315987440</v>
      </c>
      <c r="AE180" s="31">
        <v>315987440</v>
      </c>
      <c r="AF180" s="27"/>
      <c r="AG180" s="31">
        <v>315987440</v>
      </c>
      <c r="AH180" s="32">
        <v>0</v>
      </c>
      <c r="AI180" s="33">
        <v>1</v>
      </c>
    </row>
    <row r="181" spans="1:36" hidden="1" x14ac:dyDescent="0.25">
      <c r="C181" s="4"/>
      <c r="D181" s="4"/>
      <c r="F181" s="4"/>
      <c r="Y181" s="113"/>
      <c r="Z181" s="113"/>
      <c r="AA181" s="127"/>
    </row>
    <row r="182" spans="1:36" ht="15.75" thickBot="1" x14ac:dyDescent="0.3">
      <c r="C182" s="4"/>
      <c r="D182" s="4"/>
      <c r="F182" s="4"/>
      <c r="G182" s="4"/>
      <c r="I182" s="4"/>
      <c r="Z182" s="113"/>
      <c r="AA182" s="127"/>
    </row>
    <row r="183" spans="1:36" ht="30" x14ac:dyDescent="0.25">
      <c r="A183" s="9"/>
      <c r="B183" s="10" t="str">
        <f>+B4</f>
        <v>NOMBRE</v>
      </c>
      <c r="C183" s="10" t="str">
        <f t="shared" ref="C183:J183" si="53">+C4</f>
        <v>PRESUPUESTO INICIAL</v>
      </c>
      <c r="D183" s="10" t="str">
        <f t="shared" si="53"/>
        <v>ADICIONES</v>
      </c>
      <c r="E183" s="10" t="str">
        <f t="shared" si="53"/>
        <v>REDUCCIONES</v>
      </c>
      <c r="F183" s="10" t="str">
        <f t="shared" si="53"/>
        <v>PRESUPUESTO DEFINITIVO</v>
      </c>
      <c r="G183" s="10" t="str">
        <f t="shared" si="53"/>
        <v>PAC-     ACUMULADO</v>
      </c>
      <c r="H183" s="10" t="str">
        <f t="shared" si="53"/>
        <v>RECAUDOS MES</v>
      </c>
      <c r="I183" s="10" t="str">
        <f t="shared" si="53"/>
        <v>RECAUDOS ACUMULADO</v>
      </c>
      <c r="J183" s="10" t="str">
        <f t="shared" si="53"/>
        <v>SALDO     POR  RECAUDAR</v>
      </c>
      <c r="K183" s="2"/>
      <c r="Z183" s="113"/>
      <c r="AA183" s="127"/>
    </row>
    <row r="184" spans="1:36" x14ac:dyDescent="0.25">
      <c r="A184" s="314"/>
      <c r="B184" s="139" t="str">
        <f>+B5</f>
        <v>PRESUPUESTO DE INGRESOS</v>
      </c>
      <c r="C184" s="315">
        <f>+C185+C196</f>
        <v>128545687388</v>
      </c>
      <c r="D184" s="315">
        <f t="shared" ref="D184:J184" si="54">+D185+D196</f>
        <v>24369960169.77</v>
      </c>
      <c r="E184" s="315">
        <f t="shared" si="54"/>
        <v>0</v>
      </c>
      <c r="F184" s="315">
        <f t="shared" si="54"/>
        <v>152915647557.76999</v>
      </c>
      <c r="G184" s="315">
        <f>+G185+G196</f>
        <v>87591741449.449997</v>
      </c>
      <c r="H184" s="315">
        <f t="shared" si="54"/>
        <v>8159252731.9800005</v>
      </c>
      <c r="I184" s="315">
        <f t="shared" si="54"/>
        <v>87591741449.449997</v>
      </c>
      <c r="J184" s="315">
        <f t="shared" si="54"/>
        <v>61359708865.640007</v>
      </c>
      <c r="K184" s="2"/>
      <c r="Z184" s="113"/>
      <c r="AA184" s="127"/>
    </row>
    <row r="185" spans="1:36" x14ac:dyDescent="0.25">
      <c r="B185" s="316" t="s">
        <v>935</v>
      </c>
      <c r="C185" s="317">
        <f>+C186+C189+C193</f>
        <v>121479878148</v>
      </c>
      <c r="D185" s="317">
        <f t="shared" ref="D185:J185" si="55">+D186+D189+D193</f>
        <v>4645801849</v>
      </c>
      <c r="E185" s="317">
        <f t="shared" si="55"/>
        <v>0</v>
      </c>
      <c r="F185" s="317">
        <f t="shared" si="55"/>
        <v>126125679997</v>
      </c>
      <c r="G185" s="317">
        <f t="shared" si="55"/>
        <v>64829473589.800003</v>
      </c>
      <c r="H185" s="317">
        <f t="shared" si="55"/>
        <v>8099765719.6700001</v>
      </c>
      <c r="I185" s="317">
        <f t="shared" si="55"/>
        <v>60581102687.799995</v>
      </c>
      <c r="J185" s="317">
        <f t="shared" si="55"/>
        <v>58394947339.200005</v>
      </c>
      <c r="L185" s="329">
        <f>+'FUENTES Y USOS'!K4</f>
        <v>87565282911.190002</v>
      </c>
      <c r="Z185" s="113"/>
      <c r="AA185" s="127"/>
      <c r="AJ185" s="331">
        <f>+L185-G185</f>
        <v>22735809321.389999</v>
      </c>
    </row>
    <row r="186" spans="1:36" s="20" customFormat="1" x14ac:dyDescent="0.25">
      <c r="A186" s="311"/>
      <c r="B186" s="318" t="s">
        <v>999</v>
      </c>
      <c r="C186" s="319">
        <f>+C187+C188</f>
        <v>46439868581</v>
      </c>
      <c r="D186" s="319">
        <f t="shared" ref="D186:J186" si="56">+D187+D188</f>
        <v>315987440</v>
      </c>
      <c r="E186" s="319">
        <f t="shared" si="56"/>
        <v>0</v>
      </c>
      <c r="F186" s="319">
        <f t="shared" si="56"/>
        <v>46755856021</v>
      </c>
      <c r="G186" s="319">
        <f t="shared" si="56"/>
        <v>19507170507.529999</v>
      </c>
      <c r="H186" s="319">
        <f t="shared" si="56"/>
        <v>2425456952</v>
      </c>
      <c r="I186" s="319">
        <f t="shared" si="56"/>
        <v>19507170507.529999</v>
      </c>
      <c r="J186" s="319">
        <f t="shared" si="56"/>
        <v>23316949787.470001</v>
      </c>
      <c r="Z186" s="312"/>
      <c r="AA186" s="313"/>
    </row>
    <row r="187" spans="1:36" x14ac:dyDescent="0.25">
      <c r="B187" s="320" t="str">
        <f t="shared" ref="B187:J187" si="57">+B11</f>
        <v>Servicios de Educación</v>
      </c>
      <c r="C187" s="251">
        <f t="shared" si="57"/>
        <v>44516571785</v>
      </c>
      <c r="D187" s="251">
        <f t="shared" si="57"/>
        <v>0</v>
      </c>
      <c r="E187" s="251">
        <f t="shared" si="57"/>
        <v>0</v>
      </c>
      <c r="F187" s="251">
        <f t="shared" si="57"/>
        <v>44516571785</v>
      </c>
      <c r="G187" s="251">
        <f t="shared" si="57"/>
        <v>18297931383.529999</v>
      </c>
      <c r="H187" s="251">
        <f t="shared" si="57"/>
        <v>2322738735</v>
      </c>
      <c r="I187" s="251">
        <f t="shared" si="57"/>
        <v>18297931383.529999</v>
      </c>
      <c r="J187" s="251">
        <f t="shared" si="57"/>
        <v>22286904675.470001</v>
      </c>
      <c r="K187" s="2"/>
      <c r="Z187" s="113"/>
      <c r="AA187" s="127"/>
    </row>
    <row r="188" spans="1:36" x14ac:dyDescent="0.25">
      <c r="B188" s="320" t="s">
        <v>992</v>
      </c>
      <c r="C188" s="251">
        <f>+C81+C84+C180</f>
        <v>1923296796</v>
      </c>
      <c r="D188" s="251">
        <f t="shared" ref="D188:J188" si="58">+D81+D84+D180</f>
        <v>315987440</v>
      </c>
      <c r="E188" s="251">
        <f t="shared" si="58"/>
        <v>0</v>
      </c>
      <c r="F188" s="251">
        <f t="shared" si="58"/>
        <v>2239284236</v>
      </c>
      <c r="G188" s="251">
        <f t="shared" si="58"/>
        <v>1209239124</v>
      </c>
      <c r="H188" s="251">
        <f t="shared" si="58"/>
        <v>102718217</v>
      </c>
      <c r="I188" s="251">
        <f t="shared" si="58"/>
        <v>1209239124</v>
      </c>
      <c r="J188" s="251">
        <f t="shared" si="58"/>
        <v>1030045112</v>
      </c>
      <c r="K188" s="113"/>
      <c r="Z188" s="113"/>
      <c r="AA188" s="127"/>
    </row>
    <row r="189" spans="1:36" s="20" customFormat="1" x14ac:dyDescent="0.25">
      <c r="A189" s="311"/>
      <c r="B189" s="318" t="str">
        <f>+B126</f>
        <v>TRANSFERENCIAS CORRIENTES</v>
      </c>
      <c r="C189" s="319">
        <f>+C190+C191+C192</f>
        <v>74679443370</v>
      </c>
      <c r="D189" s="319">
        <f t="shared" ref="D189:J189" si="59">+D190+D191+D192</f>
        <v>81443507</v>
      </c>
      <c r="E189" s="319">
        <f t="shared" si="59"/>
        <v>0</v>
      </c>
      <c r="F189" s="319">
        <f t="shared" si="59"/>
        <v>74760886877</v>
      </c>
      <c r="G189" s="319">
        <f t="shared" si="59"/>
        <v>40918722492</v>
      </c>
      <c r="H189" s="319">
        <f t="shared" si="59"/>
        <v>5650660410</v>
      </c>
      <c r="I189" s="319">
        <f t="shared" si="59"/>
        <v>40918722492</v>
      </c>
      <c r="J189" s="319">
        <f t="shared" si="59"/>
        <v>34872641043</v>
      </c>
      <c r="Z189" s="312"/>
      <c r="AA189" s="313"/>
    </row>
    <row r="190" spans="1:36" x14ac:dyDescent="0.25">
      <c r="B190" s="320" t="s">
        <v>993</v>
      </c>
      <c r="C190" s="251">
        <f>+C129+C130+C131+C141</f>
        <v>65079060792</v>
      </c>
      <c r="D190" s="251">
        <f t="shared" ref="D190:J190" si="60">+D129+D130+D131+D141</f>
        <v>81443507</v>
      </c>
      <c r="E190" s="251">
        <f t="shared" si="60"/>
        <v>0</v>
      </c>
      <c r="F190" s="251">
        <f t="shared" si="60"/>
        <v>65160504299</v>
      </c>
      <c r="G190" s="251">
        <f t="shared" si="60"/>
        <v>39753079413</v>
      </c>
      <c r="H190" s="251">
        <f t="shared" si="60"/>
        <v>5243822681</v>
      </c>
      <c r="I190" s="251">
        <f t="shared" si="60"/>
        <v>39753079413</v>
      </c>
      <c r="J190" s="251">
        <f t="shared" si="60"/>
        <v>26437901544</v>
      </c>
      <c r="Z190" s="113"/>
    </row>
    <row r="191" spans="1:36" x14ac:dyDescent="0.25">
      <c r="B191" s="320" t="s">
        <v>994</v>
      </c>
      <c r="C191" s="251">
        <f>+C134</f>
        <v>8505059904</v>
      </c>
      <c r="D191" s="251">
        <f t="shared" ref="D191:J191" si="61">+D134</f>
        <v>0</v>
      </c>
      <c r="E191" s="251">
        <f t="shared" si="61"/>
        <v>0</v>
      </c>
      <c r="F191" s="251">
        <f t="shared" si="61"/>
        <v>8505059904</v>
      </c>
      <c r="G191" s="251">
        <f t="shared" si="61"/>
        <v>0</v>
      </c>
      <c r="H191" s="251">
        <f t="shared" si="61"/>
        <v>0</v>
      </c>
      <c r="I191" s="251">
        <f t="shared" si="61"/>
        <v>0</v>
      </c>
      <c r="J191" s="251">
        <f t="shared" si="61"/>
        <v>8505059904</v>
      </c>
      <c r="Z191" s="113"/>
    </row>
    <row r="192" spans="1:36" x14ac:dyDescent="0.25">
      <c r="B192" s="320" t="s">
        <v>995</v>
      </c>
      <c r="C192" s="251">
        <f>+C143</f>
        <v>1095322674</v>
      </c>
      <c r="D192" s="251">
        <f t="shared" ref="D192:J192" si="62">+D143</f>
        <v>0</v>
      </c>
      <c r="E192" s="251">
        <f t="shared" si="62"/>
        <v>0</v>
      </c>
      <c r="F192" s="251">
        <f t="shared" si="62"/>
        <v>1095322674</v>
      </c>
      <c r="G192" s="251">
        <f t="shared" si="62"/>
        <v>1165643079</v>
      </c>
      <c r="H192" s="251">
        <f t="shared" si="62"/>
        <v>406837729</v>
      </c>
      <c r="I192" s="251">
        <f t="shared" si="62"/>
        <v>1165643079</v>
      </c>
      <c r="J192" s="251">
        <f t="shared" si="62"/>
        <v>-70320405</v>
      </c>
      <c r="Z192" s="113"/>
    </row>
    <row r="193" spans="1:36" s="20" customFormat="1" x14ac:dyDescent="0.25">
      <c r="A193" s="311"/>
      <c r="B193" s="318" t="str">
        <f>+B160</f>
        <v>RECURSOS DE CAPITAL</v>
      </c>
      <c r="C193" s="319">
        <f>+C194+C195</f>
        <v>360566197</v>
      </c>
      <c r="D193" s="319">
        <f t="shared" ref="D193:J193" si="63">+D194+D195</f>
        <v>4248370902</v>
      </c>
      <c r="E193" s="319">
        <f t="shared" si="63"/>
        <v>0</v>
      </c>
      <c r="F193" s="319">
        <f t="shared" si="63"/>
        <v>4608937099</v>
      </c>
      <c r="G193" s="319">
        <f t="shared" si="63"/>
        <v>4403580590.2700005</v>
      </c>
      <c r="H193" s="319">
        <f t="shared" si="63"/>
        <v>23648357.669999998</v>
      </c>
      <c r="I193" s="319">
        <f t="shared" si="63"/>
        <v>155209688.27000001</v>
      </c>
      <c r="J193" s="319">
        <f t="shared" si="63"/>
        <v>205356508.72999999</v>
      </c>
      <c r="Z193" s="312"/>
      <c r="AA193" s="313"/>
    </row>
    <row r="194" spans="1:36" x14ac:dyDescent="0.25">
      <c r="B194" s="320" t="s">
        <v>1000</v>
      </c>
      <c r="C194" s="251"/>
      <c r="D194" s="251">
        <v>4248370902</v>
      </c>
      <c r="E194" s="251"/>
      <c r="F194" s="251">
        <f>+C194+D194-E194</f>
        <v>4248370902</v>
      </c>
      <c r="G194" s="251">
        <v>4248370902</v>
      </c>
      <c r="H194" s="251"/>
      <c r="I194" s="251"/>
      <c r="J194" s="251"/>
    </row>
    <row r="195" spans="1:36" x14ac:dyDescent="0.25">
      <c r="B195" s="320" t="s">
        <v>461</v>
      </c>
      <c r="C195" s="251">
        <f>+C168+C175+C179</f>
        <v>360566197</v>
      </c>
      <c r="D195" s="251">
        <f t="shared" ref="D195:J195" si="64">+D168+D175+D179</f>
        <v>0</v>
      </c>
      <c r="E195" s="251">
        <f t="shared" si="64"/>
        <v>0</v>
      </c>
      <c r="F195" s="251">
        <f t="shared" si="64"/>
        <v>360566197</v>
      </c>
      <c r="G195" s="251">
        <f t="shared" si="64"/>
        <v>155209688.27000001</v>
      </c>
      <c r="H195" s="251">
        <f t="shared" si="64"/>
        <v>23648357.669999998</v>
      </c>
      <c r="I195" s="251">
        <f t="shared" si="64"/>
        <v>155209688.27000001</v>
      </c>
      <c r="J195" s="251">
        <f t="shared" si="64"/>
        <v>205356508.72999999</v>
      </c>
    </row>
    <row r="196" spans="1:36" x14ac:dyDescent="0.25">
      <c r="B196" s="321" t="s">
        <v>937</v>
      </c>
      <c r="C196" s="322">
        <f>+C197+C201+C199+C202+C203+C200</f>
        <v>7065809240</v>
      </c>
      <c r="D196" s="322">
        <f t="shared" ref="D196:J196" si="65">+D197+D201+D199+D202+D203+D200</f>
        <v>19724158320.77</v>
      </c>
      <c r="E196" s="322">
        <f t="shared" si="65"/>
        <v>0</v>
      </c>
      <c r="F196" s="322">
        <f t="shared" si="65"/>
        <v>26789967560.77</v>
      </c>
      <c r="G196" s="322">
        <f t="shared" si="65"/>
        <v>22762267859.649998</v>
      </c>
      <c r="H196" s="322">
        <f t="shared" si="65"/>
        <v>59487012.310000002</v>
      </c>
      <c r="I196" s="322">
        <f t="shared" si="65"/>
        <v>27010638761.649998</v>
      </c>
      <c r="J196" s="322">
        <f t="shared" si="65"/>
        <v>2964761526.4400001</v>
      </c>
      <c r="L196" s="330">
        <f>+'FUENTES Y USOS'!K18</f>
        <v>27093150570.629997</v>
      </c>
      <c r="AJ196" s="331">
        <f>+L196-G196</f>
        <v>4330882710.9799995</v>
      </c>
    </row>
    <row r="197" spans="1:36" s="20" customFormat="1" x14ac:dyDescent="0.25">
      <c r="A197" s="311"/>
      <c r="B197" s="325" t="str">
        <f>+B189</f>
        <v>TRANSFERENCIAS CORRIENTES</v>
      </c>
      <c r="C197" s="326">
        <f>+C198</f>
        <v>5700000000</v>
      </c>
      <c r="D197" s="326">
        <f t="shared" ref="D197:J197" si="66">+D198</f>
        <v>318488965</v>
      </c>
      <c r="E197" s="326">
        <f t="shared" si="66"/>
        <v>0</v>
      </c>
      <c r="F197" s="326">
        <f t="shared" si="66"/>
        <v>6018488965</v>
      </c>
      <c r="G197" s="326">
        <f t="shared" si="66"/>
        <v>2818488965</v>
      </c>
      <c r="H197" s="326">
        <f t="shared" si="66"/>
        <v>0</v>
      </c>
      <c r="I197" s="326">
        <f t="shared" si="66"/>
        <v>2818488965</v>
      </c>
      <c r="J197" s="326">
        <f t="shared" si="66"/>
        <v>3200000000</v>
      </c>
      <c r="K197" s="327"/>
    </row>
    <row r="198" spans="1:36" x14ac:dyDescent="0.25">
      <c r="B198" s="323" t="s">
        <v>997</v>
      </c>
      <c r="C198" s="324">
        <f>+C132+C133</f>
        <v>5700000000</v>
      </c>
      <c r="D198" s="324">
        <f t="shared" ref="D198:J198" si="67">+D132+D133</f>
        <v>318488965</v>
      </c>
      <c r="E198" s="324">
        <f t="shared" si="67"/>
        <v>0</v>
      </c>
      <c r="F198" s="324">
        <f t="shared" si="67"/>
        <v>6018488965</v>
      </c>
      <c r="G198" s="324">
        <f t="shared" si="67"/>
        <v>2818488965</v>
      </c>
      <c r="H198" s="324">
        <f t="shared" si="67"/>
        <v>0</v>
      </c>
      <c r="I198" s="324">
        <f t="shared" si="67"/>
        <v>2818488965</v>
      </c>
      <c r="J198" s="324">
        <f t="shared" si="67"/>
        <v>3200000000</v>
      </c>
    </row>
    <row r="199" spans="1:36" s="20" customFormat="1" x14ac:dyDescent="0.25">
      <c r="A199" s="311"/>
      <c r="B199" s="325" t="s">
        <v>998</v>
      </c>
      <c r="C199" s="326">
        <f>+C137</f>
        <v>1365809240</v>
      </c>
      <c r="D199" s="326">
        <f t="shared" ref="D199:J199" si="68">+D137</f>
        <v>0</v>
      </c>
      <c r="E199" s="326">
        <f t="shared" si="68"/>
        <v>0</v>
      </c>
      <c r="F199" s="326">
        <f t="shared" si="68"/>
        <v>1365809240</v>
      </c>
      <c r="G199" s="326">
        <f t="shared" si="68"/>
        <v>264104883.31999999</v>
      </c>
      <c r="H199" s="326">
        <f t="shared" si="68"/>
        <v>18377477.84</v>
      </c>
      <c r="I199" s="326">
        <f t="shared" si="68"/>
        <v>264104883.31999999</v>
      </c>
      <c r="J199" s="326">
        <f t="shared" si="68"/>
        <v>0</v>
      </c>
      <c r="K199" s="327"/>
    </row>
    <row r="200" spans="1:36" s="20" customFormat="1" x14ac:dyDescent="0.25">
      <c r="A200" s="311"/>
      <c r="B200" s="328" t="s">
        <v>467</v>
      </c>
      <c r="C200" s="328">
        <f t="shared" ref="C200:J200" si="69">+C144</f>
        <v>0</v>
      </c>
      <c r="D200" s="328">
        <f t="shared" si="69"/>
        <v>889207514</v>
      </c>
      <c r="E200" s="328">
        <f t="shared" si="69"/>
        <v>0</v>
      </c>
      <c r="F200" s="328">
        <f t="shared" si="69"/>
        <v>889207514</v>
      </c>
      <c r="G200" s="328">
        <f t="shared" si="69"/>
        <v>927973696</v>
      </c>
      <c r="H200" s="328">
        <f t="shared" si="69"/>
        <v>0</v>
      </c>
      <c r="I200" s="328">
        <f t="shared" si="69"/>
        <v>927973696</v>
      </c>
      <c r="J200" s="328">
        <f t="shared" si="69"/>
        <v>0</v>
      </c>
      <c r="K200" s="327"/>
    </row>
    <row r="201" spans="1:36" s="20" customFormat="1" x14ac:dyDescent="0.25">
      <c r="A201" s="311"/>
      <c r="B201" s="325" t="str">
        <f>+B161</f>
        <v>RECURSOS DE BALANCE</v>
      </c>
      <c r="C201" s="326">
        <f>+C161-C194</f>
        <v>0</v>
      </c>
      <c r="D201" s="326">
        <f>+D161-D194</f>
        <v>18186853759.73</v>
      </c>
      <c r="E201" s="326">
        <f t="shared" ref="E201:J201" si="70">+E161-E194</f>
        <v>0</v>
      </c>
      <c r="F201" s="326">
        <f t="shared" si="70"/>
        <v>18186853759.73</v>
      </c>
      <c r="G201" s="326">
        <f t="shared" si="70"/>
        <v>18186853759.73</v>
      </c>
      <c r="H201" s="326">
        <f t="shared" si="70"/>
        <v>0</v>
      </c>
      <c r="I201" s="326">
        <f t="shared" si="70"/>
        <v>22435224661.73</v>
      </c>
      <c r="J201" s="326">
        <f t="shared" si="70"/>
        <v>0</v>
      </c>
      <c r="K201" s="327"/>
    </row>
    <row r="202" spans="1:36" s="20" customFormat="1" x14ac:dyDescent="0.25">
      <c r="A202" s="311"/>
      <c r="B202" s="325" t="s">
        <v>996</v>
      </c>
      <c r="C202" s="326">
        <f>+C164</f>
        <v>0</v>
      </c>
      <c r="D202" s="326">
        <f t="shared" ref="D202:J202" si="71">+D164</f>
        <v>304605042</v>
      </c>
      <c r="E202" s="326">
        <f t="shared" si="71"/>
        <v>0</v>
      </c>
      <c r="F202" s="326">
        <f t="shared" si="71"/>
        <v>304605042</v>
      </c>
      <c r="G202" s="326">
        <f t="shared" si="71"/>
        <v>304605042</v>
      </c>
      <c r="H202" s="326">
        <f t="shared" si="71"/>
        <v>0</v>
      </c>
      <c r="I202" s="326">
        <f t="shared" si="71"/>
        <v>304605042</v>
      </c>
      <c r="J202" s="326">
        <f t="shared" si="71"/>
        <v>0</v>
      </c>
      <c r="K202" s="327"/>
    </row>
    <row r="203" spans="1:36" x14ac:dyDescent="0.25">
      <c r="B203" s="323" t="str">
        <f>+B195</f>
        <v>Rendimientos Financieros</v>
      </c>
      <c r="C203" s="324">
        <f>+C167-C168-C175-C179</f>
        <v>0</v>
      </c>
      <c r="D203" s="324">
        <f t="shared" ref="D203:J203" si="72">+D167-D168-D175-D179</f>
        <v>25003040.039999999</v>
      </c>
      <c r="E203" s="324">
        <f t="shared" si="72"/>
        <v>0</v>
      </c>
      <c r="F203" s="324">
        <f t="shared" si="72"/>
        <v>25003040.040000021</v>
      </c>
      <c r="G203" s="324">
        <f t="shared" si="72"/>
        <v>260241513.59999999</v>
      </c>
      <c r="H203" s="324">
        <f t="shared" si="72"/>
        <v>41109534.469999999</v>
      </c>
      <c r="I203" s="324">
        <f t="shared" si="72"/>
        <v>260241513.59999999</v>
      </c>
      <c r="J203" s="324">
        <f t="shared" si="72"/>
        <v>-235238473.55999997</v>
      </c>
    </row>
    <row r="204" spans="1:36" x14ac:dyDescent="0.25">
      <c r="C204" s="127"/>
      <c r="D204" s="127"/>
      <c r="E204" s="127"/>
      <c r="F204" s="127"/>
      <c r="G204" s="127"/>
      <c r="H204" s="127"/>
      <c r="I204" s="127"/>
      <c r="J204" s="127"/>
    </row>
    <row r="205" spans="1:36" x14ac:dyDescent="0.25">
      <c r="C205" s="127">
        <f>+C5</f>
        <v>128545687388</v>
      </c>
      <c r="D205" s="127">
        <f t="shared" ref="D205:J205" si="73">+D5</f>
        <v>24369960169.77</v>
      </c>
      <c r="E205" s="127">
        <f t="shared" si="73"/>
        <v>0</v>
      </c>
      <c r="F205" s="127">
        <f t="shared" si="73"/>
        <v>152915647557.76999</v>
      </c>
      <c r="G205" s="127">
        <f t="shared" si="73"/>
        <v>87591741449.449997</v>
      </c>
      <c r="H205" s="127">
        <f t="shared" si="73"/>
        <v>8159252731.9800005</v>
      </c>
      <c r="I205" s="127">
        <f t="shared" si="73"/>
        <v>87591741449.449997</v>
      </c>
      <c r="J205" s="127">
        <f t="shared" si="73"/>
        <v>61359708865.639999</v>
      </c>
    </row>
    <row r="206" spans="1:36" x14ac:dyDescent="0.25">
      <c r="C206" s="127">
        <f>+C205-C184</f>
        <v>0</v>
      </c>
      <c r="D206" s="127">
        <f t="shared" ref="D206:J206" si="74">+D205-D184</f>
        <v>0</v>
      </c>
      <c r="E206" s="127">
        <f t="shared" si="74"/>
        <v>0</v>
      </c>
      <c r="F206" s="127">
        <f t="shared" si="74"/>
        <v>0</v>
      </c>
      <c r="G206" s="127">
        <f t="shared" si="74"/>
        <v>0</v>
      </c>
      <c r="H206" s="127">
        <f t="shared" si="74"/>
        <v>0</v>
      </c>
      <c r="I206" s="127">
        <f t="shared" si="74"/>
        <v>0</v>
      </c>
      <c r="J206" s="127">
        <f t="shared" si="74"/>
        <v>0</v>
      </c>
    </row>
    <row r="207" spans="1:36" x14ac:dyDescent="0.25">
      <c r="C207" s="127"/>
      <c r="D207" s="127"/>
      <c r="E207" s="127"/>
      <c r="F207" s="127"/>
      <c r="G207" s="127"/>
      <c r="H207" s="127"/>
      <c r="I207" s="127"/>
      <c r="J207" s="127"/>
    </row>
    <row r="208" spans="1:36" x14ac:dyDescent="0.25">
      <c r="C208" s="127"/>
      <c r="D208" s="127"/>
      <c r="E208" s="127"/>
      <c r="F208" s="127"/>
      <c r="G208" s="127"/>
      <c r="H208" s="127"/>
      <c r="I208" s="127"/>
      <c r="J208" s="127"/>
    </row>
    <row r="209" spans="3:10" x14ac:dyDescent="0.25">
      <c r="C209" s="127"/>
      <c r="D209" s="127"/>
      <c r="E209" s="127"/>
      <c r="F209" s="127"/>
      <c r="G209" s="127"/>
      <c r="H209" s="127"/>
      <c r="I209" s="127"/>
      <c r="J209" s="127"/>
    </row>
    <row r="210" spans="3:10" x14ac:dyDescent="0.25">
      <c r="C210" s="127"/>
      <c r="D210" s="127"/>
      <c r="E210" s="127"/>
      <c r="F210" s="127"/>
      <c r="G210" s="127"/>
      <c r="H210" s="127"/>
      <c r="I210" s="127"/>
      <c r="J210" s="127"/>
    </row>
    <row r="211" spans="3:10" x14ac:dyDescent="0.25">
      <c r="C211" s="127"/>
      <c r="D211" s="127"/>
      <c r="E211" s="127"/>
      <c r="F211" s="127"/>
      <c r="G211" s="127"/>
      <c r="H211" s="127"/>
      <c r="I211" s="127"/>
      <c r="J211" s="127"/>
    </row>
    <row r="212" spans="3:10" x14ac:dyDescent="0.25">
      <c r="C212" s="127"/>
      <c r="D212" s="127"/>
      <c r="E212" s="127"/>
      <c r="F212" s="127"/>
      <c r="G212" s="127"/>
      <c r="H212" s="127"/>
      <c r="I212" s="127"/>
      <c r="J212" s="127"/>
    </row>
    <row r="213" spans="3:10" x14ac:dyDescent="0.25">
      <c r="C213" s="127"/>
      <c r="D213" s="127"/>
      <c r="E213" s="127"/>
      <c r="F213" s="127"/>
      <c r="G213" s="127"/>
      <c r="H213" s="127"/>
      <c r="I213" s="127"/>
      <c r="J213" s="127"/>
    </row>
    <row r="214" spans="3:10" x14ac:dyDescent="0.25">
      <c r="C214" s="127"/>
      <c r="D214" s="127"/>
      <c r="E214" s="127"/>
      <c r="F214" s="127"/>
      <c r="G214" s="127"/>
      <c r="H214" s="127"/>
      <c r="I214" s="127"/>
      <c r="J214" s="127"/>
    </row>
    <row r="215" spans="3:10" x14ac:dyDescent="0.25">
      <c r="C215" s="127"/>
      <c r="D215" s="127"/>
      <c r="E215" s="127"/>
      <c r="F215" s="127"/>
      <c r="G215" s="127"/>
      <c r="H215" s="127"/>
      <c r="I215" s="127"/>
      <c r="J215" s="127"/>
    </row>
    <row r="216" spans="3:10" x14ac:dyDescent="0.25">
      <c r="C216" s="127"/>
      <c r="D216" s="127"/>
      <c r="E216" s="127"/>
      <c r="F216" s="127"/>
      <c r="G216" s="127"/>
      <c r="H216" s="127"/>
      <c r="I216" s="127"/>
      <c r="J216" s="127"/>
    </row>
    <row r="217" spans="3:10" x14ac:dyDescent="0.25">
      <c r="C217" s="127"/>
      <c r="D217" s="127"/>
      <c r="E217" s="127"/>
      <c r="F217" s="127"/>
      <c r="G217" s="127"/>
      <c r="H217" s="127"/>
      <c r="I217" s="127"/>
      <c r="J217" s="127"/>
    </row>
    <row r="218" spans="3:10" x14ac:dyDescent="0.25">
      <c r="C218" s="127"/>
      <c r="D218" s="127"/>
      <c r="E218" s="127"/>
      <c r="F218" s="127"/>
      <c r="G218" s="127"/>
      <c r="H218" s="127"/>
      <c r="I218" s="127"/>
      <c r="J218" s="127"/>
    </row>
    <row r="219" spans="3:10" x14ac:dyDescent="0.25">
      <c r="C219" s="127"/>
      <c r="D219" s="127"/>
      <c r="E219" s="127"/>
      <c r="F219" s="127"/>
      <c r="G219" s="127"/>
      <c r="H219" s="127"/>
      <c r="I219" s="127"/>
      <c r="J219" s="127"/>
    </row>
    <row r="220" spans="3:10" x14ac:dyDescent="0.25">
      <c r="C220" s="127"/>
      <c r="D220" s="127"/>
      <c r="E220" s="127"/>
      <c r="F220" s="127"/>
      <c r="G220" s="127"/>
      <c r="H220" s="127"/>
      <c r="I220" s="127"/>
      <c r="J220" s="127"/>
    </row>
    <row r="221" spans="3:10" x14ac:dyDescent="0.25">
      <c r="C221" s="127"/>
      <c r="D221" s="127"/>
      <c r="E221" s="127"/>
      <c r="F221" s="127"/>
      <c r="G221" s="127"/>
      <c r="H221" s="127"/>
      <c r="I221" s="127"/>
      <c r="J221" s="127"/>
    </row>
    <row r="222" spans="3:10" x14ac:dyDescent="0.25">
      <c r="C222" s="127"/>
      <c r="D222" s="127"/>
      <c r="E222" s="127"/>
      <c r="F222" s="127"/>
      <c r="G222" s="127"/>
      <c r="H222" s="127"/>
      <c r="I222" s="127"/>
      <c r="J222" s="127"/>
    </row>
    <row r="223" spans="3:10" x14ac:dyDescent="0.25">
      <c r="C223" s="127"/>
      <c r="D223" s="127"/>
      <c r="E223" s="127"/>
      <c r="F223" s="127"/>
      <c r="G223" s="127"/>
      <c r="H223" s="127"/>
      <c r="I223" s="127"/>
      <c r="J223" s="127"/>
    </row>
    <row r="224" spans="3:10" x14ac:dyDescent="0.25">
      <c r="C224" s="127"/>
      <c r="D224" s="127"/>
      <c r="E224" s="127"/>
      <c r="F224" s="127"/>
      <c r="G224" s="127"/>
      <c r="H224" s="127"/>
      <c r="I224" s="127"/>
      <c r="J224" s="127"/>
    </row>
    <row r="225" spans="3:10" x14ac:dyDescent="0.25">
      <c r="C225" s="127"/>
      <c r="D225" s="127"/>
      <c r="E225" s="127"/>
      <c r="F225" s="127"/>
      <c r="G225" s="127"/>
      <c r="H225" s="127"/>
      <c r="I225" s="127"/>
      <c r="J225" s="127"/>
    </row>
    <row r="226" spans="3:10" x14ac:dyDescent="0.25">
      <c r="C226" s="127"/>
      <c r="D226" s="127"/>
      <c r="E226" s="127"/>
      <c r="F226" s="127"/>
      <c r="G226" s="127"/>
      <c r="H226" s="127"/>
      <c r="I226" s="127"/>
      <c r="J226" s="127"/>
    </row>
    <row r="227" spans="3:10" x14ac:dyDescent="0.25">
      <c r="C227" s="127"/>
      <c r="D227" s="127"/>
      <c r="E227" s="127"/>
      <c r="F227" s="127"/>
      <c r="G227" s="127"/>
      <c r="H227" s="127"/>
      <c r="I227" s="127"/>
      <c r="J227" s="127"/>
    </row>
    <row r="228" spans="3:10" x14ac:dyDescent="0.25">
      <c r="C228" s="127"/>
      <c r="D228" s="127"/>
      <c r="E228" s="127"/>
      <c r="F228" s="127"/>
      <c r="G228" s="127"/>
      <c r="H228" s="127"/>
      <c r="I228" s="127"/>
      <c r="J228" s="127"/>
    </row>
    <row r="229" spans="3:10" x14ac:dyDescent="0.25">
      <c r="C229" s="127"/>
      <c r="D229" s="127"/>
      <c r="E229" s="127"/>
      <c r="F229" s="127"/>
      <c r="G229" s="127"/>
      <c r="H229" s="127"/>
      <c r="I229" s="127"/>
      <c r="J229" s="127"/>
    </row>
    <row r="230" spans="3:10" x14ac:dyDescent="0.25">
      <c r="C230" s="127"/>
      <c r="D230" s="127"/>
      <c r="E230" s="127"/>
      <c r="F230" s="127"/>
      <c r="G230" s="127"/>
      <c r="H230" s="127"/>
      <c r="I230" s="127"/>
      <c r="J230" s="127"/>
    </row>
    <row r="231" spans="3:10" x14ac:dyDescent="0.25">
      <c r="C231" s="127"/>
      <c r="D231" s="127"/>
      <c r="E231" s="127"/>
      <c r="F231" s="127"/>
      <c r="G231" s="127"/>
      <c r="H231" s="127"/>
      <c r="I231" s="127"/>
      <c r="J231" s="127"/>
    </row>
    <row r="232" spans="3:10" x14ac:dyDescent="0.25">
      <c r="C232" s="127"/>
      <c r="D232" s="127"/>
      <c r="E232" s="127"/>
      <c r="F232" s="127"/>
      <c r="G232" s="127"/>
      <c r="H232" s="127"/>
      <c r="I232" s="127"/>
      <c r="J232" s="127"/>
    </row>
    <row r="233" spans="3:10" x14ac:dyDescent="0.25">
      <c r="C233" s="127"/>
      <c r="D233" s="127"/>
      <c r="E233" s="127"/>
      <c r="F233" s="127"/>
      <c r="G233" s="127"/>
      <c r="H233" s="127"/>
      <c r="I233" s="127"/>
      <c r="J233" s="127"/>
    </row>
    <row r="234" spans="3:10" x14ac:dyDescent="0.25">
      <c r="C234" s="127"/>
      <c r="D234" s="127"/>
      <c r="E234" s="127"/>
      <c r="F234" s="127"/>
      <c r="G234" s="127"/>
      <c r="H234" s="127"/>
      <c r="I234" s="127"/>
      <c r="J234" s="127"/>
    </row>
    <row r="235" spans="3:10" x14ac:dyDescent="0.25">
      <c r="C235" s="127"/>
      <c r="D235" s="127"/>
      <c r="E235" s="127"/>
      <c r="F235" s="127"/>
      <c r="G235" s="127"/>
      <c r="H235" s="127"/>
      <c r="I235" s="127"/>
      <c r="J235" s="127"/>
    </row>
    <row r="236" spans="3:10" x14ac:dyDescent="0.25">
      <c r="C236" s="127"/>
      <c r="D236" s="127"/>
      <c r="E236" s="127"/>
      <c r="F236" s="127"/>
      <c r="G236" s="127"/>
      <c r="H236" s="127"/>
      <c r="I236" s="127"/>
      <c r="J236" s="127"/>
    </row>
  </sheetData>
  <mergeCells count="1">
    <mergeCell ref="C3:K3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G1092"/>
  <sheetViews>
    <sheetView showGridLines="0" topLeftCell="B1" workbookViewId="0">
      <pane xSplit="5" ySplit="412" topLeftCell="G416" activePane="bottomRight" state="frozen"/>
      <selection activeCell="B1" sqref="B1"/>
      <selection pane="topRight" activeCell="G1" sqref="G1"/>
      <selection pane="bottomLeft" activeCell="B413" sqref="B413"/>
      <selection pane="bottomRight" activeCell="G416" sqref="G416"/>
    </sheetView>
  </sheetViews>
  <sheetFormatPr baseColWidth="10" defaultColWidth="4.5703125" defaultRowHeight="15" x14ac:dyDescent="0.25"/>
  <cols>
    <col min="1" max="1" width="13.140625" style="84" hidden="1" customWidth="1"/>
    <col min="2" max="2" width="42.42578125" style="84" customWidth="1"/>
    <col min="3" max="3" width="18.42578125" style="89" hidden="1" customWidth="1"/>
    <col min="4" max="4" width="16.42578125" style="89" hidden="1" customWidth="1"/>
    <col min="5" max="5" width="22.140625" style="89" hidden="1" customWidth="1"/>
    <col min="6" max="6" width="17.42578125" style="89" hidden="1" customWidth="1"/>
    <col min="7" max="7" width="18.42578125" style="89" bestFit="1" customWidth="1"/>
    <col min="8" max="8" width="16.42578125" style="89" bestFit="1" customWidth="1"/>
    <col min="9" max="9" width="20.5703125" style="89" bestFit="1" customWidth="1"/>
    <col min="10" max="10" width="19.7109375" style="89" hidden="1" customWidth="1"/>
    <col min="11" max="11" width="16.42578125" style="89" hidden="1" customWidth="1"/>
    <col min="12" max="12" width="17.5703125" style="89" bestFit="1" customWidth="1"/>
    <col min="13" max="13" width="17.42578125" style="89" hidden="1" customWidth="1"/>
    <col min="14" max="14" width="17.42578125" style="89" bestFit="1" customWidth="1"/>
    <col min="15" max="15" width="16.42578125" style="89" bestFit="1" customWidth="1"/>
    <col min="16" max="16" width="17.42578125" style="89" bestFit="1" customWidth="1"/>
    <col min="17" max="17" width="17.42578125" style="89" hidden="1" customWidth="1"/>
    <col min="18" max="18" width="6.42578125" style="84" hidden="1" customWidth="1"/>
    <col min="19" max="19" width="17.42578125" style="84" hidden="1" customWidth="1"/>
    <col min="20" max="20" width="18" style="84" hidden="1" customWidth="1"/>
    <col min="21" max="21" width="6.5703125" style="84" hidden="1" customWidth="1"/>
    <col min="22" max="23" width="0" style="84" hidden="1" customWidth="1"/>
    <col min="24" max="24" width="14.85546875" style="84" hidden="1" customWidth="1"/>
    <col min="25" max="25" width="13.7109375" style="84" hidden="1" customWidth="1"/>
    <col min="26" max="26" width="1.5703125" style="84" customWidth="1"/>
    <col min="27" max="27" width="17.85546875" style="89" customWidth="1"/>
    <col min="28" max="28" width="1.5703125" style="84" customWidth="1"/>
    <col min="29" max="29" width="17.85546875" style="89" customWidth="1"/>
    <col min="30" max="30" width="2.28515625" style="84" customWidth="1"/>
    <col min="31" max="31" width="17.85546875" style="89" customWidth="1"/>
    <col min="32" max="32" width="17.28515625" style="84" bestFit="1" customWidth="1"/>
    <col min="33" max="33" width="14.7109375" style="84" bestFit="1" customWidth="1"/>
    <col min="34" max="16384" width="4.5703125" style="84"/>
  </cols>
  <sheetData>
    <row r="4" spans="1:31" ht="30.95" customHeight="1" x14ac:dyDescent="0.25"/>
    <row r="5" spans="1:31" ht="45" hidden="1" x14ac:dyDescent="0.25">
      <c r="A5" s="44" t="s">
        <v>0</v>
      </c>
      <c r="B5" s="44" t="s">
        <v>1</v>
      </c>
      <c r="C5" s="45" t="s">
        <v>2</v>
      </c>
      <c r="D5" s="45" t="s">
        <v>3</v>
      </c>
      <c r="E5" s="45" t="s">
        <v>4</v>
      </c>
      <c r="F5" s="45" t="s">
        <v>5</v>
      </c>
      <c r="G5" s="45" t="s">
        <v>505</v>
      </c>
      <c r="H5" s="45" t="s">
        <v>797</v>
      </c>
      <c r="I5" s="45" t="s">
        <v>798</v>
      </c>
      <c r="J5" s="45" t="s">
        <v>506</v>
      </c>
      <c r="K5" s="45" t="s">
        <v>800</v>
      </c>
      <c r="L5" s="45" t="s">
        <v>889</v>
      </c>
      <c r="M5" s="45" t="s">
        <v>802</v>
      </c>
      <c r="N5" s="45" t="s">
        <v>803</v>
      </c>
      <c r="O5" s="45" t="s">
        <v>508</v>
      </c>
      <c r="P5" s="45" t="s">
        <v>220</v>
      </c>
      <c r="Q5" s="45" t="s">
        <v>509</v>
      </c>
      <c r="S5" s="45" t="s">
        <v>890</v>
      </c>
      <c r="T5" s="45" t="s">
        <v>891</v>
      </c>
      <c r="V5" s="94" t="s">
        <v>805</v>
      </c>
      <c r="AA5" s="45"/>
      <c r="AC5" s="45"/>
      <c r="AE5" s="45"/>
    </row>
    <row r="6" spans="1:31" s="100" customFormat="1" hidden="1" x14ac:dyDescent="0.25">
      <c r="A6" s="97">
        <v>2</v>
      </c>
      <c r="B6" s="98" t="s">
        <v>6</v>
      </c>
      <c r="C6" s="99">
        <f>+C7+C249</f>
        <v>128545687388</v>
      </c>
      <c r="D6" s="99">
        <f t="shared" ref="D6:N6" si="0">+D7+D249</f>
        <v>9888520662</v>
      </c>
      <c r="E6" s="99">
        <f t="shared" si="0"/>
        <v>9888520662</v>
      </c>
      <c r="F6" s="99">
        <f t="shared" si="0"/>
        <v>24369960170.239998</v>
      </c>
      <c r="G6" s="99">
        <f t="shared" si="0"/>
        <v>152915847558.23999</v>
      </c>
      <c r="H6" s="99">
        <f t="shared" si="0"/>
        <v>8978329077.0900002</v>
      </c>
      <c r="I6" s="99">
        <f t="shared" si="0"/>
        <v>79561538004.669983</v>
      </c>
      <c r="J6" s="99">
        <f>+G6-I6</f>
        <v>73354309553.570007</v>
      </c>
      <c r="K6" s="99">
        <f t="shared" si="0"/>
        <v>9413215010.7700005</v>
      </c>
      <c r="L6" s="99">
        <f t="shared" si="0"/>
        <v>65815676234.329994</v>
      </c>
      <c r="M6" s="99">
        <f>+I6-L6</f>
        <v>13745861770.339989</v>
      </c>
      <c r="N6" s="99">
        <f t="shared" si="0"/>
        <v>85384605777.419998</v>
      </c>
      <c r="O6" s="99">
        <f>+N6-I6</f>
        <v>5823067772.7500153</v>
      </c>
      <c r="P6" s="99">
        <f>+G6-N6</f>
        <v>67531241780.819992</v>
      </c>
      <c r="Q6" s="99">
        <f>+L6</f>
        <v>65815676234.329994</v>
      </c>
      <c r="R6" s="148"/>
      <c r="S6" s="99"/>
      <c r="T6" s="99"/>
      <c r="V6" s="149">
        <v>65316013691.820007</v>
      </c>
      <c r="X6" s="150"/>
      <c r="Y6" s="84"/>
      <c r="AA6" s="99"/>
      <c r="AC6" s="99"/>
      <c r="AE6" s="99"/>
    </row>
    <row r="7" spans="1:31" s="100" customFormat="1" hidden="1" x14ac:dyDescent="0.25">
      <c r="A7" s="151">
        <v>21</v>
      </c>
      <c r="B7" s="152" t="s">
        <v>7</v>
      </c>
      <c r="C7" s="153">
        <f>+C8+C63+C235+C239+C241</f>
        <v>117594878148</v>
      </c>
      <c r="D7" s="153">
        <f t="shared" ref="D7:N7" si="1">+D8+D63+D235+D239+D241</f>
        <v>3167716342</v>
      </c>
      <c r="E7" s="153">
        <f t="shared" si="1"/>
        <v>3167716342</v>
      </c>
      <c r="F7" s="153">
        <f t="shared" si="1"/>
        <v>3860919311.73</v>
      </c>
      <c r="G7" s="153">
        <f t="shared" si="1"/>
        <v>121455997459.73</v>
      </c>
      <c r="H7" s="153">
        <f t="shared" si="1"/>
        <v>7760473465.0200005</v>
      </c>
      <c r="I7" s="153">
        <f t="shared" si="1"/>
        <v>70939301305.769989</v>
      </c>
      <c r="J7" s="153">
        <f t="shared" ref="J7:J70" si="2">+G7-I7</f>
        <v>50516696153.960007</v>
      </c>
      <c r="K7" s="153">
        <f t="shared" si="1"/>
        <v>8073765199.1899996</v>
      </c>
      <c r="L7" s="153">
        <f t="shared" si="1"/>
        <v>61826575470.059998</v>
      </c>
      <c r="M7" s="153">
        <f t="shared" ref="M7:M70" si="3">+I7-L7</f>
        <v>9112725835.7099915</v>
      </c>
      <c r="N7" s="153">
        <f t="shared" si="1"/>
        <v>73416773983.080002</v>
      </c>
      <c r="O7" s="153">
        <f t="shared" ref="O7:O70" si="4">+N7-I7</f>
        <v>2477472677.3100128</v>
      </c>
      <c r="P7" s="153">
        <f t="shared" ref="P7:P70" si="5">+G7-N7</f>
        <v>48039223476.649994</v>
      </c>
      <c r="Q7" s="153">
        <f t="shared" ref="Q7:Q70" si="6">+L7</f>
        <v>61826575470.059998</v>
      </c>
      <c r="S7" s="153"/>
      <c r="T7" s="153"/>
      <c r="V7" s="149">
        <v>48039023476.650009</v>
      </c>
      <c r="X7" s="84"/>
      <c r="Y7" s="84"/>
      <c r="AA7" s="153"/>
      <c r="AC7" s="153"/>
      <c r="AE7" s="153"/>
    </row>
    <row r="8" spans="1:31" s="100" customFormat="1" hidden="1" x14ac:dyDescent="0.25">
      <c r="A8" s="151">
        <v>211</v>
      </c>
      <c r="B8" s="152" t="s">
        <v>8</v>
      </c>
      <c r="C8" s="153">
        <f>+C9+C43</f>
        <v>103924427514</v>
      </c>
      <c r="D8" s="153">
        <f t="shared" ref="D8:N8" si="7">+D9+D43</f>
        <v>150000000</v>
      </c>
      <c r="E8" s="153">
        <f t="shared" si="7"/>
        <v>2303003991</v>
      </c>
      <c r="F8" s="153">
        <f t="shared" si="7"/>
        <v>1853314409</v>
      </c>
      <c r="G8" s="153">
        <f t="shared" si="7"/>
        <v>103624737932</v>
      </c>
      <c r="H8" s="153">
        <f t="shared" si="7"/>
        <v>7047935750</v>
      </c>
      <c r="I8" s="153">
        <f t="shared" si="7"/>
        <v>58679486473.849998</v>
      </c>
      <c r="J8" s="153">
        <f t="shared" si="2"/>
        <v>44945251458.150002</v>
      </c>
      <c r="K8" s="153">
        <f t="shared" si="7"/>
        <v>7265603135</v>
      </c>
      <c r="L8" s="153">
        <f t="shared" si="7"/>
        <v>52813808538.649994</v>
      </c>
      <c r="M8" s="153">
        <f t="shared" si="3"/>
        <v>5865677935.2000046</v>
      </c>
      <c r="N8" s="153">
        <f t="shared" si="7"/>
        <v>59358339003.169998</v>
      </c>
      <c r="O8" s="153">
        <f t="shared" si="4"/>
        <v>678852529.31999969</v>
      </c>
      <c r="P8" s="153">
        <f t="shared" si="5"/>
        <v>44266398928.830002</v>
      </c>
      <c r="Q8" s="153">
        <f t="shared" si="6"/>
        <v>52813808538.649994</v>
      </c>
      <c r="S8" s="153">
        <f>+S9+S43</f>
        <v>36449497851.68</v>
      </c>
      <c r="T8" s="154">
        <f t="shared" ref="T8" si="8">+T9+T43</f>
        <v>-6836321550.6800003</v>
      </c>
      <c r="U8" s="155" t="s">
        <v>892</v>
      </c>
      <c r="V8" s="149">
        <v>44266398928.830002</v>
      </c>
      <c r="X8" s="84"/>
      <c r="Y8" s="84"/>
      <c r="AA8" s="153"/>
      <c r="AC8" s="153"/>
      <c r="AE8" s="153"/>
    </row>
    <row r="9" spans="1:31" s="100" customFormat="1" hidden="1" x14ac:dyDescent="0.25">
      <c r="A9" s="151">
        <v>2111</v>
      </c>
      <c r="B9" s="152" t="s">
        <v>9</v>
      </c>
      <c r="C9" s="153">
        <f>+C10+C27+C34</f>
        <v>76451082961</v>
      </c>
      <c r="D9" s="153">
        <f t="shared" ref="D9:N9" si="9">+D10+D27+D34</f>
        <v>150000000</v>
      </c>
      <c r="E9" s="153">
        <f t="shared" si="9"/>
        <v>1938003991</v>
      </c>
      <c r="F9" s="153">
        <f t="shared" si="9"/>
        <v>81443507</v>
      </c>
      <c r="G9" s="153">
        <f t="shared" si="9"/>
        <v>74744522477</v>
      </c>
      <c r="H9" s="153">
        <f t="shared" si="9"/>
        <v>6075539859</v>
      </c>
      <c r="I9" s="153">
        <f t="shared" si="9"/>
        <v>39789799008.169998</v>
      </c>
      <c r="J9" s="153">
        <f t="shared" si="2"/>
        <v>34954723468.830002</v>
      </c>
      <c r="K9" s="153">
        <f t="shared" si="9"/>
        <v>5999134789</v>
      </c>
      <c r="L9" s="153">
        <f t="shared" si="9"/>
        <v>39649430761.169998</v>
      </c>
      <c r="M9" s="153">
        <f t="shared" si="3"/>
        <v>140368247</v>
      </c>
      <c r="N9" s="153">
        <f t="shared" si="9"/>
        <v>39794297358.169998</v>
      </c>
      <c r="O9" s="153">
        <f t="shared" si="4"/>
        <v>4498350</v>
      </c>
      <c r="P9" s="153">
        <f t="shared" si="5"/>
        <v>34950225118.830002</v>
      </c>
      <c r="Q9" s="153">
        <f t="shared" si="6"/>
        <v>39649430761.169998</v>
      </c>
      <c r="R9" s="156"/>
      <c r="S9" s="153">
        <f t="shared" ref="S9:T9" si="10">+S10+S27+S34</f>
        <v>22299164250</v>
      </c>
      <c r="T9" s="153">
        <f t="shared" si="10"/>
        <v>-259814751</v>
      </c>
      <c r="V9" s="149">
        <v>34950225118.830002</v>
      </c>
      <c r="X9" s="84"/>
      <c r="Y9" s="84"/>
      <c r="AA9" s="153"/>
      <c r="AC9" s="153"/>
      <c r="AE9" s="153"/>
    </row>
    <row r="10" spans="1:31" s="100" customFormat="1" hidden="1" x14ac:dyDescent="0.25">
      <c r="A10" s="157">
        <v>21111</v>
      </c>
      <c r="B10" s="158" t="s">
        <v>10</v>
      </c>
      <c r="C10" s="159">
        <f>+C11+C23</f>
        <v>58994774236</v>
      </c>
      <c r="D10" s="159">
        <f t="shared" ref="D10:N10" si="11">+D11+D23</f>
        <v>0</v>
      </c>
      <c r="E10" s="159">
        <f t="shared" si="11"/>
        <v>0</v>
      </c>
      <c r="F10" s="159">
        <f t="shared" si="11"/>
        <v>81443507</v>
      </c>
      <c r="G10" s="159">
        <f t="shared" si="11"/>
        <v>59076217743</v>
      </c>
      <c r="H10" s="159">
        <f t="shared" si="11"/>
        <v>4576917516</v>
      </c>
      <c r="I10" s="159">
        <f t="shared" si="11"/>
        <v>30688523551.169998</v>
      </c>
      <c r="J10" s="159">
        <f t="shared" si="2"/>
        <v>28387694191.830002</v>
      </c>
      <c r="K10" s="159">
        <f t="shared" si="11"/>
        <v>4575924963</v>
      </c>
      <c r="L10" s="159">
        <f t="shared" si="11"/>
        <v>30679983281.169998</v>
      </c>
      <c r="M10" s="159">
        <f t="shared" si="3"/>
        <v>8540270</v>
      </c>
      <c r="N10" s="159">
        <f t="shared" si="11"/>
        <v>30692303551.169998</v>
      </c>
      <c r="O10" s="159">
        <f t="shared" si="4"/>
        <v>3780000</v>
      </c>
      <c r="P10" s="159">
        <f t="shared" si="5"/>
        <v>28383914191.830002</v>
      </c>
      <c r="Q10" s="159">
        <f t="shared" si="6"/>
        <v>30679983281.169998</v>
      </c>
      <c r="R10" s="156"/>
      <c r="S10" s="159">
        <f t="shared" ref="S10:T10" si="12">+S11+S23</f>
        <v>22299164250</v>
      </c>
      <c r="T10" s="159">
        <f t="shared" si="12"/>
        <v>-259814751</v>
      </c>
      <c r="V10" s="149">
        <v>28383914191.830002</v>
      </c>
      <c r="X10" s="84"/>
      <c r="Y10" s="84"/>
      <c r="AA10" s="159"/>
      <c r="AC10" s="159"/>
      <c r="AE10" s="159"/>
    </row>
    <row r="11" spans="1:31" s="100" customFormat="1" hidden="1" x14ac:dyDescent="0.25">
      <c r="A11" s="160">
        <v>211111</v>
      </c>
      <c r="B11" s="161" t="s">
        <v>11</v>
      </c>
      <c r="C11" s="162">
        <f>+C12+C13+C14+C15+C16+C17+C18+C19+C22</f>
        <v>57900582100</v>
      </c>
      <c r="D11" s="162">
        <f t="shared" ref="D11:N11" si="13">+D12+D13+D14+D15+D16+D17+D18+D19+D22</f>
        <v>0</v>
      </c>
      <c r="E11" s="162">
        <f t="shared" si="13"/>
        <v>0</v>
      </c>
      <c r="F11" s="162">
        <f t="shared" si="13"/>
        <v>81443507</v>
      </c>
      <c r="G11" s="162">
        <f t="shared" si="13"/>
        <v>57982025607</v>
      </c>
      <c r="H11" s="162">
        <f t="shared" si="13"/>
        <v>3738253555</v>
      </c>
      <c r="I11" s="162">
        <f t="shared" si="13"/>
        <v>29752807748.169998</v>
      </c>
      <c r="J11" s="162">
        <f t="shared" si="2"/>
        <v>28229217858.830002</v>
      </c>
      <c r="K11" s="162">
        <f t="shared" si="13"/>
        <v>3737261002</v>
      </c>
      <c r="L11" s="162">
        <f t="shared" si="13"/>
        <v>29749821727.169998</v>
      </c>
      <c r="M11" s="162">
        <f t="shared" si="3"/>
        <v>2986021</v>
      </c>
      <c r="N11" s="162">
        <f t="shared" si="13"/>
        <v>29752807748.169998</v>
      </c>
      <c r="O11" s="162">
        <f t="shared" si="4"/>
        <v>0</v>
      </c>
      <c r="P11" s="162">
        <f t="shared" si="5"/>
        <v>28229217858.830002</v>
      </c>
      <c r="Q11" s="162">
        <f t="shared" si="6"/>
        <v>29749821727.169998</v>
      </c>
      <c r="S11" s="162">
        <f t="shared" ref="S11:T11" si="14">+S12+S13+S14+S15+S16+S17+S18+S19+S22</f>
        <v>22299164250</v>
      </c>
      <c r="T11" s="162">
        <f t="shared" si="14"/>
        <v>-259814751</v>
      </c>
      <c r="V11" s="149">
        <v>28229217858.830002</v>
      </c>
      <c r="X11" s="84"/>
      <c r="Y11" s="84"/>
      <c r="AA11" s="162"/>
      <c r="AC11" s="162"/>
      <c r="AE11" s="162"/>
    </row>
    <row r="12" spans="1:31" hidden="1" x14ac:dyDescent="0.25">
      <c r="A12" s="163">
        <v>2111111</v>
      </c>
      <c r="B12" s="164" t="s">
        <v>510</v>
      </c>
      <c r="C12" s="165">
        <v>32061480419</v>
      </c>
      <c r="D12" s="165">
        <v>0</v>
      </c>
      <c r="E12" s="165">
        <v>0</v>
      </c>
      <c r="F12" s="165">
        <v>81443507</v>
      </c>
      <c r="G12" s="165">
        <f>+C12+D12-E12+F12</f>
        <v>32142923926</v>
      </c>
      <c r="H12" s="165">
        <v>2357062575</v>
      </c>
      <c r="I12" s="165">
        <v>16829352779</v>
      </c>
      <c r="J12" s="165">
        <f t="shared" si="2"/>
        <v>15313571147</v>
      </c>
      <c r="K12" s="165">
        <v>2357062575</v>
      </c>
      <c r="L12" s="165">
        <v>16829352779</v>
      </c>
      <c r="M12" s="165">
        <f t="shared" si="3"/>
        <v>0</v>
      </c>
      <c r="N12" s="165">
        <v>16829352779</v>
      </c>
      <c r="O12" s="165">
        <f t="shared" si="4"/>
        <v>0</v>
      </c>
      <c r="P12" s="165">
        <f t="shared" si="5"/>
        <v>15313571147</v>
      </c>
      <c r="Q12" s="165">
        <f t="shared" si="6"/>
        <v>16829352779</v>
      </c>
      <c r="S12" s="121">
        <f t="shared" ref="S12:S18" si="15">+H12*6</f>
        <v>14142375450</v>
      </c>
      <c r="T12" s="166">
        <f t="shared" ref="T12:T18" si="16">+P12-S12</f>
        <v>1171195697</v>
      </c>
      <c r="V12" s="149">
        <v>15313571147</v>
      </c>
      <c r="AA12" s="165"/>
      <c r="AC12" s="165"/>
      <c r="AE12" s="165"/>
    </row>
    <row r="13" spans="1:31" hidden="1" x14ac:dyDescent="0.25">
      <c r="A13" s="163">
        <v>2111112</v>
      </c>
      <c r="B13" s="164" t="s">
        <v>511</v>
      </c>
      <c r="C13" s="165">
        <v>585798342</v>
      </c>
      <c r="D13" s="165">
        <v>0</v>
      </c>
      <c r="E13" s="165">
        <v>0</v>
      </c>
      <c r="F13" s="165">
        <v>0</v>
      </c>
      <c r="G13" s="165">
        <f>+C13+D13-E13+F13</f>
        <v>585798342</v>
      </c>
      <c r="H13" s="165">
        <v>39344100</v>
      </c>
      <c r="I13" s="165">
        <v>305703794</v>
      </c>
      <c r="J13" s="165">
        <f t="shared" si="2"/>
        <v>280094548</v>
      </c>
      <c r="K13" s="165">
        <v>39344100</v>
      </c>
      <c r="L13" s="165">
        <v>305703794</v>
      </c>
      <c r="M13" s="165">
        <f t="shared" si="3"/>
        <v>0</v>
      </c>
      <c r="N13" s="165">
        <v>305703794</v>
      </c>
      <c r="O13" s="165">
        <f t="shared" si="4"/>
        <v>0</v>
      </c>
      <c r="P13" s="165">
        <f t="shared" si="5"/>
        <v>280094548</v>
      </c>
      <c r="Q13" s="165">
        <f t="shared" si="6"/>
        <v>305703794</v>
      </c>
      <c r="S13" s="121">
        <f t="shared" si="15"/>
        <v>236064600</v>
      </c>
      <c r="T13" s="166">
        <f t="shared" si="16"/>
        <v>44029948</v>
      </c>
      <c r="V13" s="149">
        <v>280094548</v>
      </c>
      <c r="AA13" s="165"/>
      <c r="AC13" s="165"/>
      <c r="AE13" s="165"/>
    </row>
    <row r="14" spans="1:31" hidden="1" x14ac:dyDescent="0.25">
      <c r="A14" s="163">
        <v>2111113</v>
      </c>
      <c r="B14" s="164" t="s">
        <v>512</v>
      </c>
      <c r="C14" s="165">
        <v>12743785045</v>
      </c>
      <c r="D14" s="165">
        <v>0</v>
      </c>
      <c r="E14" s="165">
        <v>0</v>
      </c>
      <c r="F14" s="165">
        <v>0</v>
      </c>
      <c r="G14" s="165">
        <f>+C14+D14-E14+F14</f>
        <v>12743785045</v>
      </c>
      <c r="H14" s="165">
        <v>1074564669</v>
      </c>
      <c r="I14" s="165">
        <v>7472146514</v>
      </c>
      <c r="J14" s="165">
        <f t="shared" si="2"/>
        <v>5271638531</v>
      </c>
      <c r="K14" s="165">
        <v>1074564669</v>
      </c>
      <c r="L14" s="165">
        <v>7472146514</v>
      </c>
      <c r="M14" s="165">
        <f t="shared" si="3"/>
        <v>0</v>
      </c>
      <c r="N14" s="165">
        <v>7472146514</v>
      </c>
      <c r="O14" s="165">
        <f t="shared" si="4"/>
        <v>0</v>
      </c>
      <c r="P14" s="165">
        <f t="shared" si="5"/>
        <v>5271638531</v>
      </c>
      <c r="Q14" s="165">
        <f t="shared" si="6"/>
        <v>7472146514</v>
      </c>
      <c r="S14" s="121">
        <f t="shared" si="15"/>
        <v>6447388014</v>
      </c>
      <c r="T14" s="166">
        <f t="shared" si="16"/>
        <v>-1175749483</v>
      </c>
      <c r="V14" s="149">
        <v>5271638531</v>
      </c>
      <c r="AA14" s="165"/>
      <c r="AC14" s="165"/>
      <c r="AE14" s="165"/>
    </row>
    <row r="15" spans="1:31" hidden="1" x14ac:dyDescent="0.25">
      <c r="A15" s="163">
        <v>2111114</v>
      </c>
      <c r="B15" s="164" t="s">
        <v>513</v>
      </c>
      <c r="C15" s="165">
        <v>319163730</v>
      </c>
      <c r="D15" s="165">
        <v>0</v>
      </c>
      <c r="E15" s="165">
        <v>0</v>
      </c>
      <c r="F15" s="165">
        <v>0</v>
      </c>
      <c r="G15" s="165">
        <f>+C15+D15-E15+F15</f>
        <v>319163730</v>
      </c>
      <c r="H15" s="165">
        <v>22209364</v>
      </c>
      <c r="I15" s="165">
        <v>147925094</v>
      </c>
      <c r="J15" s="165">
        <f t="shared" si="2"/>
        <v>171238636</v>
      </c>
      <c r="K15" s="165">
        <v>22209364</v>
      </c>
      <c r="L15" s="165">
        <v>147925094</v>
      </c>
      <c r="M15" s="165">
        <f t="shared" si="3"/>
        <v>0</v>
      </c>
      <c r="N15" s="165">
        <v>147925094</v>
      </c>
      <c r="O15" s="165">
        <f t="shared" si="4"/>
        <v>0</v>
      </c>
      <c r="P15" s="165">
        <f t="shared" si="5"/>
        <v>171238636</v>
      </c>
      <c r="Q15" s="165">
        <f t="shared" si="6"/>
        <v>147925094</v>
      </c>
      <c r="S15" s="121">
        <f t="shared" si="15"/>
        <v>133256184</v>
      </c>
      <c r="T15" s="166">
        <f t="shared" si="16"/>
        <v>37982452</v>
      </c>
      <c r="V15" s="149">
        <v>171238636</v>
      </c>
      <c r="AA15" s="165"/>
      <c r="AC15" s="165"/>
      <c r="AE15" s="165"/>
    </row>
    <row r="16" spans="1:31" hidden="1" x14ac:dyDescent="0.25">
      <c r="A16" s="163">
        <v>2111115</v>
      </c>
      <c r="B16" s="164" t="s">
        <v>514</v>
      </c>
      <c r="C16" s="165">
        <v>331125950</v>
      </c>
      <c r="D16" s="165">
        <v>0</v>
      </c>
      <c r="E16" s="165">
        <v>0</v>
      </c>
      <c r="F16" s="165">
        <v>0</v>
      </c>
      <c r="G16" s="165">
        <f t="shared" ref="G16:G79" si="17">+C16+D16-E16+F16</f>
        <v>331125950</v>
      </c>
      <c r="H16" s="165">
        <v>21508449</v>
      </c>
      <c r="I16" s="165">
        <v>158459330</v>
      </c>
      <c r="J16" s="165">
        <f t="shared" si="2"/>
        <v>172666620</v>
      </c>
      <c r="K16" s="165">
        <v>21508449</v>
      </c>
      <c r="L16" s="165">
        <v>158459330</v>
      </c>
      <c r="M16" s="165">
        <f t="shared" si="3"/>
        <v>0</v>
      </c>
      <c r="N16" s="165">
        <v>158459330</v>
      </c>
      <c r="O16" s="165">
        <f t="shared" si="4"/>
        <v>0</v>
      </c>
      <c r="P16" s="165">
        <f t="shared" si="5"/>
        <v>172666620</v>
      </c>
      <c r="Q16" s="165">
        <f t="shared" si="6"/>
        <v>158459330</v>
      </c>
      <c r="S16" s="121">
        <f t="shared" si="15"/>
        <v>129050694</v>
      </c>
      <c r="T16" s="166">
        <f t="shared" si="16"/>
        <v>43615926</v>
      </c>
      <c r="V16" s="149">
        <v>172666620</v>
      </c>
      <c r="AA16" s="165"/>
      <c r="AC16" s="165"/>
      <c r="AE16" s="165"/>
    </row>
    <row r="17" spans="1:31" hidden="1" x14ac:dyDescent="0.25">
      <c r="A17" s="163">
        <v>2111116</v>
      </c>
      <c r="B17" s="164" t="s">
        <v>515</v>
      </c>
      <c r="C17" s="165">
        <v>3339172054</v>
      </c>
      <c r="D17" s="165">
        <v>0</v>
      </c>
      <c r="E17" s="165">
        <v>0</v>
      </c>
      <c r="F17" s="165">
        <v>0</v>
      </c>
      <c r="G17" s="165">
        <f t="shared" si="17"/>
        <v>3339172054</v>
      </c>
      <c r="H17" s="165">
        <v>0</v>
      </c>
      <c r="I17" s="165">
        <v>3339172054</v>
      </c>
      <c r="J17" s="165">
        <f t="shared" si="2"/>
        <v>0</v>
      </c>
      <c r="K17" s="165">
        <v>0</v>
      </c>
      <c r="L17" s="165">
        <v>3339172054</v>
      </c>
      <c r="M17" s="165">
        <f t="shared" si="3"/>
        <v>0</v>
      </c>
      <c r="N17" s="165">
        <v>3339172054</v>
      </c>
      <c r="O17" s="165">
        <f t="shared" si="4"/>
        <v>0</v>
      </c>
      <c r="P17" s="165">
        <f t="shared" si="5"/>
        <v>0</v>
      </c>
      <c r="Q17" s="165">
        <f t="shared" si="6"/>
        <v>3339172054</v>
      </c>
      <c r="S17" s="121">
        <f t="shared" si="15"/>
        <v>0</v>
      </c>
      <c r="T17" s="166">
        <f t="shared" si="16"/>
        <v>0</v>
      </c>
      <c r="V17" s="149">
        <v>0</v>
      </c>
      <c r="AA17" s="165"/>
      <c r="AC17" s="165"/>
      <c r="AE17" s="165"/>
    </row>
    <row r="18" spans="1:31" hidden="1" x14ac:dyDescent="0.25">
      <c r="A18" s="163">
        <v>2111117</v>
      </c>
      <c r="B18" s="164" t="s">
        <v>516</v>
      </c>
      <c r="C18" s="165">
        <v>1856673210</v>
      </c>
      <c r="D18" s="165">
        <v>0</v>
      </c>
      <c r="E18" s="165">
        <v>0</v>
      </c>
      <c r="F18" s="165">
        <v>0</v>
      </c>
      <c r="G18" s="165">
        <f t="shared" si="17"/>
        <v>1856673210</v>
      </c>
      <c r="H18" s="165">
        <v>179294202</v>
      </c>
      <c r="I18" s="165">
        <v>1143084440</v>
      </c>
      <c r="J18" s="165">
        <f t="shared" si="2"/>
        <v>713588770</v>
      </c>
      <c r="K18" s="165">
        <v>179294202</v>
      </c>
      <c r="L18" s="165">
        <v>1143084440</v>
      </c>
      <c r="M18" s="165">
        <f t="shared" si="3"/>
        <v>0</v>
      </c>
      <c r="N18" s="165">
        <v>1143084440</v>
      </c>
      <c r="O18" s="165">
        <f t="shared" si="4"/>
        <v>0</v>
      </c>
      <c r="P18" s="165">
        <f t="shared" si="5"/>
        <v>713588770</v>
      </c>
      <c r="Q18" s="165">
        <f t="shared" si="6"/>
        <v>1143084440</v>
      </c>
      <c r="S18" s="121">
        <f t="shared" si="15"/>
        <v>1075765212</v>
      </c>
      <c r="T18" s="166">
        <f t="shared" si="16"/>
        <v>-362176442</v>
      </c>
      <c r="V18" s="149">
        <v>713588770</v>
      </c>
      <c r="AA18" s="165"/>
      <c r="AC18" s="165"/>
      <c r="AE18" s="165"/>
    </row>
    <row r="19" spans="1:31" s="100" customFormat="1" hidden="1" x14ac:dyDescent="0.25">
      <c r="A19" s="160">
        <v>2111118</v>
      </c>
      <c r="B19" s="161" t="s">
        <v>12</v>
      </c>
      <c r="C19" s="162">
        <f>+C20+C21</f>
        <v>6389023991</v>
      </c>
      <c r="D19" s="162">
        <f t="shared" ref="D19:N19" si="18">+D20+D21</f>
        <v>0</v>
      </c>
      <c r="E19" s="162">
        <f t="shared" si="18"/>
        <v>0</v>
      </c>
      <c r="F19" s="162">
        <f t="shared" si="18"/>
        <v>0</v>
      </c>
      <c r="G19" s="162">
        <f t="shared" si="18"/>
        <v>6389023991</v>
      </c>
      <c r="H19" s="162">
        <f t="shared" si="18"/>
        <v>21726180</v>
      </c>
      <c r="I19" s="162">
        <f t="shared" si="18"/>
        <v>199155631.17000002</v>
      </c>
      <c r="J19" s="162">
        <f t="shared" si="2"/>
        <v>6189868359.8299999</v>
      </c>
      <c r="K19" s="162">
        <f t="shared" si="18"/>
        <v>20733627</v>
      </c>
      <c r="L19" s="162">
        <f t="shared" si="18"/>
        <v>196169610.17000002</v>
      </c>
      <c r="M19" s="162">
        <f t="shared" si="3"/>
        <v>2986021</v>
      </c>
      <c r="N19" s="162">
        <f t="shared" si="18"/>
        <v>199155631.17000002</v>
      </c>
      <c r="O19" s="162">
        <f t="shared" si="4"/>
        <v>0</v>
      </c>
      <c r="P19" s="162">
        <f t="shared" si="5"/>
        <v>6189868359.8299999</v>
      </c>
      <c r="Q19" s="162">
        <f t="shared" si="6"/>
        <v>196169610.17000002</v>
      </c>
      <c r="V19" s="149">
        <v>6189868359.8299999</v>
      </c>
      <c r="X19" s="84"/>
      <c r="Y19" s="84"/>
      <c r="AA19" s="162"/>
      <c r="AC19" s="162"/>
      <c r="AE19" s="162"/>
    </row>
    <row r="20" spans="1:31" hidden="1" x14ac:dyDescent="0.25">
      <c r="A20" s="163">
        <v>21111181</v>
      </c>
      <c r="B20" s="164" t="s">
        <v>517</v>
      </c>
      <c r="C20" s="165">
        <v>3937020869</v>
      </c>
      <c r="D20" s="165">
        <v>0</v>
      </c>
      <c r="E20" s="165">
        <v>0</v>
      </c>
      <c r="F20" s="165">
        <v>0</v>
      </c>
      <c r="G20" s="165">
        <f t="shared" si="17"/>
        <v>3937020869</v>
      </c>
      <c r="H20" s="165">
        <v>6191652</v>
      </c>
      <c r="I20" s="165">
        <v>52173952.170000002</v>
      </c>
      <c r="J20" s="165">
        <f t="shared" si="2"/>
        <v>3884846916.8299999</v>
      </c>
      <c r="K20" s="165">
        <v>6191652</v>
      </c>
      <c r="L20" s="165">
        <v>52173952.170000002</v>
      </c>
      <c r="M20" s="165">
        <f t="shared" si="3"/>
        <v>0</v>
      </c>
      <c r="N20" s="165">
        <v>52173952.170000002</v>
      </c>
      <c r="O20" s="165">
        <f t="shared" si="4"/>
        <v>0</v>
      </c>
      <c r="P20" s="165">
        <f t="shared" si="5"/>
        <v>3884846916.8299999</v>
      </c>
      <c r="Q20" s="165">
        <f t="shared" si="6"/>
        <v>52173952.170000002</v>
      </c>
      <c r="S20" s="121">
        <f>+H20*6</f>
        <v>37149912</v>
      </c>
      <c r="T20" s="166">
        <f>+P20-S20</f>
        <v>3847697004.8299999</v>
      </c>
      <c r="V20" s="149">
        <v>3884846916.8299999</v>
      </c>
      <c r="AA20" s="165"/>
      <c r="AC20" s="165"/>
      <c r="AE20" s="165"/>
    </row>
    <row r="21" spans="1:31" hidden="1" x14ac:dyDescent="0.25">
      <c r="A21" s="163">
        <v>21111182</v>
      </c>
      <c r="B21" s="164" t="s">
        <v>518</v>
      </c>
      <c r="C21" s="165">
        <v>2452003122</v>
      </c>
      <c r="D21" s="165">
        <v>0</v>
      </c>
      <c r="E21" s="165">
        <v>0</v>
      </c>
      <c r="F21" s="165">
        <v>0</v>
      </c>
      <c r="G21" s="165">
        <f t="shared" si="17"/>
        <v>2452003122</v>
      </c>
      <c r="H21" s="165">
        <v>15534528</v>
      </c>
      <c r="I21" s="165">
        <v>146981679</v>
      </c>
      <c r="J21" s="165">
        <f t="shared" si="2"/>
        <v>2305021443</v>
      </c>
      <c r="K21" s="165">
        <v>14541975</v>
      </c>
      <c r="L21" s="165">
        <v>143995658</v>
      </c>
      <c r="M21" s="165">
        <f t="shared" si="3"/>
        <v>2986021</v>
      </c>
      <c r="N21" s="165">
        <v>146981679</v>
      </c>
      <c r="O21" s="165">
        <f t="shared" si="4"/>
        <v>0</v>
      </c>
      <c r="P21" s="165">
        <f t="shared" si="5"/>
        <v>2305021443</v>
      </c>
      <c r="Q21" s="165">
        <f t="shared" si="6"/>
        <v>143995658</v>
      </c>
      <c r="S21" s="121">
        <f>+H21*6</f>
        <v>93207168</v>
      </c>
      <c r="T21" s="166">
        <f>+P21-S21</f>
        <v>2211814275</v>
      </c>
      <c r="V21" s="149">
        <v>2305021443</v>
      </c>
      <c r="AA21" s="165"/>
      <c r="AC21" s="165"/>
      <c r="AE21" s="165"/>
    </row>
    <row r="22" spans="1:31" hidden="1" x14ac:dyDescent="0.25">
      <c r="A22" s="163">
        <v>2111119</v>
      </c>
      <c r="B22" s="164" t="s">
        <v>519</v>
      </c>
      <c r="C22" s="165">
        <v>274359359</v>
      </c>
      <c r="D22" s="165">
        <v>0</v>
      </c>
      <c r="E22" s="165">
        <v>0</v>
      </c>
      <c r="F22" s="165">
        <v>0</v>
      </c>
      <c r="G22" s="165">
        <f t="shared" si="17"/>
        <v>274359359</v>
      </c>
      <c r="H22" s="165">
        <v>22544016</v>
      </c>
      <c r="I22" s="165">
        <v>157808112</v>
      </c>
      <c r="J22" s="165">
        <f t="shared" si="2"/>
        <v>116551247</v>
      </c>
      <c r="K22" s="165">
        <v>22544016</v>
      </c>
      <c r="L22" s="165">
        <v>157808112</v>
      </c>
      <c r="M22" s="165">
        <f t="shared" si="3"/>
        <v>0</v>
      </c>
      <c r="N22" s="165">
        <v>157808112</v>
      </c>
      <c r="O22" s="165">
        <f t="shared" si="4"/>
        <v>0</v>
      </c>
      <c r="P22" s="165">
        <f t="shared" si="5"/>
        <v>116551247</v>
      </c>
      <c r="Q22" s="165">
        <f t="shared" si="6"/>
        <v>157808112</v>
      </c>
      <c r="S22" s="121">
        <f>+H22*6</f>
        <v>135264096</v>
      </c>
      <c r="T22" s="166">
        <f>+P22-S22</f>
        <v>-18712849</v>
      </c>
      <c r="V22" s="149">
        <v>116551247</v>
      </c>
      <c r="AA22" s="165"/>
      <c r="AC22" s="165"/>
      <c r="AE22" s="165"/>
    </row>
    <row r="23" spans="1:31" s="100" customFormat="1" hidden="1" x14ac:dyDescent="0.25">
      <c r="A23" s="160">
        <v>211112</v>
      </c>
      <c r="B23" s="161" t="s">
        <v>13</v>
      </c>
      <c r="C23" s="162">
        <f>SUM(C24:C26)</f>
        <v>1094192136</v>
      </c>
      <c r="D23" s="162">
        <f t="shared" ref="D23:N23" si="19">SUM(D24:D26)</f>
        <v>0</v>
      </c>
      <c r="E23" s="162">
        <f t="shared" si="19"/>
        <v>0</v>
      </c>
      <c r="F23" s="162">
        <f t="shared" si="19"/>
        <v>0</v>
      </c>
      <c r="G23" s="162">
        <f t="shared" si="19"/>
        <v>1094192136</v>
      </c>
      <c r="H23" s="162">
        <f t="shared" si="19"/>
        <v>838663961</v>
      </c>
      <c r="I23" s="162">
        <f t="shared" si="19"/>
        <v>935715803</v>
      </c>
      <c r="J23" s="162">
        <f t="shared" si="2"/>
        <v>158476333</v>
      </c>
      <c r="K23" s="162">
        <f t="shared" si="19"/>
        <v>838663961</v>
      </c>
      <c r="L23" s="162">
        <f t="shared" si="19"/>
        <v>930161554</v>
      </c>
      <c r="M23" s="162">
        <f t="shared" si="3"/>
        <v>5554249</v>
      </c>
      <c r="N23" s="162">
        <f t="shared" si="19"/>
        <v>939495803</v>
      </c>
      <c r="O23" s="162">
        <f t="shared" si="4"/>
        <v>3780000</v>
      </c>
      <c r="P23" s="162">
        <f t="shared" si="5"/>
        <v>154696333</v>
      </c>
      <c r="Q23" s="162">
        <f t="shared" si="6"/>
        <v>930161554</v>
      </c>
      <c r="V23" s="149">
        <v>154696333</v>
      </c>
      <c r="X23" s="84"/>
      <c r="Y23" s="84"/>
      <c r="AA23" s="162"/>
      <c r="AC23" s="162"/>
      <c r="AE23" s="162"/>
    </row>
    <row r="24" spans="1:31" hidden="1" x14ac:dyDescent="0.25">
      <c r="A24" s="163">
        <v>2111122</v>
      </c>
      <c r="B24" s="164" t="s">
        <v>520</v>
      </c>
      <c r="C24" s="165">
        <v>71380618</v>
      </c>
      <c r="D24" s="165">
        <v>0</v>
      </c>
      <c r="E24" s="165">
        <v>0</v>
      </c>
      <c r="F24" s="165">
        <v>0</v>
      </c>
      <c r="G24" s="165">
        <f t="shared" si="17"/>
        <v>71380618</v>
      </c>
      <c r="H24" s="165">
        <v>0</v>
      </c>
      <c r="I24" s="165">
        <v>54233166</v>
      </c>
      <c r="J24" s="165">
        <f t="shared" si="2"/>
        <v>17147452</v>
      </c>
      <c r="K24" s="165">
        <v>0</v>
      </c>
      <c r="L24" s="165">
        <v>53355362</v>
      </c>
      <c r="M24" s="165">
        <f t="shared" si="3"/>
        <v>877804</v>
      </c>
      <c r="N24" s="165">
        <v>54233166</v>
      </c>
      <c r="O24" s="165">
        <f t="shared" si="4"/>
        <v>0</v>
      </c>
      <c r="P24" s="165">
        <f t="shared" si="5"/>
        <v>17147452</v>
      </c>
      <c r="Q24" s="165">
        <f t="shared" si="6"/>
        <v>53355362</v>
      </c>
      <c r="S24" s="121">
        <f>+H24*7</f>
        <v>0</v>
      </c>
      <c r="T24" s="166">
        <f>+P24-S24</f>
        <v>17147452</v>
      </c>
      <c r="V24" s="149">
        <v>17147452</v>
      </c>
      <c r="AA24" s="165"/>
      <c r="AC24" s="165"/>
      <c r="AE24" s="165"/>
    </row>
    <row r="25" spans="1:31" hidden="1" x14ac:dyDescent="0.25">
      <c r="A25" s="163">
        <v>2111124</v>
      </c>
      <c r="B25" s="164" t="s">
        <v>521</v>
      </c>
      <c r="C25" s="165">
        <v>65137062</v>
      </c>
      <c r="D25" s="165">
        <v>0</v>
      </c>
      <c r="E25" s="165">
        <v>0</v>
      </c>
      <c r="F25" s="165">
        <v>0</v>
      </c>
      <c r="G25" s="165">
        <f t="shared" si="17"/>
        <v>65137062</v>
      </c>
      <c r="H25" s="165">
        <v>0</v>
      </c>
      <c r="I25" s="165">
        <v>12772402</v>
      </c>
      <c r="J25" s="165">
        <f t="shared" si="2"/>
        <v>52364660</v>
      </c>
      <c r="K25" s="165">
        <v>0</v>
      </c>
      <c r="L25" s="165">
        <v>12772402</v>
      </c>
      <c r="M25" s="165">
        <f t="shared" si="3"/>
        <v>0</v>
      </c>
      <c r="N25" s="165">
        <v>16552402</v>
      </c>
      <c r="O25" s="165">
        <f t="shared" si="4"/>
        <v>3780000</v>
      </c>
      <c r="P25" s="165">
        <f t="shared" si="5"/>
        <v>48584660</v>
      </c>
      <c r="Q25" s="165">
        <f t="shared" si="6"/>
        <v>12772402</v>
      </c>
      <c r="S25" s="121">
        <f>5600000*6</f>
        <v>33600000</v>
      </c>
      <c r="T25" s="166">
        <f>+P25-S25</f>
        <v>14984660</v>
      </c>
      <c r="V25" s="149">
        <v>48584660</v>
      </c>
      <c r="AA25" s="165"/>
      <c r="AC25" s="165"/>
      <c r="AE25" s="165"/>
    </row>
    <row r="26" spans="1:31" hidden="1" x14ac:dyDescent="0.25">
      <c r="A26" s="163">
        <v>2111126</v>
      </c>
      <c r="B26" s="164" t="s">
        <v>522</v>
      </c>
      <c r="C26" s="165">
        <v>957674456</v>
      </c>
      <c r="D26" s="165">
        <v>0</v>
      </c>
      <c r="E26" s="165">
        <v>0</v>
      </c>
      <c r="F26" s="165">
        <v>0</v>
      </c>
      <c r="G26" s="165">
        <f t="shared" si="17"/>
        <v>957674456</v>
      </c>
      <c r="H26" s="165">
        <v>838663961</v>
      </c>
      <c r="I26" s="165">
        <v>868710235</v>
      </c>
      <c r="J26" s="165">
        <f t="shared" si="2"/>
        <v>88964221</v>
      </c>
      <c r="K26" s="165">
        <v>838663961</v>
      </c>
      <c r="L26" s="165">
        <v>864033790</v>
      </c>
      <c r="M26" s="165">
        <f t="shared" si="3"/>
        <v>4676445</v>
      </c>
      <c r="N26" s="165">
        <v>868710235</v>
      </c>
      <c r="O26" s="165">
        <f t="shared" si="4"/>
        <v>0</v>
      </c>
      <c r="P26" s="165">
        <f t="shared" si="5"/>
        <v>88964221</v>
      </c>
      <c r="Q26" s="165">
        <f t="shared" si="6"/>
        <v>864033790</v>
      </c>
      <c r="S26" s="121">
        <f>+H26*7</f>
        <v>5870647727</v>
      </c>
      <c r="V26" s="149">
        <v>88964221</v>
      </c>
      <c r="AA26" s="165"/>
      <c r="AC26" s="165"/>
      <c r="AE26" s="165"/>
    </row>
    <row r="27" spans="1:31" s="100" customFormat="1" hidden="1" x14ac:dyDescent="0.25">
      <c r="A27" s="160">
        <v>21112</v>
      </c>
      <c r="B27" s="161" t="s">
        <v>14</v>
      </c>
      <c r="C27" s="162">
        <f>SUM(C28:C33)</f>
        <v>16332606577</v>
      </c>
      <c r="D27" s="162">
        <f t="shared" ref="D27:N27" si="20">SUM(D28:D33)</f>
        <v>0</v>
      </c>
      <c r="E27" s="162">
        <f t="shared" si="20"/>
        <v>1938003991</v>
      </c>
      <c r="F27" s="162">
        <f t="shared" si="20"/>
        <v>0</v>
      </c>
      <c r="G27" s="162">
        <f t="shared" si="20"/>
        <v>14394602586</v>
      </c>
      <c r="H27" s="162">
        <f t="shared" si="20"/>
        <v>1282662368</v>
      </c>
      <c r="I27" s="162">
        <f t="shared" si="20"/>
        <v>8183623403</v>
      </c>
      <c r="J27" s="162">
        <f t="shared" si="2"/>
        <v>6210979183</v>
      </c>
      <c r="K27" s="162">
        <f t="shared" si="20"/>
        <v>1282662368</v>
      </c>
      <c r="L27" s="162">
        <f t="shared" si="20"/>
        <v>8180793176</v>
      </c>
      <c r="M27" s="162">
        <f t="shared" si="3"/>
        <v>2830227</v>
      </c>
      <c r="N27" s="162">
        <f t="shared" si="20"/>
        <v>8183623403</v>
      </c>
      <c r="O27" s="162">
        <f t="shared" si="4"/>
        <v>0</v>
      </c>
      <c r="P27" s="162">
        <f t="shared" si="5"/>
        <v>6210979183</v>
      </c>
      <c r="Q27" s="162">
        <f t="shared" si="6"/>
        <v>8180793176</v>
      </c>
      <c r="V27" s="149">
        <v>6210979183</v>
      </c>
      <c r="X27" s="84"/>
      <c r="Y27" s="84"/>
      <c r="AA27" s="162"/>
      <c r="AC27" s="162"/>
      <c r="AE27" s="162"/>
    </row>
    <row r="28" spans="1:31" hidden="1" x14ac:dyDescent="0.25">
      <c r="A28" s="163">
        <v>211121</v>
      </c>
      <c r="B28" s="164" t="s">
        <v>523</v>
      </c>
      <c r="C28" s="165">
        <v>6597489723</v>
      </c>
      <c r="D28" s="165">
        <v>0</v>
      </c>
      <c r="E28" s="165">
        <v>518000000</v>
      </c>
      <c r="F28" s="165">
        <v>0</v>
      </c>
      <c r="G28" s="165">
        <f t="shared" si="17"/>
        <v>6079489723</v>
      </c>
      <c r="H28" s="165">
        <v>512365126</v>
      </c>
      <c r="I28" s="165">
        <v>3021210309</v>
      </c>
      <c r="J28" s="165">
        <f t="shared" si="2"/>
        <v>3058279414</v>
      </c>
      <c r="K28" s="165">
        <v>512365126</v>
      </c>
      <c r="L28" s="165">
        <v>3021210309</v>
      </c>
      <c r="M28" s="165">
        <f t="shared" si="3"/>
        <v>0</v>
      </c>
      <c r="N28" s="165">
        <v>3021210309</v>
      </c>
      <c r="O28" s="165">
        <f t="shared" si="4"/>
        <v>0</v>
      </c>
      <c r="P28" s="165">
        <f t="shared" si="5"/>
        <v>3058279414</v>
      </c>
      <c r="Q28" s="165">
        <f t="shared" si="6"/>
        <v>3021210309</v>
      </c>
      <c r="S28" s="121">
        <f t="shared" ref="S28:S33" si="21">+H28*6</f>
        <v>3074190756</v>
      </c>
      <c r="T28" s="166">
        <f>+P28-S28</f>
        <v>-15911342</v>
      </c>
      <c r="V28" s="149">
        <v>3058279414</v>
      </c>
      <c r="AA28" s="165"/>
      <c r="AC28" s="165"/>
      <c r="AE28" s="165"/>
    </row>
    <row r="29" spans="1:31" hidden="1" x14ac:dyDescent="0.25">
      <c r="A29" s="163">
        <v>211122</v>
      </c>
      <c r="B29" s="164" t="s">
        <v>524</v>
      </c>
      <c r="C29" s="165">
        <v>4673221887</v>
      </c>
      <c r="D29" s="165">
        <v>0</v>
      </c>
      <c r="E29" s="165">
        <v>0</v>
      </c>
      <c r="F29" s="165">
        <v>0</v>
      </c>
      <c r="G29" s="165">
        <f t="shared" si="17"/>
        <v>4673221887</v>
      </c>
      <c r="H29" s="165">
        <v>419207830</v>
      </c>
      <c r="I29" s="165">
        <v>2632034130</v>
      </c>
      <c r="J29" s="165">
        <f t="shared" si="2"/>
        <v>2041187757</v>
      </c>
      <c r="K29" s="165">
        <v>419207830</v>
      </c>
      <c r="L29" s="165">
        <v>2632034130</v>
      </c>
      <c r="M29" s="165">
        <f t="shared" si="3"/>
        <v>0</v>
      </c>
      <c r="N29" s="165">
        <v>2632034130</v>
      </c>
      <c r="O29" s="165">
        <f t="shared" si="4"/>
        <v>0</v>
      </c>
      <c r="P29" s="165">
        <f t="shared" si="5"/>
        <v>2041187757</v>
      </c>
      <c r="Q29" s="165">
        <f t="shared" si="6"/>
        <v>2632034130</v>
      </c>
      <c r="S29" s="121">
        <f t="shared" si="21"/>
        <v>2515246980</v>
      </c>
      <c r="T29" s="166">
        <f>+P29-S29</f>
        <v>-474059223</v>
      </c>
      <c r="V29" s="149">
        <v>2041187757</v>
      </c>
      <c r="AA29" s="165"/>
      <c r="AC29" s="165"/>
      <c r="AE29" s="165"/>
    </row>
    <row r="30" spans="1:31" hidden="1" x14ac:dyDescent="0.25">
      <c r="A30" s="163">
        <v>211123</v>
      </c>
      <c r="B30" s="164" t="s">
        <v>525</v>
      </c>
      <c r="C30" s="165">
        <v>890128449</v>
      </c>
      <c r="D30" s="165">
        <v>0</v>
      </c>
      <c r="E30" s="165">
        <v>485500000</v>
      </c>
      <c r="F30" s="165">
        <v>0</v>
      </c>
      <c r="G30" s="165">
        <f t="shared" si="17"/>
        <v>404628449</v>
      </c>
      <c r="H30" s="165">
        <v>0</v>
      </c>
      <c r="I30" s="165">
        <v>404628449</v>
      </c>
      <c r="J30" s="165">
        <f t="shared" si="2"/>
        <v>0</v>
      </c>
      <c r="K30" s="165">
        <v>0</v>
      </c>
      <c r="L30" s="165">
        <v>404628449</v>
      </c>
      <c r="M30" s="165">
        <f t="shared" si="3"/>
        <v>0</v>
      </c>
      <c r="N30" s="165">
        <v>404628449</v>
      </c>
      <c r="O30" s="165">
        <f t="shared" si="4"/>
        <v>0</v>
      </c>
      <c r="P30" s="165">
        <f t="shared" si="5"/>
        <v>0</v>
      </c>
      <c r="Q30" s="165">
        <f t="shared" si="6"/>
        <v>404628449</v>
      </c>
      <c r="S30" s="121">
        <f t="shared" si="21"/>
        <v>0</v>
      </c>
      <c r="V30" s="149">
        <v>0</v>
      </c>
      <c r="AA30" s="165"/>
      <c r="AC30" s="165"/>
      <c r="AE30" s="165"/>
    </row>
    <row r="31" spans="1:31" hidden="1" x14ac:dyDescent="0.25">
      <c r="A31" s="163">
        <v>211124</v>
      </c>
      <c r="B31" s="164" t="s">
        <v>526</v>
      </c>
      <c r="C31" s="165">
        <v>2199163241</v>
      </c>
      <c r="D31" s="165">
        <v>0</v>
      </c>
      <c r="E31" s="165">
        <v>684503991</v>
      </c>
      <c r="F31" s="165">
        <v>0</v>
      </c>
      <c r="G31" s="165">
        <f t="shared" si="17"/>
        <v>1514659250</v>
      </c>
      <c r="H31" s="165">
        <v>193094347</v>
      </c>
      <c r="I31" s="165">
        <v>1132231049.72</v>
      </c>
      <c r="J31" s="165">
        <f t="shared" si="2"/>
        <v>382428200.27999997</v>
      </c>
      <c r="K31" s="165">
        <v>193094347</v>
      </c>
      <c r="L31" s="165">
        <v>1132231049.72</v>
      </c>
      <c r="M31" s="165">
        <f t="shared" si="3"/>
        <v>0</v>
      </c>
      <c r="N31" s="165">
        <v>1132231049.72</v>
      </c>
      <c r="O31" s="165">
        <f t="shared" si="4"/>
        <v>0</v>
      </c>
      <c r="P31" s="165">
        <f t="shared" si="5"/>
        <v>382428200.27999997</v>
      </c>
      <c r="Q31" s="165">
        <f t="shared" si="6"/>
        <v>1132231049.72</v>
      </c>
      <c r="S31" s="121">
        <f t="shared" si="21"/>
        <v>1158566082</v>
      </c>
      <c r="T31" s="166">
        <f>+P31-S31</f>
        <v>-776137881.72000003</v>
      </c>
      <c r="V31" s="149">
        <v>382428200.27999997</v>
      </c>
      <c r="AA31" s="165"/>
      <c r="AC31" s="165"/>
      <c r="AE31" s="165"/>
    </row>
    <row r="32" spans="1:31" ht="30" hidden="1" x14ac:dyDescent="0.25">
      <c r="A32" s="163">
        <v>211125</v>
      </c>
      <c r="B32" s="164" t="s">
        <v>527</v>
      </c>
      <c r="C32" s="165">
        <v>323230846</v>
      </c>
      <c r="D32" s="165">
        <v>0</v>
      </c>
      <c r="E32" s="165">
        <v>0</v>
      </c>
      <c r="F32" s="165">
        <v>0</v>
      </c>
      <c r="G32" s="165">
        <f t="shared" si="17"/>
        <v>323230846</v>
      </c>
      <c r="H32" s="165">
        <v>29265500</v>
      </c>
      <c r="I32" s="165">
        <v>185399027</v>
      </c>
      <c r="J32" s="165">
        <f t="shared" si="2"/>
        <v>137831819</v>
      </c>
      <c r="K32" s="165">
        <v>29265500</v>
      </c>
      <c r="L32" s="165">
        <v>182568800</v>
      </c>
      <c r="M32" s="165">
        <f t="shared" si="3"/>
        <v>2830227</v>
      </c>
      <c r="N32" s="165">
        <v>185399027</v>
      </c>
      <c r="O32" s="165">
        <f t="shared" si="4"/>
        <v>0</v>
      </c>
      <c r="P32" s="165">
        <f t="shared" si="5"/>
        <v>137831819</v>
      </c>
      <c r="Q32" s="165">
        <f t="shared" si="6"/>
        <v>182568800</v>
      </c>
      <c r="S32" s="121">
        <f t="shared" si="21"/>
        <v>175593000</v>
      </c>
      <c r="T32" s="166">
        <f>+P32-S32</f>
        <v>-37761181</v>
      </c>
      <c r="V32" s="149">
        <v>137831819</v>
      </c>
      <c r="AA32" s="165"/>
      <c r="AC32" s="165"/>
      <c r="AE32" s="165"/>
    </row>
    <row r="33" spans="1:31" hidden="1" x14ac:dyDescent="0.25">
      <c r="A33" s="163">
        <v>211126</v>
      </c>
      <c r="B33" s="164" t="s">
        <v>633</v>
      </c>
      <c r="C33" s="165">
        <v>1649372431</v>
      </c>
      <c r="D33" s="165">
        <v>0</v>
      </c>
      <c r="E33" s="165">
        <v>250000000</v>
      </c>
      <c r="F33" s="165">
        <v>0</v>
      </c>
      <c r="G33" s="165">
        <f t="shared" si="17"/>
        <v>1399372431</v>
      </c>
      <c r="H33" s="165">
        <v>128729565</v>
      </c>
      <c r="I33" s="165">
        <v>808120438.27999997</v>
      </c>
      <c r="J33" s="165">
        <f t="shared" si="2"/>
        <v>591251992.72000003</v>
      </c>
      <c r="K33" s="165">
        <v>128729565</v>
      </c>
      <c r="L33" s="165">
        <v>808120438.27999997</v>
      </c>
      <c r="M33" s="165">
        <f t="shared" si="3"/>
        <v>0</v>
      </c>
      <c r="N33" s="165">
        <v>808120438.27999997</v>
      </c>
      <c r="O33" s="165">
        <f t="shared" si="4"/>
        <v>0</v>
      </c>
      <c r="P33" s="165">
        <f t="shared" si="5"/>
        <v>591251992.72000003</v>
      </c>
      <c r="Q33" s="165">
        <f t="shared" si="6"/>
        <v>808120438.27999997</v>
      </c>
      <c r="S33" s="121">
        <f t="shared" si="21"/>
        <v>772377390</v>
      </c>
      <c r="T33" s="166">
        <f>+P33-S33</f>
        <v>-181125397.27999997</v>
      </c>
      <c r="V33" s="149">
        <v>591251992.72000003</v>
      </c>
      <c r="AA33" s="165"/>
      <c r="AC33" s="165"/>
      <c r="AE33" s="165"/>
    </row>
    <row r="34" spans="1:31" s="100" customFormat="1" hidden="1" x14ac:dyDescent="0.25">
      <c r="A34" s="157">
        <v>21113</v>
      </c>
      <c r="B34" s="157" t="s">
        <v>15</v>
      </c>
      <c r="C34" s="159">
        <f>+C35</f>
        <v>1123702148</v>
      </c>
      <c r="D34" s="159">
        <f t="shared" ref="D34:N34" si="22">+D35</f>
        <v>150000000</v>
      </c>
      <c r="E34" s="159">
        <f t="shared" si="22"/>
        <v>0</v>
      </c>
      <c r="F34" s="159">
        <f t="shared" si="22"/>
        <v>0</v>
      </c>
      <c r="G34" s="159">
        <f t="shared" si="22"/>
        <v>1273702148</v>
      </c>
      <c r="H34" s="159">
        <f t="shared" si="22"/>
        <v>215959975</v>
      </c>
      <c r="I34" s="159">
        <f t="shared" si="22"/>
        <v>917652054</v>
      </c>
      <c r="J34" s="159">
        <f t="shared" si="2"/>
        <v>356050094</v>
      </c>
      <c r="K34" s="159">
        <f t="shared" si="22"/>
        <v>140547458</v>
      </c>
      <c r="L34" s="159">
        <f t="shared" si="22"/>
        <v>788654304</v>
      </c>
      <c r="M34" s="159">
        <f t="shared" si="3"/>
        <v>128997750</v>
      </c>
      <c r="N34" s="159">
        <f t="shared" si="22"/>
        <v>918370404</v>
      </c>
      <c r="O34" s="159">
        <f t="shared" si="4"/>
        <v>718350</v>
      </c>
      <c r="P34" s="159">
        <f t="shared" si="5"/>
        <v>355331744</v>
      </c>
      <c r="Q34" s="159">
        <f t="shared" si="6"/>
        <v>788654304</v>
      </c>
      <c r="V34" s="149">
        <v>355331744</v>
      </c>
      <c r="X34" s="84"/>
      <c r="Y34" s="84"/>
      <c r="AA34" s="159"/>
      <c r="AC34" s="159"/>
      <c r="AE34" s="159"/>
    </row>
    <row r="35" spans="1:31" s="100" customFormat="1" hidden="1" x14ac:dyDescent="0.25">
      <c r="A35" s="157">
        <v>211131</v>
      </c>
      <c r="B35" s="157" t="s">
        <v>12</v>
      </c>
      <c r="C35" s="159">
        <f>+C36+C39</f>
        <v>1123702148</v>
      </c>
      <c r="D35" s="159">
        <f t="shared" ref="D35:N35" si="23">+D36+D39</f>
        <v>150000000</v>
      </c>
      <c r="E35" s="159">
        <f t="shared" si="23"/>
        <v>0</v>
      </c>
      <c r="F35" s="159">
        <f t="shared" si="23"/>
        <v>0</v>
      </c>
      <c r="G35" s="159">
        <f t="shared" si="23"/>
        <v>1273702148</v>
      </c>
      <c r="H35" s="159">
        <f t="shared" si="23"/>
        <v>215959975</v>
      </c>
      <c r="I35" s="159">
        <f t="shared" si="23"/>
        <v>917652054</v>
      </c>
      <c r="J35" s="159">
        <f t="shared" si="2"/>
        <v>356050094</v>
      </c>
      <c r="K35" s="159">
        <f t="shared" si="23"/>
        <v>140547458</v>
      </c>
      <c r="L35" s="159">
        <f t="shared" si="23"/>
        <v>788654304</v>
      </c>
      <c r="M35" s="159">
        <f t="shared" si="3"/>
        <v>128997750</v>
      </c>
      <c r="N35" s="159">
        <f t="shared" si="23"/>
        <v>918370404</v>
      </c>
      <c r="O35" s="159">
        <f t="shared" si="4"/>
        <v>718350</v>
      </c>
      <c r="P35" s="159">
        <f t="shared" si="5"/>
        <v>355331744</v>
      </c>
      <c r="Q35" s="159">
        <f t="shared" si="6"/>
        <v>788654304</v>
      </c>
      <c r="V35" s="149">
        <v>355331744</v>
      </c>
      <c r="X35" s="84"/>
      <c r="Y35" s="84"/>
      <c r="AA35" s="159"/>
      <c r="AC35" s="159"/>
      <c r="AE35" s="159"/>
    </row>
    <row r="36" spans="1:31" s="100" customFormat="1" hidden="1" x14ac:dyDescent="0.25">
      <c r="A36" s="160">
        <v>2111313</v>
      </c>
      <c r="B36" s="160" t="s">
        <v>16</v>
      </c>
      <c r="C36" s="162">
        <f>+C37+C38</f>
        <v>771955345</v>
      </c>
      <c r="D36" s="162">
        <f t="shared" ref="D36:N36" si="24">+D37+D38</f>
        <v>0</v>
      </c>
      <c r="E36" s="162">
        <f t="shared" si="24"/>
        <v>0</v>
      </c>
      <c r="F36" s="162">
        <f t="shared" si="24"/>
        <v>0</v>
      </c>
      <c r="G36" s="162">
        <f t="shared" si="24"/>
        <v>771955345</v>
      </c>
      <c r="H36" s="162">
        <f t="shared" si="24"/>
        <v>78948614</v>
      </c>
      <c r="I36" s="162">
        <f t="shared" si="24"/>
        <v>474978363</v>
      </c>
      <c r="J36" s="162">
        <f t="shared" si="2"/>
        <v>296976982</v>
      </c>
      <c r="K36" s="162">
        <f t="shared" si="24"/>
        <v>110060105</v>
      </c>
      <c r="L36" s="162">
        <f t="shared" si="24"/>
        <v>454022887</v>
      </c>
      <c r="M36" s="162">
        <f t="shared" si="3"/>
        <v>20955476</v>
      </c>
      <c r="N36" s="162">
        <f t="shared" si="24"/>
        <v>474978363</v>
      </c>
      <c r="O36" s="162">
        <f t="shared" si="4"/>
        <v>0</v>
      </c>
      <c r="P36" s="162">
        <f t="shared" si="5"/>
        <v>296976982</v>
      </c>
      <c r="Q36" s="162">
        <f t="shared" si="6"/>
        <v>454022887</v>
      </c>
      <c r="V36" s="149">
        <v>296976982</v>
      </c>
      <c r="X36" s="84"/>
      <c r="Y36" s="84"/>
      <c r="AA36" s="162"/>
      <c r="AC36" s="162"/>
      <c r="AE36" s="162"/>
    </row>
    <row r="37" spans="1:31" hidden="1" x14ac:dyDescent="0.25">
      <c r="A37" s="163">
        <v>21113131</v>
      </c>
      <c r="B37" s="163" t="s">
        <v>634</v>
      </c>
      <c r="C37" s="165">
        <v>1310595</v>
      </c>
      <c r="D37" s="165">
        <v>0</v>
      </c>
      <c r="E37" s="165">
        <v>0</v>
      </c>
      <c r="F37" s="165">
        <v>0</v>
      </c>
      <c r="G37" s="165">
        <f t="shared" si="17"/>
        <v>1310595</v>
      </c>
      <c r="H37" s="165">
        <v>60625</v>
      </c>
      <c r="I37" s="165">
        <v>424375</v>
      </c>
      <c r="J37" s="165">
        <f t="shared" si="2"/>
        <v>886220</v>
      </c>
      <c r="K37" s="165">
        <v>60625</v>
      </c>
      <c r="L37" s="165">
        <v>424375</v>
      </c>
      <c r="M37" s="165">
        <f t="shared" si="3"/>
        <v>0</v>
      </c>
      <c r="N37" s="165">
        <v>424375</v>
      </c>
      <c r="O37" s="165">
        <f t="shared" si="4"/>
        <v>0</v>
      </c>
      <c r="P37" s="165">
        <f t="shared" si="5"/>
        <v>886220</v>
      </c>
      <c r="Q37" s="165">
        <f t="shared" si="6"/>
        <v>424375</v>
      </c>
      <c r="S37" s="121">
        <f>+H37*6</f>
        <v>363750</v>
      </c>
      <c r="V37" s="149">
        <v>886220</v>
      </c>
      <c r="AA37" s="165"/>
      <c r="AC37" s="165"/>
      <c r="AE37" s="165"/>
    </row>
    <row r="38" spans="1:31" hidden="1" x14ac:dyDescent="0.25">
      <c r="A38" s="163">
        <v>21113132</v>
      </c>
      <c r="B38" s="163" t="s">
        <v>528</v>
      </c>
      <c r="C38" s="165">
        <v>770644750</v>
      </c>
      <c r="D38" s="165">
        <v>0</v>
      </c>
      <c r="E38" s="165">
        <v>0</v>
      </c>
      <c r="F38" s="165">
        <v>0</v>
      </c>
      <c r="G38" s="165">
        <f t="shared" si="17"/>
        <v>770644750</v>
      </c>
      <c r="H38" s="165">
        <v>78887989</v>
      </c>
      <c r="I38" s="165">
        <v>474553988</v>
      </c>
      <c r="J38" s="165">
        <f t="shared" si="2"/>
        <v>296090762</v>
      </c>
      <c r="K38" s="165">
        <v>109999480</v>
      </c>
      <c r="L38" s="165">
        <v>453598512</v>
      </c>
      <c r="M38" s="165">
        <f t="shared" si="3"/>
        <v>20955476</v>
      </c>
      <c r="N38" s="165">
        <v>474553988</v>
      </c>
      <c r="O38" s="165">
        <f t="shared" si="4"/>
        <v>0</v>
      </c>
      <c r="P38" s="165">
        <f t="shared" si="5"/>
        <v>296090762</v>
      </c>
      <c r="Q38" s="165">
        <f t="shared" si="6"/>
        <v>453598512</v>
      </c>
      <c r="S38" s="121">
        <f>+H38*6</f>
        <v>473327934</v>
      </c>
      <c r="V38" s="149">
        <v>296090762</v>
      </c>
      <c r="AA38" s="165"/>
      <c r="AC38" s="165"/>
      <c r="AE38" s="165"/>
    </row>
    <row r="39" spans="1:31" s="100" customFormat="1" hidden="1" x14ac:dyDescent="0.25">
      <c r="A39" s="160">
        <v>2111314</v>
      </c>
      <c r="B39" s="160" t="s">
        <v>17</v>
      </c>
      <c r="C39" s="162">
        <f>+C40+C41+C42</f>
        <v>351746803</v>
      </c>
      <c r="D39" s="162">
        <f t="shared" ref="D39:N39" si="25">+D40+D41+D42</f>
        <v>150000000</v>
      </c>
      <c r="E39" s="162">
        <f t="shared" si="25"/>
        <v>0</v>
      </c>
      <c r="F39" s="162">
        <f t="shared" si="25"/>
        <v>0</v>
      </c>
      <c r="G39" s="162">
        <f t="shared" si="25"/>
        <v>501746803</v>
      </c>
      <c r="H39" s="162">
        <f t="shared" si="25"/>
        <v>137011361</v>
      </c>
      <c r="I39" s="162">
        <f t="shared" si="25"/>
        <v>442673691</v>
      </c>
      <c r="J39" s="162">
        <f t="shared" si="2"/>
        <v>59073112</v>
      </c>
      <c r="K39" s="162">
        <f t="shared" si="25"/>
        <v>30487353</v>
      </c>
      <c r="L39" s="162">
        <f t="shared" si="25"/>
        <v>334631417</v>
      </c>
      <c r="M39" s="162">
        <f t="shared" si="3"/>
        <v>108042274</v>
      </c>
      <c r="N39" s="162">
        <f t="shared" si="25"/>
        <v>443392041</v>
      </c>
      <c r="O39" s="162">
        <f t="shared" si="4"/>
        <v>718350</v>
      </c>
      <c r="P39" s="162">
        <f t="shared" si="5"/>
        <v>58354762</v>
      </c>
      <c r="Q39" s="162">
        <f t="shared" si="6"/>
        <v>334631417</v>
      </c>
      <c r="V39" s="149">
        <v>58354762</v>
      </c>
      <c r="X39" s="84"/>
      <c r="Y39" s="84"/>
      <c r="AA39" s="162"/>
      <c r="AC39" s="162"/>
      <c r="AE39" s="162"/>
    </row>
    <row r="40" spans="1:31" hidden="1" x14ac:dyDescent="0.25">
      <c r="A40" s="163">
        <v>21113141</v>
      </c>
      <c r="B40" s="163" t="s">
        <v>520</v>
      </c>
      <c r="C40" s="165">
        <v>98148934</v>
      </c>
      <c r="D40" s="165">
        <v>150000000</v>
      </c>
      <c r="E40" s="165">
        <v>0</v>
      </c>
      <c r="F40" s="165">
        <v>0</v>
      </c>
      <c r="G40" s="165">
        <f t="shared" si="17"/>
        <v>248148934</v>
      </c>
      <c r="H40" s="165">
        <v>136879691</v>
      </c>
      <c r="I40" s="165">
        <v>199435341</v>
      </c>
      <c r="J40" s="165">
        <f t="shared" si="2"/>
        <v>48713593</v>
      </c>
      <c r="K40" s="165">
        <v>30355683</v>
      </c>
      <c r="L40" s="165">
        <v>92911333</v>
      </c>
      <c r="M40" s="165">
        <f t="shared" si="3"/>
        <v>106524008</v>
      </c>
      <c r="N40" s="165">
        <v>199435341</v>
      </c>
      <c r="O40" s="165">
        <f t="shared" si="4"/>
        <v>0</v>
      </c>
      <c r="P40" s="165">
        <f t="shared" si="5"/>
        <v>48713593</v>
      </c>
      <c r="Q40" s="165">
        <f t="shared" si="6"/>
        <v>92911333</v>
      </c>
      <c r="S40" s="121">
        <f>+H40*6</f>
        <v>821278146</v>
      </c>
      <c r="V40" s="149">
        <v>48713593</v>
      </c>
      <c r="X40" s="167"/>
      <c r="Y40" s="168"/>
      <c r="AA40" s="165"/>
      <c r="AC40" s="165"/>
      <c r="AE40" s="165"/>
    </row>
    <row r="41" spans="1:31" hidden="1" x14ac:dyDescent="0.25">
      <c r="A41" s="163">
        <v>21113142</v>
      </c>
      <c r="B41" s="163" t="s">
        <v>529</v>
      </c>
      <c r="C41" s="165">
        <v>235801530</v>
      </c>
      <c r="D41" s="165">
        <v>0</v>
      </c>
      <c r="E41" s="165">
        <v>0</v>
      </c>
      <c r="F41" s="165">
        <v>0</v>
      </c>
      <c r="G41" s="165">
        <f t="shared" si="17"/>
        <v>235801530</v>
      </c>
      <c r="H41" s="165">
        <v>131670</v>
      </c>
      <c r="I41" s="165">
        <v>235083180</v>
      </c>
      <c r="J41" s="165">
        <f t="shared" si="2"/>
        <v>718350</v>
      </c>
      <c r="K41" s="165">
        <v>131670</v>
      </c>
      <c r="L41" s="165">
        <v>233564914</v>
      </c>
      <c r="M41" s="165">
        <f t="shared" si="3"/>
        <v>1518266</v>
      </c>
      <c r="N41" s="165">
        <v>235801530</v>
      </c>
      <c r="O41" s="165">
        <f t="shared" si="4"/>
        <v>718350</v>
      </c>
      <c r="P41" s="165">
        <f t="shared" si="5"/>
        <v>0</v>
      </c>
      <c r="Q41" s="165">
        <f t="shared" si="6"/>
        <v>233564914</v>
      </c>
      <c r="S41" s="121">
        <f>+H41*6</f>
        <v>790020</v>
      </c>
      <c r="V41" s="149">
        <v>0</v>
      </c>
      <c r="X41" s="167"/>
      <c r="Y41" s="168"/>
      <c r="AA41" s="165"/>
      <c r="AC41" s="165"/>
      <c r="AE41" s="165"/>
    </row>
    <row r="42" spans="1:31" hidden="1" x14ac:dyDescent="0.25">
      <c r="A42" s="163">
        <v>21113143</v>
      </c>
      <c r="B42" s="163" t="s">
        <v>530</v>
      </c>
      <c r="C42" s="165">
        <v>17796339</v>
      </c>
      <c r="D42" s="165">
        <v>0</v>
      </c>
      <c r="E42" s="165">
        <v>0</v>
      </c>
      <c r="F42" s="165">
        <v>0</v>
      </c>
      <c r="G42" s="165">
        <f t="shared" si="17"/>
        <v>17796339</v>
      </c>
      <c r="H42" s="165">
        <v>0</v>
      </c>
      <c r="I42" s="165">
        <v>8155170</v>
      </c>
      <c r="J42" s="165">
        <f t="shared" si="2"/>
        <v>9641169</v>
      </c>
      <c r="K42" s="165">
        <v>0</v>
      </c>
      <c r="L42" s="165">
        <v>8155170</v>
      </c>
      <c r="M42" s="165">
        <f t="shared" si="3"/>
        <v>0</v>
      </c>
      <c r="N42" s="165">
        <v>8155170</v>
      </c>
      <c r="O42" s="165">
        <f t="shared" si="4"/>
        <v>0</v>
      </c>
      <c r="P42" s="165">
        <f t="shared" si="5"/>
        <v>9641169</v>
      </c>
      <c r="Q42" s="165">
        <f t="shared" si="6"/>
        <v>8155170</v>
      </c>
      <c r="S42" s="121">
        <f>+H42*6</f>
        <v>0</v>
      </c>
      <c r="V42" s="149">
        <v>9641169</v>
      </c>
      <c r="X42" s="167"/>
      <c r="Y42" s="168"/>
      <c r="AA42" s="165"/>
      <c r="AC42" s="165"/>
      <c r="AE42" s="165"/>
    </row>
    <row r="43" spans="1:31" s="100" customFormat="1" hidden="1" x14ac:dyDescent="0.25">
      <c r="A43" s="151">
        <v>2112</v>
      </c>
      <c r="B43" s="151" t="s">
        <v>18</v>
      </c>
      <c r="C43" s="153">
        <f>+C44+C56</f>
        <v>27473344553</v>
      </c>
      <c r="D43" s="153">
        <f t="shared" ref="D43:N43" si="26">+D44+D56</f>
        <v>0</v>
      </c>
      <c r="E43" s="153">
        <f t="shared" si="26"/>
        <v>365000000</v>
      </c>
      <c r="F43" s="153">
        <f t="shared" si="26"/>
        <v>1771870902</v>
      </c>
      <c r="G43" s="153">
        <f t="shared" si="26"/>
        <v>28880215455</v>
      </c>
      <c r="H43" s="153">
        <f t="shared" si="26"/>
        <v>972395891</v>
      </c>
      <c r="I43" s="153">
        <f t="shared" si="26"/>
        <v>18889687465.68</v>
      </c>
      <c r="J43" s="153">
        <f t="shared" si="2"/>
        <v>9990527989.3199997</v>
      </c>
      <c r="K43" s="153">
        <f t="shared" si="26"/>
        <v>1266468346</v>
      </c>
      <c r="L43" s="153">
        <f t="shared" si="26"/>
        <v>13164377777.48</v>
      </c>
      <c r="M43" s="153">
        <f t="shared" si="3"/>
        <v>5725309688.2000008</v>
      </c>
      <c r="N43" s="153">
        <f t="shared" si="26"/>
        <v>19564041645</v>
      </c>
      <c r="O43" s="153">
        <f t="shared" si="4"/>
        <v>674354179.31999969</v>
      </c>
      <c r="P43" s="153">
        <f t="shared" si="5"/>
        <v>9316173810</v>
      </c>
      <c r="Q43" s="153">
        <f t="shared" si="6"/>
        <v>13164377777.48</v>
      </c>
      <c r="S43" s="153">
        <f t="shared" ref="S43:T43" si="27">+S44+S56</f>
        <v>14150333601.68</v>
      </c>
      <c r="T43" s="153">
        <f t="shared" si="27"/>
        <v>-6576506799.6800003</v>
      </c>
      <c r="V43" s="149">
        <v>9316173810</v>
      </c>
      <c r="X43" s="167"/>
      <c r="Y43" s="168"/>
      <c r="AA43" s="153"/>
      <c r="AC43" s="153"/>
      <c r="AE43" s="153"/>
    </row>
    <row r="44" spans="1:31" hidden="1" x14ac:dyDescent="0.25">
      <c r="A44" s="169">
        <v>21121</v>
      </c>
      <c r="B44" s="169" t="s">
        <v>19</v>
      </c>
      <c r="C44" s="170">
        <f>+C45</f>
        <v>22678383399</v>
      </c>
      <c r="D44" s="170">
        <f t="shared" ref="D44:N44" si="28">+D45</f>
        <v>0</v>
      </c>
      <c r="E44" s="170">
        <f t="shared" si="28"/>
        <v>365000000</v>
      </c>
      <c r="F44" s="170">
        <f t="shared" si="28"/>
        <v>1771870902</v>
      </c>
      <c r="G44" s="170">
        <f t="shared" si="28"/>
        <v>24085254301</v>
      </c>
      <c r="H44" s="170">
        <f t="shared" si="28"/>
        <v>736237294</v>
      </c>
      <c r="I44" s="170">
        <f t="shared" si="28"/>
        <v>15854636605.68</v>
      </c>
      <c r="J44" s="170">
        <f t="shared" si="2"/>
        <v>8230617695.3199997</v>
      </c>
      <c r="K44" s="170">
        <f t="shared" si="28"/>
        <v>1194135287</v>
      </c>
      <c r="L44" s="170">
        <f t="shared" si="28"/>
        <v>11572025241.48</v>
      </c>
      <c r="M44" s="170">
        <f t="shared" si="3"/>
        <v>4282611364.2000008</v>
      </c>
      <c r="N44" s="170">
        <f t="shared" si="28"/>
        <v>16500050377</v>
      </c>
      <c r="O44" s="170">
        <f t="shared" si="4"/>
        <v>645413771.31999969</v>
      </c>
      <c r="P44" s="170">
        <f t="shared" si="5"/>
        <v>7585203924</v>
      </c>
      <c r="Q44" s="170">
        <f t="shared" si="6"/>
        <v>11572025241.48</v>
      </c>
      <c r="S44" s="170">
        <f t="shared" ref="S44:T44" si="29">+S45</f>
        <v>14150333601.68</v>
      </c>
      <c r="T44" s="170">
        <f t="shared" si="29"/>
        <v>-6576506799.6800003</v>
      </c>
      <c r="V44" s="149">
        <v>7585203924</v>
      </c>
      <c r="X44" s="167"/>
      <c r="Y44" s="168"/>
      <c r="AA44" s="170"/>
      <c r="AC44" s="170"/>
      <c r="AE44" s="170"/>
    </row>
    <row r="45" spans="1:31" s="100" customFormat="1" hidden="1" x14ac:dyDescent="0.25">
      <c r="A45" s="160">
        <v>211211</v>
      </c>
      <c r="B45" s="160" t="s">
        <v>11</v>
      </c>
      <c r="C45" s="162">
        <f>+C46+C47+C48+C49+C50+C51+C52+C55</f>
        <v>22678383399</v>
      </c>
      <c r="D45" s="162">
        <f t="shared" ref="D45:N45" si="30">+D46+D47+D48+D49+D50+D51+D52+D55</f>
        <v>0</v>
      </c>
      <c r="E45" s="162">
        <f t="shared" si="30"/>
        <v>365000000</v>
      </c>
      <c r="F45" s="162">
        <f t="shared" si="30"/>
        <v>1771870902</v>
      </c>
      <c r="G45" s="162">
        <f t="shared" si="30"/>
        <v>24085254301</v>
      </c>
      <c r="H45" s="162">
        <f t="shared" si="30"/>
        <v>736237294</v>
      </c>
      <c r="I45" s="162">
        <f t="shared" si="30"/>
        <v>15854636605.68</v>
      </c>
      <c r="J45" s="162">
        <f t="shared" si="2"/>
        <v>8230617695.3199997</v>
      </c>
      <c r="K45" s="162">
        <f t="shared" si="30"/>
        <v>1194135287</v>
      </c>
      <c r="L45" s="162">
        <f>+L46+L47+L48+L49+L50+L51+L52+L55</f>
        <v>11572025241.48</v>
      </c>
      <c r="M45" s="162">
        <f t="shared" si="3"/>
        <v>4282611364.2000008</v>
      </c>
      <c r="N45" s="162">
        <f t="shared" si="30"/>
        <v>16500050377</v>
      </c>
      <c r="O45" s="162">
        <f t="shared" si="4"/>
        <v>645413771.31999969</v>
      </c>
      <c r="P45" s="162">
        <f t="shared" si="5"/>
        <v>7585203924</v>
      </c>
      <c r="Q45" s="162">
        <f t="shared" si="6"/>
        <v>11572025241.48</v>
      </c>
      <c r="S45" s="162">
        <f t="shared" ref="S45:T45" si="31">+S46+S47+S48+S49+S50+S51+S52+S55</f>
        <v>14150333601.68</v>
      </c>
      <c r="T45" s="162">
        <f t="shared" si="31"/>
        <v>-6576506799.6800003</v>
      </c>
      <c r="V45" s="149">
        <v>7585203924</v>
      </c>
      <c r="X45" s="167"/>
      <c r="Y45" s="168"/>
      <c r="AA45" s="162"/>
      <c r="AC45" s="162"/>
      <c r="AE45" s="162"/>
    </row>
    <row r="46" spans="1:31" hidden="1" x14ac:dyDescent="0.25">
      <c r="A46" s="163">
        <v>2112111</v>
      </c>
      <c r="B46" s="163" t="s">
        <v>510</v>
      </c>
      <c r="C46" s="165">
        <v>20052276642</v>
      </c>
      <c r="D46" s="165">
        <v>0</v>
      </c>
      <c r="E46" s="165">
        <v>365000000</v>
      </c>
      <c r="F46" s="165">
        <v>1771870902</v>
      </c>
      <c r="G46" s="165">
        <f t="shared" si="17"/>
        <v>21459147544</v>
      </c>
      <c r="H46" s="165">
        <v>718306742</v>
      </c>
      <c r="I46" s="165">
        <v>13979047369.68</v>
      </c>
      <c r="J46" s="165">
        <f t="shared" si="2"/>
        <v>7480100174.3199997</v>
      </c>
      <c r="K46" s="165">
        <v>1176204735</v>
      </c>
      <c r="L46" s="165">
        <v>10575386933.48</v>
      </c>
      <c r="M46" s="165">
        <f t="shared" si="3"/>
        <v>3403660436.2000008</v>
      </c>
      <c r="N46" s="165">
        <v>14623655249</v>
      </c>
      <c r="O46" s="165">
        <f t="shared" si="4"/>
        <v>644607879.31999969</v>
      </c>
      <c r="P46" s="165">
        <f t="shared" si="5"/>
        <v>6835492295</v>
      </c>
      <c r="Q46" s="165">
        <f t="shared" si="6"/>
        <v>10575386933.48</v>
      </c>
      <c r="S46" s="150">
        <f t="shared" ref="S46:S51" si="32">+I46</f>
        <v>13979047369.68</v>
      </c>
      <c r="T46" s="150">
        <f t="shared" ref="T46:T51" si="33">+P46-S46</f>
        <v>-7143555074.6800003</v>
      </c>
      <c r="V46" s="149">
        <v>6835492295</v>
      </c>
      <c r="X46" s="167"/>
      <c r="Y46" s="168"/>
      <c r="AA46" s="165"/>
      <c r="AC46" s="165"/>
      <c r="AE46" s="165"/>
    </row>
    <row r="47" spans="1:31" hidden="1" x14ac:dyDescent="0.25">
      <c r="A47" s="163">
        <v>2112112</v>
      </c>
      <c r="B47" s="163" t="s">
        <v>511</v>
      </c>
      <c r="C47" s="165">
        <v>137214482</v>
      </c>
      <c r="D47" s="165">
        <v>0</v>
      </c>
      <c r="E47" s="165">
        <v>0</v>
      </c>
      <c r="F47" s="165">
        <v>0</v>
      </c>
      <c r="G47" s="165">
        <f t="shared" si="17"/>
        <v>137214482</v>
      </c>
      <c r="H47" s="165">
        <v>0</v>
      </c>
      <c r="I47" s="165">
        <v>22407125</v>
      </c>
      <c r="J47" s="165">
        <f t="shared" si="2"/>
        <v>114807357</v>
      </c>
      <c r="K47" s="165">
        <v>0</v>
      </c>
      <c r="L47" s="165">
        <v>22407125</v>
      </c>
      <c r="M47" s="165">
        <f t="shared" si="3"/>
        <v>0</v>
      </c>
      <c r="N47" s="165">
        <v>22407125</v>
      </c>
      <c r="O47" s="165">
        <f t="shared" si="4"/>
        <v>0</v>
      </c>
      <c r="P47" s="165">
        <f t="shared" si="5"/>
        <v>114807357</v>
      </c>
      <c r="Q47" s="165">
        <f t="shared" si="6"/>
        <v>22407125</v>
      </c>
      <c r="S47" s="150">
        <f t="shared" si="32"/>
        <v>22407125</v>
      </c>
      <c r="T47" s="150">
        <f t="shared" si="33"/>
        <v>92400232</v>
      </c>
      <c r="V47" s="149">
        <v>114807357</v>
      </c>
      <c r="X47" s="167"/>
      <c r="Y47" s="168"/>
      <c r="AA47" s="165"/>
      <c r="AC47" s="165"/>
      <c r="AE47" s="165"/>
    </row>
    <row r="48" spans="1:31" hidden="1" x14ac:dyDescent="0.25">
      <c r="A48" s="163">
        <v>2112114</v>
      </c>
      <c r="B48" s="163" t="s">
        <v>513</v>
      </c>
      <c r="C48" s="165">
        <v>419208140</v>
      </c>
      <c r="D48" s="165">
        <v>0</v>
      </c>
      <c r="E48" s="165">
        <v>0</v>
      </c>
      <c r="F48" s="165">
        <v>0</v>
      </c>
      <c r="G48" s="165">
        <f t="shared" si="17"/>
        <v>419208140</v>
      </c>
      <c r="H48" s="165">
        <v>0</v>
      </c>
      <c r="I48" s="165">
        <v>6880256</v>
      </c>
      <c r="J48" s="165">
        <f t="shared" si="2"/>
        <v>412327884</v>
      </c>
      <c r="K48" s="165">
        <v>0</v>
      </c>
      <c r="L48" s="165">
        <v>30846</v>
      </c>
      <c r="M48" s="165">
        <f t="shared" si="3"/>
        <v>6849410</v>
      </c>
      <c r="N48" s="165">
        <v>6880256</v>
      </c>
      <c r="O48" s="165">
        <f t="shared" si="4"/>
        <v>0</v>
      </c>
      <c r="P48" s="165">
        <f t="shared" si="5"/>
        <v>412327884</v>
      </c>
      <c r="Q48" s="165">
        <f t="shared" si="6"/>
        <v>30846</v>
      </c>
      <c r="S48" s="150">
        <f t="shared" si="32"/>
        <v>6880256</v>
      </c>
      <c r="T48" s="150">
        <f t="shared" si="33"/>
        <v>405447628</v>
      </c>
      <c r="V48" s="149">
        <v>412327884</v>
      </c>
      <c r="X48" s="167"/>
      <c r="Y48" s="168"/>
      <c r="AA48" s="165"/>
      <c r="AC48" s="165"/>
      <c r="AE48" s="165"/>
    </row>
    <row r="49" spans="1:31" hidden="1" x14ac:dyDescent="0.25">
      <c r="A49" s="163">
        <v>2112115</v>
      </c>
      <c r="B49" s="163" t="s">
        <v>514</v>
      </c>
      <c r="C49" s="165">
        <v>60763988</v>
      </c>
      <c r="D49" s="165">
        <v>0</v>
      </c>
      <c r="E49" s="165">
        <v>0</v>
      </c>
      <c r="F49" s="165">
        <v>0</v>
      </c>
      <c r="G49" s="165">
        <f t="shared" si="17"/>
        <v>60763988</v>
      </c>
      <c r="H49" s="165">
        <v>0</v>
      </c>
      <c r="I49" s="165">
        <v>9922759</v>
      </c>
      <c r="J49" s="165">
        <f t="shared" si="2"/>
        <v>50841229</v>
      </c>
      <c r="K49" s="165">
        <v>0</v>
      </c>
      <c r="L49" s="165">
        <v>47998</v>
      </c>
      <c r="M49" s="165">
        <f t="shared" si="3"/>
        <v>9874761</v>
      </c>
      <c r="N49" s="165">
        <v>9922759</v>
      </c>
      <c r="O49" s="165">
        <f t="shared" si="4"/>
        <v>0</v>
      </c>
      <c r="P49" s="165">
        <f t="shared" si="5"/>
        <v>50841229</v>
      </c>
      <c r="Q49" s="165">
        <f t="shared" si="6"/>
        <v>47998</v>
      </c>
      <c r="S49" s="150">
        <f t="shared" si="32"/>
        <v>9922759</v>
      </c>
      <c r="T49" s="150">
        <f t="shared" si="33"/>
        <v>40918470</v>
      </c>
      <c r="V49" s="149">
        <v>50841229</v>
      </c>
      <c r="X49" s="167"/>
      <c r="Y49" s="168"/>
      <c r="AA49" s="165"/>
      <c r="AC49" s="165"/>
      <c r="AE49" s="165"/>
    </row>
    <row r="50" spans="1:31" hidden="1" x14ac:dyDescent="0.25">
      <c r="A50" s="163">
        <v>2112116</v>
      </c>
      <c r="B50" s="163" t="s">
        <v>515</v>
      </c>
      <c r="C50" s="165">
        <v>146760056</v>
      </c>
      <c r="D50" s="165">
        <v>0</v>
      </c>
      <c r="E50" s="165">
        <v>0</v>
      </c>
      <c r="F50" s="165">
        <v>0</v>
      </c>
      <c r="G50" s="165">
        <f t="shared" si="17"/>
        <v>146760056</v>
      </c>
      <c r="H50" s="165">
        <v>17930552</v>
      </c>
      <c r="I50" s="165">
        <v>116674514</v>
      </c>
      <c r="J50" s="165">
        <f t="shared" si="2"/>
        <v>30085542</v>
      </c>
      <c r="K50" s="165">
        <v>17930552</v>
      </c>
      <c r="L50" s="165">
        <v>116674514</v>
      </c>
      <c r="M50" s="165">
        <f t="shared" si="3"/>
        <v>0</v>
      </c>
      <c r="N50" s="165">
        <v>116674514</v>
      </c>
      <c r="O50" s="165">
        <f t="shared" si="4"/>
        <v>0</v>
      </c>
      <c r="P50" s="165">
        <f t="shared" si="5"/>
        <v>30085542</v>
      </c>
      <c r="Q50" s="165">
        <f t="shared" si="6"/>
        <v>116674514</v>
      </c>
      <c r="S50" s="150">
        <f t="shared" si="32"/>
        <v>116674514</v>
      </c>
      <c r="T50" s="150">
        <f t="shared" si="33"/>
        <v>-86588972</v>
      </c>
      <c r="V50" s="149">
        <v>30085542</v>
      </c>
      <c r="X50" s="167"/>
      <c r="Y50" s="168"/>
      <c r="AA50" s="165"/>
      <c r="AC50" s="165"/>
      <c r="AE50" s="165"/>
    </row>
    <row r="51" spans="1:31" hidden="1" x14ac:dyDescent="0.25">
      <c r="A51" s="163">
        <v>2112117</v>
      </c>
      <c r="B51" s="163" t="s">
        <v>516</v>
      </c>
      <c r="C51" s="165">
        <v>80449599</v>
      </c>
      <c r="D51" s="165">
        <v>0</v>
      </c>
      <c r="E51" s="165">
        <v>0</v>
      </c>
      <c r="F51" s="165">
        <v>0</v>
      </c>
      <c r="G51" s="165">
        <f t="shared" si="17"/>
        <v>80449599</v>
      </c>
      <c r="H51" s="165">
        <v>0</v>
      </c>
      <c r="I51" s="165">
        <v>13137420</v>
      </c>
      <c r="J51" s="165">
        <f t="shared" si="2"/>
        <v>67312179</v>
      </c>
      <c r="K51" s="165">
        <v>0</v>
      </c>
      <c r="L51" s="165">
        <v>13137420</v>
      </c>
      <c r="M51" s="165">
        <f t="shared" si="3"/>
        <v>0</v>
      </c>
      <c r="N51" s="165">
        <v>13137420</v>
      </c>
      <c r="O51" s="165">
        <f t="shared" si="4"/>
        <v>0</v>
      </c>
      <c r="P51" s="165">
        <f t="shared" si="5"/>
        <v>67312179</v>
      </c>
      <c r="Q51" s="165">
        <f t="shared" si="6"/>
        <v>13137420</v>
      </c>
      <c r="S51" s="150">
        <f t="shared" si="32"/>
        <v>13137420</v>
      </c>
      <c r="T51" s="150">
        <f t="shared" si="33"/>
        <v>54174759</v>
      </c>
      <c r="V51" s="149">
        <v>67312179</v>
      </c>
      <c r="X51" s="167"/>
      <c r="Y51" s="168"/>
      <c r="AA51" s="165"/>
      <c r="AC51" s="165"/>
      <c r="AE51" s="165"/>
    </row>
    <row r="52" spans="1:31" s="100" customFormat="1" hidden="1" x14ac:dyDescent="0.25">
      <c r="A52" s="160">
        <v>2112118</v>
      </c>
      <c r="B52" s="160" t="s">
        <v>12</v>
      </c>
      <c r="C52" s="162">
        <f>+C53+C54</f>
        <v>1716486018</v>
      </c>
      <c r="D52" s="162">
        <f t="shared" ref="D52:N52" si="34">+D53+D54</f>
        <v>0</v>
      </c>
      <c r="E52" s="162">
        <f t="shared" si="34"/>
        <v>0</v>
      </c>
      <c r="F52" s="162">
        <f t="shared" si="34"/>
        <v>0</v>
      </c>
      <c r="G52" s="162">
        <f t="shared" si="34"/>
        <v>1716486018</v>
      </c>
      <c r="H52" s="162">
        <f t="shared" si="34"/>
        <v>0</v>
      </c>
      <c r="I52" s="162">
        <f t="shared" si="34"/>
        <v>1704303004</v>
      </c>
      <c r="J52" s="162">
        <f t="shared" si="2"/>
        <v>12183014</v>
      </c>
      <c r="K52" s="162">
        <f t="shared" si="34"/>
        <v>0</v>
      </c>
      <c r="L52" s="162">
        <f t="shared" si="34"/>
        <v>842076247</v>
      </c>
      <c r="M52" s="162">
        <f t="shared" si="3"/>
        <v>862226757</v>
      </c>
      <c r="N52" s="162">
        <f t="shared" si="34"/>
        <v>1705108896</v>
      </c>
      <c r="O52" s="162">
        <f t="shared" si="4"/>
        <v>805892</v>
      </c>
      <c r="P52" s="162">
        <f t="shared" si="5"/>
        <v>11377122</v>
      </c>
      <c r="Q52" s="162">
        <f t="shared" si="6"/>
        <v>842076247</v>
      </c>
      <c r="V52" s="149">
        <v>11377122</v>
      </c>
      <c r="X52" s="167"/>
      <c r="Y52" s="168"/>
      <c r="AA52" s="162"/>
      <c r="AC52" s="162"/>
      <c r="AE52" s="162"/>
    </row>
    <row r="53" spans="1:31" hidden="1" x14ac:dyDescent="0.25">
      <c r="A53" s="163">
        <v>21121181</v>
      </c>
      <c r="B53" s="164" t="s">
        <v>517</v>
      </c>
      <c r="C53" s="165">
        <v>740067090</v>
      </c>
      <c r="D53" s="165">
        <v>0</v>
      </c>
      <c r="E53" s="165">
        <v>0</v>
      </c>
      <c r="F53" s="165">
        <v>0</v>
      </c>
      <c r="G53" s="165">
        <f t="shared" si="17"/>
        <v>740067090</v>
      </c>
      <c r="H53" s="165">
        <v>0</v>
      </c>
      <c r="I53" s="165">
        <v>740067090</v>
      </c>
      <c r="J53" s="165">
        <f t="shared" si="2"/>
        <v>0</v>
      </c>
      <c r="K53" s="165">
        <v>0</v>
      </c>
      <c r="L53" s="165">
        <v>371634604.5</v>
      </c>
      <c r="M53" s="165">
        <f t="shared" si="3"/>
        <v>368432485.5</v>
      </c>
      <c r="N53" s="165">
        <v>740067090</v>
      </c>
      <c r="O53" s="165">
        <f t="shared" si="4"/>
        <v>0</v>
      </c>
      <c r="P53" s="165">
        <f t="shared" si="5"/>
        <v>0</v>
      </c>
      <c r="Q53" s="165">
        <f t="shared" si="6"/>
        <v>371634604.5</v>
      </c>
      <c r="S53" s="150">
        <f>+I53</f>
        <v>740067090</v>
      </c>
      <c r="T53" s="150">
        <f>+P53-S53</f>
        <v>-740067090</v>
      </c>
      <c r="V53" s="149">
        <v>0</v>
      </c>
      <c r="X53" s="167"/>
      <c r="Y53" s="168"/>
      <c r="AA53" s="165"/>
      <c r="AC53" s="165"/>
      <c r="AE53" s="165"/>
    </row>
    <row r="54" spans="1:31" hidden="1" x14ac:dyDescent="0.25">
      <c r="A54" s="163">
        <v>21121182</v>
      </c>
      <c r="B54" s="164" t="s">
        <v>518</v>
      </c>
      <c r="C54" s="165">
        <v>976418928</v>
      </c>
      <c r="D54" s="165">
        <v>0</v>
      </c>
      <c r="E54" s="165">
        <v>0</v>
      </c>
      <c r="F54" s="165">
        <v>0</v>
      </c>
      <c r="G54" s="165">
        <f t="shared" si="17"/>
        <v>976418928</v>
      </c>
      <c r="H54" s="165">
        <v>0</v>
      </c>
      <c r="I54" s="165">
        <v>964235914</v>
      </c>
      <c r="J54" s="165">
        <f t="shared" si="2"/>
        <v>12183014</v>
      </c>
      <c r="K54" s="165">
        <v>0</v>
      </c>
      <c r="L54" s="165">
        <v>470441642.5</v>
      </c>
      <c r="M54" s="165">
        <f t="shared" si="3"/>
        <v>493794271.5</v>
      </c>
      <c r="N54" s="165">
        <v>965041806</v>
      </c>
      <c r="O54" s="165">
        <f t="shared" si="4"/>
        <v>805892</v>
      </c>
      <c r="P54" s="165">
        <f t="shared" si="5"/>
        <v>11377122</v>
      </c>
      <c r="Q54" s="165">
        <f t="shared" si="6"/>
        <v>470441642.5</v>
      </c>
      <c r="S54" s="150">
        <f>+I54</f>
        <v>964235914</v>
      </c>
      <c r="T54" s="150">
        <f>+P54-S54</f>
        <v>-952858792</v>
      </c>
      <c r="V54" s="149">
        <v>11377122</v>
      </c>
      <c r="X54" s="167"/>
      <c r="Y54" s="168"/>
      <c r="AA54" s="165"/>
      <c r="AC54" s="165"/>
      <c r="AE54" s="165"/>
    </row>
    <row r="55" spans="1:31" hidden="1" x14ac:dyDescent="0.25">
      <c r="A55" s="163">
        <v>2112119</v>
      </c>
      <c r="B55" s="164" t="s">
        <v>531</v>
      </c>
      <c r="C55" s="165">
        <v>65224474</v>
      </c>
      <c r="D55" s="165">
        <v>0</v>
      </c>
      <c r="E55" s="165">
        <v>0</v>
      </c>
      <c r="F55" s="165">
        <v>0</v>
      </c>
      <c r="G55" s="165">
        <f t="shared" si="17"/>
        <v>65224474</v>
      </c>
      <c r="H55" s="165">
        <v>0</v>
      </c>
      <c r="I55" s="165">
        <v>2264158</v>
      </c>
      <c r="J55" s="165">
        <f t="shared" si="2"/>
        <v>62960316</v>
      </c>
      <c r="K55" s="165">
        <v>0</v>
      </c>
      <c r="L55" s="165">
        <v>2264158</v>
      </c>
      <c r="M55" s="165">
        <f t="shared" si="3"/>
        <v>0</v>
      </c>
      <c r="N55" s="165">
        <v>2264158</v>
      </c>
      <c r="O55" s="165">
        <f t="shared" si="4"/>
        <v>0</v>
      </c>
      <c r="P55" s="165">
        <f t="shared" si="5"/>
        <v>62960316</v>
      </c>
      <c r="Q55" s="165">
        <f t="shared" si="6"/>
        <v>2264158</v>
      </c>
      <c r="S55" s="150">
        <f>+I55</f>
        <v>2264158</v>
      </c>
      <c r="T55" s="150">
        <f>+P55-S55</f>
        <v>60696158</v>
      </c>
      <c r="V55" s="149">
        <v>62960316</v>
      </c>
      <c r="X55" s="167"/>
      <c r="Y55" s="168"/>
      <c r="AA55" s="165"/>
      <c r="AC55" s="165"/>
      <c r="AE55" s="165"/>
    </row>
    <row r="56" spans="1:31" s="100" customFormat="1" hidden="1" x14ac:dyDescent="0.25">
      <c r="A56" s="160">
        <v>21122</v>
      </c>
      <c r="B56" s="161" t="s">
        <v>14</v>
      </c>
      <c r="C56" s="162">
        <f>SUM(C57:C62)</f>
        <v>4794961154</v>
      </c>
      <c r="D56" s="162">
        <f t="shared" ref="D56:N56" si="35">SUM(D57:D62)</f>
        <v>0</v>
      </c>
      <c r="E56" s="162">
        <f t="shared" si="35"/>
        <v>0</v>
      </c>
      <c r="F56" s="162">
        <f t="shared" si="35"/>
        <v>0</v>
      </c>
      <c r="G56" s="162">
        <f t="shared" si="35"/>
        <v>4794961154</v>
      </c>
      <c r="H56" s="162">
        <f t="shared" si="35"/>
        <v>236158597</v>
      </c>
      <c r="I56" s="162">
        <f t="shared" si="35"/>
        <v>3035050860</v>
      </c>
      <c r="J56" s="162">
        <f t="shared" si="2"/>
        <v>1759910294</v>
      </c>
      <c r="K56" s="162">
        <f t="shared" si="35"/>
        <v>72333059</v>
      </c>
      <c r="L56" s="162">
        <f t="shared" si="35"/>
        <v>1592352536</v>
      </c>
      <c r="M56" s="162">
        <f t="shared" si="3"/>
        <v>1442698324</v>
      </c>
      <c r="N56" s="162">
        <f t="shared" si="35"/>
        <v>3063991268</v>
      </c>
      <c r="O56" s="162">
        <f t="shared" si="4"/>
        <v>28940408</v>
      </c>
      <c r="P56" s="162">
        <f t="shared" si="5"/>
        <v>1730969886</v>
      </c>
      <c r="Q56" s="162">
        <f t="shared" si="6"/>
        <v>1592352536</v>
      </c>
      <c r="V56" s="149">
        <v>1730969886</v>
      </c>
      <c r="X56" s="167"/>
      <c r="Y56" s="168"/>
      <c r="AA56" s="162"/>
      <c r="AC56" s="162"/>
      <c r="AE56" s="162"/>
    </row>
    <row r="57" spans="1:31" hidden="1" x14ac:dyDescent="0.25">
      <c r="A57" s="163">
        <v>211221</v>
      </c>
      <c r="B57" s="164" t="s">
        <v>532</v>
      </c>
      <c r="C57" s="165">
        <v>1515268362</v>
      </c>
      <c r="D57" s="165">
        <v>0</v>
      </c>
      <c r="E57" s="165">
        <v>0</v>
      </c>
      <c r="F57" s="165">
        <v>0</v>
      </c>
      <c r="G57" s="165">
        <f t="shared" si="17"/>
        <v>1515268362</v>
      </c>
      <c r="H57" s="165">
        <v>112764894</v>
      </c>
      <c r="I57" s="165">
        <v>1161698603</v>
      </c>
      <c r="J57" s="165">
        <f t="shared" si="2"/>
        <v>353569759</v>
      </c>
      <c r="K57" s="165">
        <v>35000000</v>
      </c>
      <c r="L57" s="165">
        <v>678560340</v>
      </c>
      <c r="M57" s="165">
        <f t="shared" si="3"/>
        <v>483138263</v>
      </c>
      <c r="N57" s="165">
        <v>1163116051</v>
      </c>
      <c r="O57" s="165">
        <f t="shared" si="4"/>
        <v>1417448</v>
      </c>
      <c r="P57" s="165">
        <f t="shared" si="5"/>
        <v>352152311</v>
      </c>
      <c r="Q57" s="165">
        <f t="shared" si="6"/>
        <v>678560340</v>
      </c>
      <c r="S57" s="150">
        <f t="shared" ref="S57:S62" si="36">+I57</f>
        <v>1161698603</v>
      </c>
      <c r="T57" s="150">
        <f t="shared" ref="T57:T62" si="37">+P57-S57</f>
        <v>-809546292</v>
      </c>
      <c r="V57" s="149">
        <v>352152311</v>
      </c>
      <c r="X57" s="167"/>
      <c r="Y57" s="168"/>
      <c r="AA57" s="165"/>
      <c r="AC57" s="165"/>
      <c r="AE57" s="165"/>
    </row>
    <row r="58" spans="1:31" hidden="1" x14ac:dyDescent="0.25">
      <c r="A58" s="163">
        <v>211222</v>
      </c>
      <c r="B58" s="164" t="s">
        <v>533</v>
      </c>
      <c r="C58" s="165">
        <v>1129786699</v>
      </c>
      <c r="D58" s="165">
        <v>0</v>
      </c>
      <c r="E58" s="165">
        <v>0</v>
      </c>
      <c r="F58" s="165">
        <v>0</v>
      </c>
      <c r="G58" s="165">
        <f t="shared" si="17"/>
        <v>1129786699</v>
      </c>
      <c r="H58" s="165">
        <v>112764893</v>
      </c>
      <c r="I58" s="165">
        <v>978525550</v>
      </c>
      <c r="J58" s="165">
        <f t="shared" si="2"/>
        <v>151261149</v>
      </c>
      <c r="K58" s="165">
        <v>32000000</v>
      </c>
      <c r="L58" s="165">
        <v>650154032</v>
      </c>
      <c r="M58" s="165">
        <f t="shared" si="3"/>
        <v>328371518</v>
      </c>
      <c r="N58" s="165">
        <v>1005349304</v>
      </c>
      <c r="O58" s="165">
        <f t="shared" si="4"/>
        <v>26823754</v>
      </c>
      <c r="P58" s="165">
        <f t="shared" si="5"/>
        <v>124437395</v>
      </c>
      <c r="Q58" s="165">
        <f t="shared" si="6"/>
        <v>650154032</v>
      </c>
      <c r="S58" s="150">
        <f t="shared" si="36"/>
        <v>978525550</v>
      </c>
      <c r="T58" s="150">
        <f t="shared" si="37"/>
        <v>-854088155</v>
      </c>
      <c r="V58" s="149">
        <v>124437395</v>
      </c>
      <c r="X58" s="167"/>
      <c r="Y58" s="168"/>
      <c r="AA58" s="165"/>
      <c r="AC58" s="165"/>
      <c r="AE58" s="165"/>
    </row>
    <row r="59" spans="1:31" hidden="1" x14ac:dyDescent="0.25">
      <c r="A59" s="163">
        <v>211223</v>
      </c>
      <c r="B59" s="164" t="s">
        <v>525</v>
      </c>
      <c r="C59" s="165">
        <v>1018047988</v>
      </c>
      <c r="D59" s="165">
        <v>0</v>
      </c>
      <c r="E59" s="165">
        <v>0</v>
      </c>
      <c r="F59" s="165">
        <v>0</v>
      </c>
      <c r="G59" s="165">
        <f t="shared" si="17"/>
        <v>1018047988</v>
      </c>
      <c r="H59" s="165">
        <v>5333059</v>
      </c>
      <c r="I59" s="165">
        <v>520051681</v>
      </c>
      <c r="J59" s="165">
        <f t="shared" si="2"/>
        <v>497996307</v>
      </c>
      <c r="K59" s="165">
        <v>5333059</v>
      </c>
      <c r="L59" s="165">
        <v>204716069</v>
      </c>
      <c r="M59" s="165">
        <f t="shared" si="3"/>
        <v>315335612</v>
      </c>
      <c r="N59" s="165">
        <v>520750887</v>
      </c>
      <c r="O59" s="165">
        <f t="shared" si="4"/>
        <v>699206</v>
      </c>
      <c r="P59" s="165">
        <f t="shared" si="5"/>
        <v>497297101</v>
      </c>
      <c r="Q59" s="165">
        <f t="shared" si="6"/>
        <v>204716069</v>
      </c>
      <c r="S59" s="150">
        <f t="shared" si="36"/>
        <v>520051681</v>
      </c>
      <c r="T59" s="150">
        <f t="shared" si="37"/>
        <v>-22754580</v>
      </c>
      <c r="V59" s="149">
        <v>497297101</v>
      </c>
      <c r="X59" s="167"/>
      <c r="Y59" s="168"/>
      <c r="AA59" s="165"/>
      <c r="AC59" s="165"/>
      <c r="AE59" s="165"/>
    </row>
    <row r="60" spans="1:31" hidden="1" x14ac:dyDescent="0.25">
      <c r="A60" s="163">
        <v>211224</v>
      </c>
      <c r="B60" s="164" t="s">
        <v>534</v>
      </c>
      <c r="C60" s="165">
        <v>502767364</v>
      </c>
      <c r="D60" s="165">
        <v>0</v>
      </c>
      <c r="E60" s="165">
        <v>0</v>
      </c>
      <c r="F60" s="165">
        <v>0</v>
      </c>
      <c r="G60" s="165">
        <f t="shared" si="17"/>
        <v>502767364</v>
      </c>
      <c r="H60" s="165">
        <v>0</v>
      </c>
      <c r="I60" s="165">
        <v>226179154</v>
      </c>
      <c r="J60" s="165">
        <f t="shared" si="2"/>
        <v>276588210</v>
      </c>
      <c r="K60" s="165">
        <v>0</v>
      </c>
      <c r="L60" s="165">
        <v>58922095</v>
      </c>
      <c r="M60" s="165">
        <f t="shared" si="3"/>
        <v>167257059</v>
      </c>
      <c r="N60" s="165">
        <v>226179154</v>
      </c>
      <c r="O60" s="165">
        <f t="shared" si="4"/>
        <v>0</v>
      </c>
      <c r="P60" s="165">
        <f t="shared" si="5"/>
        <v>276588210</v>
      </c>
      <c r="Q60" s="165">
        <f t="shared" si="6"/>
        <v>58922095</v>
      </c>
      <c r="S60" s="150">
        <f t="shared" si="36"/>
        <v>226179154</v>
      </c>
      <c r="T60" s="150">
        <f t="shared" si="37"/>
        <v>50409056</v>
      </c>
      <c r="V60" s="149">
        <v>276588210</v>
      </c>
      <c r="X60" s="167"/>
      <c r="Y60" s="168"/>
      <c r="AA60" s="165"/>
      <c r="AC60" s="165"/>
      <c r="AE60" s="165"/>
    </row>
    <row r="61" spans="1:31" ht="30" hidden="1" x14ac:dyDescent="0.25">
      <c r="A61" s="163">
        <v>211225</v>
      </c>
      <c r="B61" s="164" t="s">
        <v>527</v>
      </c>
      <c r="C61" s="165">
        <v>252015215</v>
      </c>
      <c r="D61" s="165">
        <v>0</v>
      </c>
      <c r="E61" s="165">
        <v>0</v>
      </c>
      <c r="F61" s="165">
        <v>0</v>
      </c>
      <c r="G61" s="165">
        <f t="shared" si="17"/>
        <v>252015215</v>
      </c>
      <c r="H61" s="165">
        <v>5295751</v>
      </c>
      <c r="I61" s="165">
        <v>91461506</v>
      </c>
      <c r="J61" s="165">
        <f t="shared" si="2"/>
        <v>160553709</v>
      </c>
      <c r="K61" s="165">
        <v>0</v>
      </c>
      <c r="L61" s="165">
        <v>0</v>
      </c>
      <c r="M61" s="165">
        <f t="shared" si="3"/>
        <v>91461506</v>
      </c>
      <c r="N61" s="165">
        <v>91461506</v>
      </c>
      <c r="O61" s="165">
        <f t="shared" si="4"/>
        <v>0</v>
      </c>
      <c r="P61" s="165">
        <f t="shared" si="5"/>
        <v>160553709</v>
      </c>
      <c r="Q61" s="165">
        <f t="shared" si="6"/>
        <v>0</v>
      </c>
      <c r="S61" s="150">
        <f t="shared" si="36"/>
        <v>91461506</v>
      </c>
      <c r="T61" s="150">
        <f t="shared" si="37"/>
        <v>69092203</v>
      </c>
      <c r="V61" s="149">
        <v>160553709</v>
      </c>
      <c r="X61" s="167"/>
      <c r="Y61" s="168"/>
      <c r="AA61" s="165"/>
      <c r="AC61" s="165"/>
      <c r="AE61" s="165"/>
    </row>
    <row r="62" spans="1:31" hidden="1" x14ac:dyDescent="0.25">
      <c r="A62" s="163">
        <v>211226</v>
      </c>
      <c r="B62" s="164" t="s">
        <v>633</v>
      </c>
      <c r="C62" s="165">
        <v>377075526</v>
      </c>
      <c r="D62" s="165">
        <v>0</v>
      </c>
      <c r="E62" s="165">
        <v>0</v>
      </c>
      <c r="F62" s="165">
        <v>0</v>
      </c>
      <c r="G62" s="165">
        <f t="shared" si="17"/>
        <v>377075526</v>
      </c>
      <c r="H62" s="165">
        <v>0</v>
      </c>
      <c r="I62" s="165">
        <v>57134366</v>
      </c>
      <c r="J62" s="165">
        <f t="shared" si="2"/>
        <v>319941160</v>
      </c>
      <c r="K62" s="165">
        <v>0</v>
      </c>
      <c r="L62" s="165">
        <v>0</v>
      </c>
      <c r="M62" s="165">
        <f t="shared" si="3"/>
        <v>57134366</v>
      </c>
      <c r="N62" s="165">
        <v>57134366</v>
      </c>
      <c r="O62" s="165">
        <f t="shared" si="4"/>
        <v>0</v>
      </c>
      <c r="P62" s="165">
        <f t="shared" si="5"/>
        <v>319941160</v>
      </c>
      <c r="Q62" s="165">
        <f t="shared" si="6"/>
        <v>0</v>
      </c>
      <c r="S62" s="150">
        <f t="shared" si="36"/>
        <v>57134366</v>
      </c>
      <c r="T62" s="150">
        <f t="shared" si="37"/>
        <v>262806794</v>
      </c>
      <c r="V62" s="149">
        <v>319941160</v>
      </c>
      <c r="X62" s="167"/>
      <c r="Y62" s="168"/>
      <c r="AA62" s="165"/>
      <c r="AC62" s="165"/>
      <c r="AE62" s="165"/>
    </row>
    <row r="63" spans="1:31" s="100" customFormat="1" hidden="1" x14ac:dyDescent="0.25">
      <c r="A63" s="151">
        <v>212</v>
      </c>
      <c r="B63" s="152" t="s">
        <v>21</v>
      </c>
      <c r="C63" s="153">
        <f>+C64+C108</f>
        <v>8555827773</v>
      </c>
      <c r="D63" s="153">
        <f t="shared" ref="D63:N63" si="38">+D64+D108</f>
        <v>2997403991</v>
      </c>
      <c r="E63" s="153">
        <f t="shared" si="38"/>
        <v>589712351</v>
      </c>
      <c r="F63" s="153">
        <f t="shared" si="38"/>
        <v>1926138422</v>
      </c>
      <c r="G63" s="153">
        <f t="shared" si="38"/>
        <v>12889857835</v>
      </c>
      <c r="H63" s="153">
        <f t="shared" si="38"/>
        <v>588263306.01999998</v>
      </c>
      <c r="I63" s="153">
        <f t="shared" si="38"/>
        <v>7697303872.9200001</v>
      </c>
      <c r="J63" s="153">
        <f t="shared" si="2"/>
        <v>5192553962.0799999</v>
      </c>
      <c r="K63" s="153">
        <f t="shared" si="38"/>
        <v>683887655.18999994</v>
      </c>
      <c r="L63" s="153">
        <f t="shared" si="38"/>
        <v>4474349068.4099998</v>
      </c>
      <c r="M63" s="153">
        <f t="shared" si="3"/>
        <v>3222954804.5100002</v>
      </c>
      <c r="N63" s="153">
        <f t="shared" si="38"/>
        <v>9461827116.9099998</v>
      </c>
      <c r="O63" s="153">
        <f t="shared" si="4"/>
        <v>1764523243.9899998</v>
      </c>
      <c r="P63" s="153">
        <f t="shared" si="5"/>
        <v>3428030718.0900002</v>
      </c>
      <c r="Q63" s="153">
        <f t="shared" si="6"/>
        <v>4474349068.4099998</v>
      </c>
      <c r="V63" s="149">
        <v>3427830718.0900002</v>
      </c>
      <c r="X63" s="167"/>
      <c r="Y63" s="168"/>
      <c r="AA63" s="153"/>
      <c r="AC63" s="153"/>
      <c r="AE63" s="153"/>
    </row>
    <row r="64" spans="1:31" s="100" customFormat="1" hidden="1" x14ac:dyDescent="0.25">
      <c r="A64" s="151">
        <v>2121</v>
      </c>
      <c r="B64" s="152" t="s">
        <v>22</v>
      </c>
      <c r="C64" s="153">
        <f>+C65+C106</f>
        <v>351990348</v>
      </c>
      <c r="D64" s="153">
        <f t="shared" ref="D64:N64" si="39">+D65+D106</f>
        <v>764690000</v>
      </c>
      <c r="E64" s="153">
        <f t="shared" si="39"/>
        <v>20000000</v>
      </c>
      <c r="F64" s="153">
        <f t="shared" si="39"/>
        <v>521122658</v>
      </c>
      <c r="G64" s="153">
        <f t="shared" si="39"/>
        <v>1617803006</v>
      </c>
      <c r="H64" s="153">
        <f t="shared" si="39"/>
        <v>46977188</v>
      </c>
      <c r="I64" s="153">
        <f t="shared" si="39"/>
        <v>641855906</v>
      </c>
      <c r="J64" s="153">
        <f t="shared" si="2"/>
        <v>975947100</v>
      </c>
      <c r="K64" s="153">
        <f t="shared" si="39"/>
        <v>7299577</v>
      </c>
      <c r="L64" s="153">
        <f t="shared" si="39"/>
        <v>506321959</v>
      </c>
      <c r="M64" s="153">
        <f t="shared" si="3"/>
        <v>135533947</v>
      </c>
      <c r="N64" s="153">
        <f t="shared" si="39"/>
        <v>803716643</v>
      </c>
      <c r="O64" s="153">
        <f t="shared" si="4"/>
        <v>161860737</v>
      </c>
      <c r="P64" s="153">
        <f t="shared" si="5"/>
        <v>814086363</v>
      </c>
      <c r="Q64" s="153">
        <f t="shared" si="6"/>
        <v>506321959</v>
      </c>
      <c r="V64" s="149">
        <v>814086363</v>
      </c>
      <c r="X64" s="167"/>
      <c r="Y64" s="168"/>
      <c r="AA64" s="153"/>
      <c r="AC64" s="153"/>
      <c r="AE64" s="153"/>
    </row>
    <row r="65" spans="1:31" s="100" customFormat="1" hidden="1" x14ac:dyDescent="0.25">
      <c r="A65" s="157">
        <v>21211</v>
      </c>
      <c r="B65" s="158" t="s">
        <v>23</v>
      </c>
      <c r="C65" s="159">
        <f>+C66+C70+C95</f>
        <v>331990348</v>
      </c>
      <c r="D65" s="159">
        <f t="shared" ref="D65:N65" si="40">+D66+D70+D95</f>
        <v>764690000</v>
      </c>
      <c r="E65" s="159">
        <f t="shared" si="40"/>
        <v>0</v>
      </c>
      <c r="F65" s="159">
        <f t="shared" si="40"/>
        <v>521122658</v>
      </c>
      <c r="G65" s="159">
        <f t="shared" si="40"/>
        <v>1617803006</v>
      </c>
      <c r="H65" s="159">
        <f t="shared" si="40"/>
        <v>46977188</v>
      </c>
      <c r="I65" s="159">
        <f t="shared" si="40"/>
        <v>641855906</v>
      </c>
      <c r="J65" s="159">
        <f t="shared" si="2"/>
        <v>975947100</v>
      </c>
      <c r="K65" s="159">
        <f t="shared" si="40"/>
        <v>7299577</v>
      </c>
      <c r="L65" s="159">
        <f t="shared" si="40"/>
        <v>506321959</v>
      </c>
      <c r="M65" s="159">
        <f t="shared" si="3"/>
        <v>135533947</v>
      </c>
      <c r="N65" s="159">
        <f t="shared" si="40"/>
        <v>803716643</v>
      </c>
      <c r="O65" s="159">
        <f t="shared" si="4"/>
        <v>161860737</v>
      </c>
      <c r="P65" s="159">
        <f t="shared" si="5"/>
        <v>814086363</v>
      </c>
      <c r="Q65" s="159">
        <f t="shared" si="6"/>
        <v>506321959</v>
      </c>
      <c r="V65" s="149">
        <v>814086363</v>
      </c>
      <c r="X65" s="167"/>
      <c r="Y65" s="168"/>
      <c r="AA65" s="159"/>
      <c r="AC65" s="159"/>
      <c r="AE65" s="159"/>
    </row>
    <row r="66" spans="1:31" s="100" customFormat="1" hidden="1" x14ac:dyDescent="0.25">
      <c r="A66" s="157">
        <v>212111</v>
      </c>
      <c r="B66" s="158" t="s">
        <v>24</v>
      </c>
      <c r="C66" s="159">
        <f>+C67</f>
        <v>10000000</v>
      </c>
      <c r="D66" s="159">
        <f t="shared" ref="D66:N66" si="41">+D67</f>
        <v>0</v>
      </c>
      <c r="E66" s="159">
        <f t="shared" si="41"/>
        <v>0</v>
      </c>
      <c r="F66" s="159">
        <f t="shared" si="41"/>
        <v>0</v>
      </c>
      <c r="G66" s="159">
        <f t="shared" si="41"/>
        <v>10000000</v>
      </c>
      <c r="H66" s="159">
        <f t="shared" si="41"/>
        <v>0</v>
      </c>
      <c r="I66" s="159">
        <f t="shared" si="41"/>
        <v>0</v>
      </c>
      <c r="J66" s="159">
        <f t="shared" si="2"/>
        <v>10000000</v>
      </c>
      <c r="K66" s="159">
        <f t="shared" si="41"/>
        <v>0</v>
      </c>
      <c r="L66" s="159">
        <f t="shared" si="41"/>
        <v>0</v>
      </c>
      <c r="M66" s="159">
        <f t="shared" si="3"/>
        <v>0</v>
      </c>
      <c r="N66" s="159">
        <f t="shared" si="41"/>
        <v>0</v>
      </c>
      <c r="O66" s="159">
        <f t="shared" si="4"/>
        <v>0</v>
      </c>
      <c r="P66" s="159">
        <f t="shared" si="5"/>
        <v>10000000</v>
      </c>
      <c r="Q66" s="159">
        <f t="shared" si="6"/>
        <v>0</v>
      </c>
      <c r="V66" s="149">
        <v>10000000</v>
      </c>
      <c r="X66" s="167"/>
      <c r="Y66" s="168"/>
      <c r="AA66" s="159"/>
      <c r="AC66" s="159"/>
      <c r="AE66" s="159"/>
    </row>
    <row r="67" spans="1:31" s="100" customFormat="1" hidden="1" x14ac:dyDescent="0.25">
      <c r="A67" s="160">
        <v>2121113</v>
      </c>
      <c r="B67" s="161" t="s">
        <v>25</v>
      </c>
      <c r="C67" s="162">
        <f>+C68+C69</f>
        <v>10000000</v>
      </c>
      <c r="D67" s="162">
        <f t="shared" ref="D67:N67" si="42">+D68+D69</f>
        <v>0</v>
      </c>
      <c r="E67" s="162">
        <f t="shared" si="42"/>
        <v>0</v>
      </c>
      <c r="F67" s="162">
        <f t="shared" si="42"/>
        <v>0</v>
      </c>
      <c r="G67" s="162">
        <f t="shared" si="42"/>
        <v>10000000</v>
      </c>
      <c r="H67" s="162">
        <f t="shared" si="42"/>
        <v>0</v>
      </c>
      <c r="I67" s="162">
        <f t="shared" si="42"/>
        <v>0</v>
      </c>
      <c r="J67" s="162">
        <f t="shared" si="2"/>
        <v>10000000</v>
      </c>
      <c r="K67" s="162">
        <f t="shared" si="42"/>
        <v>0</v>
      </c>
      <c r="L67" s="162">
        <f t="shared" si="42"/>
        <v>0</v>
      </c>
      <c r="M67" s="162">
        <f t="shared" si="3"/>
        <v>0</v>
      </c>
      <c r="N67" s="162">
        <f t="shared" si="42"/>
        <v>0</v>
      </c>
      <c r="O67" s="162">
        <f t="shared" si="4"/>
        <v>0</v>
      </c>
      <c r="P67" s="162">
        <f t="shared" si="5"/>
        <v>10000000</v>
      </c>
      <c r="Q67" s="162">
        <f t="shared" si="6"/>
        <v>0</v>
      </c>
      <c r="V67" s="149">
        <v>10000000</v>
      </c>
      <c r="X67" s="167"/>
      <c r="Y67" s="168"/>
      <c r="AA67" s="162"/>
      <c r="AC67" s="162"/>
      <c r="AE67" s="162"/>
    </row>
    <row r="68" spans="1:31" ht="30" hidden="1" x14ac:dyDescent="0.25">
      <c r="A68" s="163">
        <v>212111313</v>
      </c>
      <c r="B68" s="164" t="s">
        <v>535</v>
      </c>
      <c r="C68" s="165">
        <v>5000000</v>
      </c>
      <c r="D68" s="165">
        <v>0</v>
      </c>
      <c r="E68" s="165">
        <v>0</v>
      </c>
      <c r="F68" s="165">
        <v>0</v>
      </c>
      <c r="G68" s="165">
        <f t="shared" si="17"/>
        <v>5000000</v>
      </c>
      <c r="H68" s="165">
        <v>0</v>
      </c>
      <c r="I68" s="165">
        <v>0</v>
      </c>
      <c r="J68" s="165">
        <f t="shared" si="2"/>
        <v>5000000</v>
      </c>
      <c r="K68" s="165">
        <v>0</v>
      </c>
      <c r="L68" s="165">
        <v>0</v>
      </c>
      <c r="M68" s="165">
        <f t="shared" si="3"/>
        <v>0</v>
      </c>
      <c r="N68" s="165">
        <v>0</v>
      </c>
      <c r="O68" s="165">
        <f t="shared" si="4"/>
        <v>0</v>
      </c>
      <c r="P68" s="165">
        <f t="shared" si="5"/>
        <v>5000000</v>
      </c>
      <c r="Q68" s="165">
        <f t="shared" si="6"/>
        <v>0</v>
      </c>
      <c r="V68" s="149">
        <v>5000000</v>
      </c>
      <c r="X68" s="167"/>
      <c r="Y68" s="168"/>
      <c r="AA68" s="165"/>
      <c r="AC68" s="165"/>
      <c r="AE68" s="165"/>
    </row>
    <row r="69" spans="1:31" hidden="1" x14ac:dyDescent="0.25">
      <c r="A69" s="163">
        <v>212111314</v>
      </c>
      <c r="B69" s="164" t="s">
        <v>536</v>
      </c>
      <c r="C69" s="165">
        <v>5000000</v>
      </c>
      <c r="D69" s="165">
        <v>0</v>
      </c>
      <c r="E69" s="165">
        <v>0</v>
      </c>
      <c r="F69" s="165">
        <v>0</v>
      </c>
      <c r="G69" s="165">
        <f t="shared" si="17"/>
        <v>5000000</v>
      </c>
      <c r="H69" s="165">
        <v>0</v>
      </c>
      <c r="I69" s="165">
        <v>0</v>
      </c>
      <c r="J69" s="165">
        <f t="shared" si="2"/>
        <v>5000000</v>
      </c>
      <c r="K69" s="165">
        <v>0</v>
      </c>
      <c r="L69" s="165">
        <v>0</v>
      </c>
      <c r="M69" s="165">
        <f t="shared" si="3"/>
        <v>0</v>
      </c>
      <c r="N69" s="165">
        <v>0</v>
      </c>
      <c r="O69" s="165">
        <f t="shared" si="4"/>
        <v>0</v>
      </c>
      <c r="P69" s="165">
        <f t="shared" si="5"/>
        <v>5000000</v>
      </c>
      <c r="Q69" s="165">
        <f t="shared" si="6"/>
        <v>0</v>
      </c>
      <c r="V69" s="149">
        <v>5000000</v>
      </c>
      <c r="X69" s="167"/>
      <c r="Y69" s="168"/>
      <c r="AA69" s="165"/>
      <c r="AC69" s="165"/>
      <c r="AE69" s="165"/>
    </row>
    <row r="70" spans="1:31" s="100" customFormat="1" hidden="1" x14ac:dyDescent="0.25">
      <c r="A70" s="157">
        <v>212113</v>
      </c>
      <c r="B70" s="158" t="s">
        <v>26</v>
      </c>
      <c r="C70" s="159">
        <f>+C71</f>
        <v>243800000</v>
      </c>
      <c r="D70" s="159">
        <f t="shared" ref="D70:N70" si="43">+D71</f>
        <v>329000000</v>
      </c>
      <c r="E70" s="159">
        <f t="shared" si="43"/>
        <v>0</v>
      </c>
      <c r="F70" s="159">
        <f t="shared" si="43"/>
        <v>496122658</v>
      </c>
      <c r="G70" s="159">
        <f t="shared" si="43"/>
        <v>1068922658</v>
      </c>
      <c r="H70" s="159">
        <f t="shared" si="43"/>
        <v>46977188</v>
      </c>
      <c r="I70" s="159">
        <f t="shared" si="43"/>
        <v>321910533</v>
      </c>
      <c r="J70" s="159">
        <f t="shared" si="2"/>
        <v>747012125</v>
      </c>
      <c r="K70" s="159">
        <f t="shared" si="43"/>
        <v>7299577</v>
      </c>
      <c r="L70" s="159">
        <f t="shared" si="43"/>
        <v>186376586</v>
      </c>
      <c r="M70" s="159">
        <f t="shared" si="3"/>
        <v>135533947</v>
      </c>
      <c r="N70" s="159">
        <f t="shared" si="43"/>
        <v>377719443</v>
      </c>
      <c r="O70" s="159">
        <f t="shared" si="4"/>
        <v>55808910</v>
      </c>
      <c r="P70" s="159">
        <f t="shared" si="5"/>
        <v>691203215</v>
      </c>
      <c r="Q70" s="159">
        <f t="shared" si="6"/>
        <v>186376586</v>
      </c>
      <c r="V70" s="149">
        <v>691203215</v>
      </c>
      <c r="X70" s="167"/>
      <c r="Y70" s="168"/>
      <c r="AA70" s="159"/>
      <c r="AC70" s="159"/>
      <c r="AE70" s="159"/>
    </row>
    <row r="71" spans="1:31" s="100" customFormat="1" ht="30" hidden="1" x14ac:dyDescent="0.25">
      <c r="A71" s="157">
        <v>2121131</v>
      </c>
      <c r="B71" s="158" t="s">
        <v>27</v>
      </c>
      <c r="C71" s="159">
        <f>+C72+C74+C78+C81+C87+C91+C93</f>
        <v>243800000</v>
      </c>
      <c r="D71" s="159">
        <f t="shared" ref="D71:N71" si="44">+D72+D74+D78+D81+D87+D91+D93</f>
        <v>329000000</v>
      </c>
      <c r="E71" s="159">
        <f t="shared" si="44"/>
        <v>0</v>
      </c>
      <c r="F71" s="159">
        <f t="shared" si="44"/>
        <v>496122658</v>
      </c>
      <c r="G71" s="159">
        <f t="shared" si="44"/>
        <v>1068922658</v>
      </c>
      <c r="H71" s="159">
        <f t="shared" si="44"/>
        <v>46977188</v>
      </c>
      <c r="I71" s="159">
        <f t="shared" si="44"/>
        <v>321910533</v>
      </c>
      <c r="J71" s="159">
        <f t="shared" ref="J71:J134" si="45">+G71-I71</f>
        <v>747012125</v>
      </c>
      <c r="K71" s="159">
        <f t="shared" si="44"/>
        <v>7299577</v>
      </c>
      <c r="L71" s="159">
        <f t="shared" si="44"/>
        <v>186376586</v>
      </c>
      <c r="M71" s="159">
        <f t="shared" ref="M71:M134" si="46">+I71-L71</f>
        <v>135533947</v>
      </c>
      <c r="N71" s="159">
        <f t="shared" si="44"/>
        <v>377719443</v>
      </c>
      <c r="O71" s="159">
        <f t="shared" ref="O71:O134" si="47">+N71-I71</f>
        <v>55808910</v>
      </c>
      <c r="P71" s="159">
        <f t="shared" ref="P71:P134" si="48">+G71-N71</f>
        <v>691203215</v>
      </c>
      <c r="Q71" s="159">
        <f t="shared" ref="Q71:Q134" si="49">+L71</f>
        <v>186376586</v>
      </c>
      <c r="V71" s="149">
        <v>691203215</v>
      </c>
      <c r="X71" s="167"/>
      <c r="Y71" s="168"/>
      <c r="AA71" s="159"/>
      <c r="AC71" s="159"/>
      <c r="AE71" s="159"/>
    </row>
    <row r="72" spans="1:31" s="100" customFormat="1" hidden="1" x14ac:dyDescent="0.25">
      <c r="A72" s="160">
        <v>21211311</v>
      </c>
      <c r="B72" s="161" t="s">
        <v>28</v>
      </c>
      <c r="C72" s="162">
        <f>+C73</f>
        <v>20000000</v>
      </c>
      <c r="D72" s="162">
        <f t="shared" ref="D72:N72" si="50">+D73</f>
        <v>10000000</v>
      </c>
      <c r="E72" s="162">
        <f t="shared" si="50"/>
        <v>0</v>
      </c>
      <c r="F72" s="162">
        <f t="shared" si="50"/>
        <v>0</v>
      </c>
      <c r="G72" s="162">
        <f t="shared" si="50"/>
        <v>30000000</v>
      </c>
      <c r="H72" s="162">
        <f t="shared" si="50"/>
        <v>887356</v>
      </c>
      <c r="I72" s="162">
        <f t="shared" si="50"/>
        <v>9898477</v>
      </c>
      <c r="J72" s="162">
        <f t="shared" si="45"/>
        <v>20101523</v>
      </c>
      <c r="K72" s="162">
        <f t="shared" si="50"/>
        <v>332200</v>
      </c>
      <c r="L72" s="162">
        <f t="shared" si="50"/>
        <v>6787000</v>
      </c>
      <c r="M72" s="162">
        <f t="shared" si="46"/>
        <v>3111477</v>
      </c>
      <c r="N72" s="162">
        <f t="shared" si="50"/>
        <v>11695356</v>
      </c>
      <c r="O72" s="162">
        <f t="shared" si="47"/>
        <v>1796879</v>
      </c>
      <c r="P72" s="162">
        <f t="shared" si="48"/>
        <v>18304644</v>
      </c>
      <c r="Q72" s="162">
        <f t="shared" si="49"/>
        <v>6787000</v>
      </c>
      <c r="V72" s="149">
        <v>18304644</v>
      </c>
      <c r="X72" s="167"/>
      <c r="Y72" s="168"/>
      <c r="AA72" s="162"/>
      <c r="AC72" s="162"/>
      <c r="AE72" s="162"/>
    </row>
    <row r="73" spans="1:31" ht="30" hidden="1" x14ac:dyDescent="0.25">
      <c r="A73" s="163">
        <v>212113116</v>
      </c>
      <c r="B73" s="164" t="s">
        <v>537</v>
      </c>
      <c r="C73" s="165">
        <v>20000000</v>
      </c>
      <c r="D73" s="165">
        <v>10000000</v>
      </c>
      <c r="E73" s="165">
        <v>0</v>
      </c>
      <c r="F73" s="165">
        <v>0</v>
      </c>
      <c r="G73" s="165">
        <f t="shared" si="17"/>
        <v>30000000</v>
      </c>
      <c r="H73" s="165">
        <v>887356</v>
      </c>
      <c r="I73" s="165">
        <v>9898477</v>
      </c>
      <c r="J73" s="165">
        <f t="shared" si="45"/>
        <v>20101523</v>
      </c>
      <c r="K73" s="165">
        <v>332200</v>
      </c>
      <c r="L73" s="165">
        <v>6787000</v>
      </c>
      <c r="M73" s="165">
        <f t="shared" si="46"/>
        <v>3111477</v>
      </c>
      <c r="N73" s="165">
        <v>11695356</v>
      </c>
      <c r="O73" s="165">
        <f t="shared" si="47"/>
        <v>1796879</v>
      </c>
      <c r="P73" s="165">
        <f t="shared" si="48"/>
        <v>18304644</v>
      </c>
      <c r="Q73" s="165">
        <f t="shared" si="49"/>
        <v>6787000</v>
      </c>
      <c r="V73" s="149">
        <v>18304644</v>
      </c>
      <c r="X73" s="167"/>
      <c r="Y73" s="168"/>
      <c r="AA73" s="165"/>
      <c r="AC73" s="165"/>
      <c r="AE73" s="165"/>
    </row>
    <row r="74" spans="1:31" s="100" customFormat="1" hidden="1" x14ac:dyDescent="0.25">
      <c r="A74" s="160">
        <v>21211312</v>
      </c>
      <c r="B74" s="161" t="s">
        <v>29</v>
      </c>
      <c r="C74" s="162">
        <f>+C75+C76+C77</f>
        <v>53000000</v>
      </c>
      <c r="D74" s="162">
        <f t="shared" ref="D74:N74" si="51">+D75+D76+D77</f>
        <v>49000000</v>
      </c>
      <c r="E74" s="162">
        <f t="shared" si="51"/>
        <v>0</v>
      </c>
      <c r="F74" s="162">
        <f t="shared" si="51"/>
        <v>132683041</v>
      </c>
      <c r="G74" s="162">
        <f t="shared" si="51"/>
        <v>234683041</v>
      </c>
      <c r="H74" s="162">
        <f t="shared" si="51"/>
        <v>2979000</v>
      </c>
      <c r="I74" s="162">
        <f t="shared" si="51"/>
        <v>18534301</v>
      </c>
      <c r="J74" s="162">
        <f t="shared" si="45"/>
        <v>216148740</v>
      </c>
      <c r="K74" s="162">
        <f t="shared" si="51"/>
        <v>920200</v>
      </c>
      <c r="L74" s="162">
        <f t="shared" si="51"/>
        <v>14410401</v>
      </c>
      <c r="M74" s="162">
        <f t="shared" si="46"/>
        <v>4123900</v>
      </c>
      <c r="N74" s="162">
        <f t="shared" si="51"/>
        <v>48999301</v>
      </c>
      <c r="O74" s="162">
        <f t="shared" si="47"/>
        <v>30465000</v>
      </c>
      <c r="P74" s="162">
        <f t="shared" si="48"/>
        <v>185683740</v>
      </c>
      <c r="Q74" s="162">
        <f t="shared" si="49"/>
        <v>14410401</v>
      </c>
      <c r="V74" s="149">
        <v>185683740</v>
      </c>
      <c r="X74" s="167"/>
      <c r="Y74" s="168"/>
      <c r="AA74" s="162"/>
      <c r="AC74" s="162"/>
      <c r="AE74" s="162"/>
    </row>
    <row r="75" spans="1:31" ht="30" hidden="1" x14ac:dyDescent="0.25">
      <c r="A75" s="163">
        <v>212113121</v>
      </c>
      <c r="B75" s="164" t="s">
        <v>807</v>
      </c>
      <c r="C75" s="165"/>
      <c r="D75" s="165">
        <v>29000000</v>
      </c>
      <c r="E75" s="165">
        <v>0</v>
      </c>
      <c r="F75" s="165">
        <v>0</v>
      </c>
      <c r="G75" s="165">
        <f t="shared" si="17"/>
        <v>29000000</v>
      </c>
      <c r="H75" s="165">
        <v>0</v>
      </c>
      <c r="I75" s="165">
        <v>0</v>
      </c>
      <c r="J75" s="165">
        <f t="shared" si="45"/>
        <v>29000000</v>
      </c>
      <c r="K75" s="165">
        <v>0</v>
      </c>
      <c r="L75" s="165">
        <v>0</v>
      </c>
      <c r="M75" s="165">
        <f t="shared" si="46"/>
        <v>0</v>
      </c>
      <c r="N75" s="165">
        <v>29000000</v>
      </c>
      <c r="O75" s="165">
        <f t="shared" si="47"/>
        <v>29000000</v>
      </c>
      <c r="P75" s="165">
        <f t="shared" si="48"/>
        <v>0</v>
      </c>
      <c r="Q75" s="165">
        <f t="shared" si="49"/>
        <v>0</v>
      </c>
      <c r="V75" s="149">
        <v>0</v>
      </c>
      <c r="X75" s="167"/>
      <c r="Y75" s="168"/>
      <c r="AA75" s="165"/>
      <c r="AC75" s="165"/>
      <c r="AE75" s="165"/>
    </row>
    <row r="76" spans="1:31" ht="30" hidden="1" x14ac:dyDescent="0.25">
      <c r="A76" s="163">
        <v>212113122</v>
      </c>
      <c r="B76" s="164" t="s">
        <v>538</v>
      </c>
      <c r="C76" s="165">
        <v>8000000</v>
      </c>
      <c r="D76" s="165">
        <v>10000000</v>
      </c>
      <c r="E76" s="165">
        <v>0</v>
      </c>
      <c r="F76" s="165">
        <v>0</v>
      </c>
      <c r="G76" s="165">
        <f t="shared" si="17"/>
        <v>18000000</v>
      </c>
      <c r="H76" s="165">
        <v>1180000</v>
      </c>
      <c r="I76" s="165">
        <v>7774601</v>
      </c>
      <c r="J76" s="165">
        <f t="shared" si="45"/>
        <v>10225399</v>
      </c>
      <c r="K76" s="165">
        <v>242000</v>
      </c>
      <c r="L76" s="165">
        <v>6726601</v>
      </c>
      <c r="M76" s="165">
        <f t="shared" si="46"/>
        <v>1048000</v>
      </c>
      <c r="N76" s="165">
        <v>8239601</v>
      </c>
      <c r="O76" s="165">
        <f t="shared" si="47"/>
        <v>465000</v>
      </c>
      <c r="P76" s="165">
        <f t="shared" si="48"/>
        <v>9760399</v>
      </c>
      <c r="Q76" s="165">
        <f t="shared" si="49"/>
        <v>6726601</v>
      </c>
      <c r="V76" s="149">
        <v>9760399</v>
      </c>
      <c r="X76" s="167"/>
      <c r="Y76" s="168"/>
      <c r="AA76" s="165"/>
      <c r="AC76" s="165"/>
      <c r="AE76" s="165"/>
    </row>
    <row r="77" spans="1:31" ht="30" hidden="1" x14ac:dyDescent="0.25">
      <c r="A77" s="163">
        <v>212113128</v>
      </c>
      <c r="B77" s="164" t="s">
        <v>539</v>
      </c>
      <c r="C77" s="165">
        <v>45000000</v>
      </c>
      <c r="D77" s="165">
        <v>10000000</v>
      </c>
      <c r="E77" s="165">
        <v>0</v>
      </c>
      <c r="F77" s="165">
        <v>132683041</v>
      </c>
      <c r="G77" s="165">
        <f t="shared" si="17"/>
        <v>187683041</v>
      </c>
      <c r="H77" s="165">
        <v>1799000</v>
      </c>
      <c r="I77" s="165">
        <v>10759700</v>
      </c>
      <c r="J77" s="165">
        <f t="shared" si="45"/>
        <v>176923341</v>
      </c>
      <c r="K77" s="165">
        <v>678200</v>
      </c>
      <c r="L77" s="165">
        <v>7683800</v>
      </c>
      <c r="M77" s="165">
        <f t="shared" si="46"/>
        <v>3075900</v>
      </c>
      <c r="N77" s="165">
        <v>11759700</v>
      </c>
      <c r="O77" s="165">
        <f t="shared" si="47"/>
        <v>1000000</v>
      </c>
      <c r="P77" s="165">
        <f t="shared" si="48"/>
        <v>175923341</v>
      </c>
      <c r="Q77" s="165">
        <f t="shared" si="49"/>
        <v>7683800</v>
      </c>
      <c r="V77" s="149">
        <v>175923341</v>
      </c>
      <c r="X77" s="167"/>
      <c r="Y77" s="168"/>
      <c r="AA77" s="165"/>
      <c r="AC77" s="165"/>
      <c r="AE77" s="165"/>
    </row>
    <row r="78" spans="1:31" s="100" customFormat="1" ht="30" hidden="1" x14ac:dyDescent="0.25">
      <c r="A78" s="160">
        <v>21211313</v>
      </c>
      <c r="B78" s="161" t="s">
        <v>30</v>
      </c>
      <c r="C78" s="162">
        <f>+C79+C80</f>
        <v>100000000</v>
      </c>
      <c r="D78" s="162">
        <f t="shared" ref="D78:N78" si="52">+D79+D80</f>
        <v>20000000</v>
      </c>
      <c r="E78" s="162">
        <f t="shared" si="52"/>
        <v>0</v>
      </c>
      <c r="F78" s="162">
        <f t="shared" si="52"/>
        <v>163439617</v>
      </c>
      <c r="G78" s="162">
        <f t="shared" si="52"/>
        <v>283439617</v>
      </c>
      <c r="H78" s="162">
        <f t="shared" si="52"/>
        <v>41528188</v>
      </c>
      <c r="I78" s="162">
        <f t="shared" si="52"/>
        <v>59749668</v>
      </c>
      <c r="J78" s="162">
        <f t="shared" si="45"/>
        <v>223689949</v>
      </c>
      <c r="K78" s="162">
        <f t="shared" si="52"/>
        <v>0</v>
      </c>
      <c r="L78" s="162">
        <f t="shared" si="52"/>
        <v>9607043</v>
      </c>
      <c r="M78" s="162">
        <f t="shared" si="46"/>
        <v>50142625</v>
      </c>
      <c r="N78" s="162">
        <f t="shared" si="52"/>
        <v>71699868</v>
      </c>
      <c r="O78" s="162">
        <f t="shared" si="47"/>
        <v>11950200</v>
      </c>
      <c r="P78" s="162">
        <f t="shared" si="48"/>
        <v>211739749</v>
      </c>
      <c r="Q78" s="162">
        <f t="shared" si="49"/>
        <v>9607043</v>
      </c>
      <c r="V78" s="149">
        <v>211739749</v>
      </c>
      <c r="X78" s="167"/>
      <c r="Y78" s="168"/>
      <c r="AA78" s="162"/>
      <c r="AC78" s="162"/>
      <c r="AE78" s="162"/>
    </row>
    <row r="79" spans="1:31" ht="30" hidden="1" x14ac:dyDescent="0.25">
      <c r="A79" s="163">
        <v>212113131</v>
      </c>
      <c r="B79" s="164" t="s">
        <v>540</v>
      </c>
      <c r="C79" s="165">
        <v>45000000</v>
      </c>
      <c r="D79" s="165">
        <v>10000000</v>
      </c>
      <c r="E79" s="165">
        <v>0</v>
      </c>
      <c r="F79" s="165">
        <v>57000000</v>
      </c>
      <c r="G79" s="165">
        <f t="shared" si="17"/>
        <v>112000000</v>
      </c>
      <c r="H79" s="165">
        <v>24330000</v>
      </c>
      <c r="I79" s="165">
        <v>27632149</v>
      </c>
      <c r="J79" s="165">
        <f t="shared" si="45"/>
        <v>84367851</v>
      </c>
      <c r="K79" s="165">
        <v>0</v>
      </c>
      <c r="L79" s="165">
        <v>3302149</v>
      </c>
      <c r="M79" s="165">
        <f t="shared" si="46"/>
        <v>24330000</v>
      </c>
      <c r="N79" s="165">
        <v>27632149</v>
      </c>
      <c r="O79" s="165">
        <f t="shared" si="47"/>
        <v>0</v>
      </c>
      <c r="P79" s="165">
        <f t="shared" si="48"/>
        <v>84367851</v>
      </c>
      <c r="Q79" s="165">
        <f t="shared" si="49"/>
        <v>3302149</v>
      </c>
      <c r="V79" s="149">
        <v>84367851</v>
      </c>
      <c r="X79" s="167"/>
      <c r="Y79" s="168"/>
      <c r="AA79" s="165"/>
      <c r="AC79" s="165"/>
      <c r="AE79" s="165"/>
    </row>
    <row r="80" spans="1:31" ht="30" hidden="1" x14ac:dyDescent="0.25">
      <c r="A80" s="163">
        <v>212113132</v>
      </c>
      <c r="B80" s="164" t="s">
        <v>541</v>
      </c>
      <c r="C80" s="165">
        <v>55000000</v>
      </c>
      <c r="D80" s="165">
        <v>10000000</v>
      </c>
      <c r="E80" s="165">
        <v>0</v>
      </c>
      <c r="F80" s="165">
        <v>106439617</v>
      </c>
      <c r="G80" s="165">
        <f t="shared" ref="G80:G143" si="53">+C80+D80-E80+F80</f>
        <v>171439617</v>
      </c>
      <c r="H80" s="165">
        <v>17198188</v>
      </c>
      <c r="I80" s="165">
        <v>32117519</v>
      </c>
      <c r="J80" s="165">
        <f t="shared" si="45"/>
        <v>139322098</v>
      </c>
      <c r="K80" s="165">
        <v>0</v>
      </c>
      <c r="L80" s="165">
        <v>6304894</v>
      </c>
      <c r="M80" s="165">
        <f t="shared" si="46"/>
        <v>25812625</v>
      </c>
      <c r="N80" s="165">
        <v>44067719</v>
      </c>
      <c r="O80" s="165">
        <f t="shared" si="47"/>
        <v>11950200</v>
      </c>
      <c r="P80" s="165">
        <f t="shared" si="48"/>
        <v>127371898</v>
      </c>
      <c r="Q80" s="165">
        <f t="shared" si="49"/>
        <v>6304894</v>
      </c>
      <c r="V80" s="149">
        <v>127371898</v>
      </c>
      <c r="X80" s="167"/>
      <c r="Y80" s="168"/>
      <c r="AA80" s="165"/>
      <c r="AC80" s="165"/>
      <c r="AE80" s="165"/>
    </row>
    <row r="81" spans="1:31" s="100" customFormat="1" hidden="1" x14ac:dyDescent="0.25">
      <c r="A81" s="160">
        <v>21211314</v>
      </c>
      <c r="B81" s="161" t="s">
        <v>31</v>
      </c>
      <c r="C81" s="162">
        <f>+C82+C83+C84+C85+C86</f>
        <v>18800000</v>
      </c>
      <c r="D81" s="162">
        <f t="shared" ref="D81:N81" si="54">+D82+D83+D84+D85+D86</f>
        <v>50000000</v>
      </c>
      <c r="E81" s="162">
        <f t="shared" si="54"/>
        <v>0</v>
      </c>
      <c r="F81" s="162">
        <f t="shared" si="54"/>
        <v>155000000</v>
      </c>
      <c r="G81" s="162">
        <f t="shared" si="54"/>
        <v>223800000</v>
      </c>
      <c r="H81" s="162">
        <f t="shared" si="54"/>
        <v>1582644</v>
      </c>
      <c r="I81" s="162">
        <f t="shared" si="54"/>
        <v>13410102</v>
      </c>
      <c r="J81" s="162">
        <f t="shared" si="45"/>
        <v>210389898</v>
      </c>
      <c r="K81" s="162">
        <f t="shared" si="54"/>
        <v>985000</v>
      </c>
      <c r="L81" s="162">
        <f t="shared" si="54"/>
        <v>11603780</v>
      </c>
      <c r="M81" s="162">
        <f t="shared" si="46"/>
        <v>1806322</v>
      </c>
      <c r="N81" s="162">
        <f t="shared" si="54"/>
        <v>13928903</v>
      </c>
      <c r="O81" s="162">
        <f t="shared" si="47"/>
        <v>518801</v>
      </c>
      <c r="P81" s="162">
        <f t="shared" si="48"/>
        <v>209871097</v>
      </c>
      <c r="Q81" s="162">
        <f t="shared" si="49"/>
        <v>11603780</v>
      </c>
      <c r="V81" s="149">
        <v>209871097</v>
      </c>
      <c r="X81" s="167"/>
      <c r="Y81" s="168"/>
      <c r="AA81" s="162"/>
      <c r="AC81" s="162"/>
      <c r="AE81" s="162"/>
    </row>
    <row r="82" spans="1:31" ht="30" hidden="1" x14ac:dyDescent="0.25">
      <c r="A82" s="163">
        <v>212113141</v>
      </c>
      <c r="B82" s="164" t="s">
        <v>542</v>
      </c>
      <c r="C82" s="165">
        <v>3000000</v>
      </c>
      <c r="D82" s="165">
        <v>10000000</v>
      </c>
      <c r="E82" s="165">
        <v>0</v>
      </c>
      <c r="F82" s="165">
        <v>45000000</v>
      </c>
      <c r="G82" s="165">
        <f t="shared" si="53"/>
        <v>58000000</v>
      </c>
      <c r="H82" s="165">
        <v>472000</v>
      </c>
      <c r="I82" s="165">
        <v>5074999</v>
      </c>
      <c r="J82" s="165">
        <f t="shared" si="45"/>
        <v>52925001</v>
      </c>
      <c r="K82" s="165">
        <v>378000</v>
      </c>
      <c r="L82" s="165">
        <v>4216999</v>
      </c>
      <c r="M82" s="165">
        <f t="shared" si="46"/>
        <v>858000</v>
      </c>
      <c r="N82" s="165">
        <v>5076800</v>
      </c>
      <c r="O82" s="165">
        <f t="shared" si="47"/>
        <v>1801</v>
      </c>
      <c r="P82" s="165">
        <f t="shared" si="48"/>
        <v>52923200</v>
      </c>
      <c r="Q82" s="165">
        <f t="shared" si="49"/>
        <v>4216999</v>
      </c>
      <c r="V82" s="149">
        <v>52923200</v>
      </c>
      <c r="X82" s="167"/>
      <c r="Y82" s="168"/>
      <c r="AA82" s="165"/>
      <c r="AC82" s="165"/>
      <c r="AE82" s="165"/>
    </row>
    <row r="83" spans="1:31" hidden="1" x14ac:dyDescent="0.25">
      <c r="A83" s="163">
        <v>212113142</v>
      </c>
      <c r="B83" s="164" t="s">
        <v>543</v>
      </c>
      <c r="C83" s="165">
        <v>0</v>
      </c>
      <c r="D83" s="165">
        <v>10000000</v>
      </c>
      <c r="E83" s="165">
        <v>0</v>
      </c>
      <c r="F83" s="165">
        <v>35000000</v>
      </c>
      <c r="G83" s="165">
        <f t="shared" si="53"/>
        <v>45000000</v>
      </c>
      <c r="H83" s="165">
        <v>1110644</v>
      </c>
      <c r="I83" s="165">
        <v>7502103</v>
      </c>
      <c r="J83" s="165">
        <f t="shared" si="45"/>
        <v>37497897</v>
      </c>
      <c r="K83" s="165">
        <v>607000</v>
      </c>
      <c r="L83" s="165">
        <v>6553781</v>
      </c>
      <c r="M83" s="165">
        <f t="shared" si="46"/>
        <v>948322</v>
      </c>
      <c r="N83" s="165">
        <v>8002103</v>
      </c>
      <c r="O83" s="165">
        <f t="shared" si="47"/>
        <v>500000</v>
      </c>
      <c r="P83" s="165">
        <f t="shared" si="48"/>
        <v>36997897</v>
      </c>
      <c r="Q83" s="165">
        <f t="shared" si="49"/>
        <v>6553781</v>
      </c>
      <c r="V83" s="149">
        <v>36997897</v>
      </c>
      <c r="X83" s="167"/>
      <c r="Y83" s="168"/>
      <c r="AA83" s="165"/>
      <c r="AC83" s="165"/>
      <c r="AE83" s="165"/>
    </row>
    <row r="84" spans="1:31" ht="30" hidden="1" x14ac:dyDescent="0.25">
      <c r="A84" s="163">
        <v>212113143</v>
      </c>
      <c r="B84" s="164" t="s">
        <v>544</v>
      </c>
      <c r="C84" s="165">
        <v>0</v>
      </c>
      <c r="D84" s="165">
        <v>10000000</v>
      </c>
      <c r="E84" s="165">
        <v>0</v>
      </c>
      <c r="F84" s="165">
        <v>25000000</v>
      </c>
      <c r="G84" s="165">
        <f t="shared" si="53"/>
        <v>35000000</v>
      </c>
      <c r="H84" s="165">
        <v>0</v>
      </c>
      <c r="I84" s="165">
        <v>0</v>
      </c>
      <c r="J84" s="165">
        <f t="shared" si="45"/>
        <v>35000000</v>
      </c>
      <c r="K84" s="165">
        <v>0</v>
      </c>
      <c r="L84" s="165">
        <v>0</v>
      </c>
      <c r="M84" s="165">
        <f t="shared" si="46"/>
        <v>0</v>
      </c>
      <c r="N84" s="165">
        <v>0</v>
      </c>
      <c r="O84" s="165">
        <f t="shared" si="47"/>
        <v>0</v>
      </c>
      <c r="P84" s="165">
        <f t="shared" si="48"/>
        <v>35000000</v>
      </c>
      <c r="Q84" s="165">
        <f t="shared" si="49"/>
        <v>0</v>
      </c>
      <c r="V84" s="149">
        <v>35000000</v>
      </c>
      <c r="X84" s="167"/>
      <c r="Y84" s="168"/>
      <c r="AA84" s="165"/>
      <c r="AC84" s="165"/>
      <c r="AE84" s="165"/>
    </row>
    <row r="85" spans="1:31" ht="45" hidden="1" x14ac:dyDescent="0.25">
      <c r="A85" s="163">
        <v>212113144</v>
      </c>
      <c r="B85" s="164" t="s">
        <v>635</v>
      </c>
      <c r="C85" s="165">
        <v>1000000</v>
      </c>
      <c r="D85" s="165">
        <v>10000000</v>
      </c>
      <c r="E85" s="165">
        <v>0</v>
      </c>
      <c r="F85" s="165">
        <v>25000000</v>
      </c>
      <c r="G85" s="165">
        <f t="shared" si="53"/>
        <v>36000000</v>
      </c>
      <c r="H85" s="165">
        <v>0</v>
      </c>
      <c r="I85" s="165">
        <v>0</v>
      </c>
      <c r="J85" s="165">
        <f t="shared" si="45"/>
        <v>36000000</v>
      </c>
      <c r="K85" s="165">
        <v>0</v>
      </c>
      <c r="L85" s="165">
        <v>0</v>
      </c>
      <c r="M85" s="165">
        <f t="shared" si="46"/>
        <v>0</v>
      </c>
      <c r="N85" s="165">
        <v>0</v>
      </c>
      <c r="O85" s="165">
        <f t="shared" si="47"/>
        <v>0</v>
      </c>
      <c r="P85" s="165">
        <f t="shared" si="48"/>
        <v>36000000</v>
      </c>
      <c r="Q85" s="165">
        <f t="shared" si="49"/>
        <v>0</v>
      </c>
      <c r="V85" s="149">
        <v>36000000</v>
      </c>
      <c r="X85" s="167"/>
      <c r="Y85" s="168"/>
      <c r="AA85" s="165"/>
      <c r="AC85" s="165"/>
      <c r="AE85" s="165"/>
    </row>
    <row r="86" spans="1:31" hidden="1" x14ac:dyDescent="0.25">
      <c r="A86" s="163">
        <v>212113145</v>
      </c>
      <c r="B86" s="164" t="s">
        <v>543</v>
      </c>
      <c r="C86" s="165">
        <v>14800000</v>
      </c>
      <c r="D86" s="165">
        <v>10000000</v>
      </c>
      <c r="E86" s="165">
        <v>0</v>
      </c>
      <c r="F86" s="165">
        <v>25000000</v>
      </c>
      <c r="G86" s="165">
        <f t="shared" si="53"/>
        <v>49800000</v>
      </c>
      <c r="H86" s="165">
        <v>0</v>
      </c>
      <c r="I86" s="165">
        <v>833000</v>
      </c>
      <c r="J86" s="165">
        <f t="shared" si="45"/>
        <v>48967000</v>
      </c>
      <c r="K86" s="165">
        <v>0</v>
      </c>
      <c r="L86" s="165">
        <v>833000</v>
      </c>
      <c r="M86" s="165">
        <f t="shared" si="46"/>
        <v>0</v>
      </c>
      <c r="N86" s="165">
        <v>850000</v>
      </c>
      <c r="O86" s="165">
        <f t="shared" si="47"/>
        <v>17000</v>
      </c>
      <c r="P86" s="165">
        <f t="shared" si="48"/>
        <v>48950000</v>
      </c>
      <c r="Q86" s="165">
        <f t="shared" si="49"/>
        <v>833000</v>
      </c>
      <c r="V86" s="149">
        <v>48950000</v>
      </c>
      <c r="X86" s="167"/>
      <c r="Y86" s="168"/>
      <c r="AA86" s="165"/>
      <c r="AC86" s="165"/>
      <c r="AE86" s="165"/>
    </row>
    <row r="87" spans="1:31" s="100" customFormat="1" ht="30" hidden="1" x14ac:dyDescent="0.25">
      <c r="A87" s="160">
        <v>21211315</v>
      </c>
      <c r="B87" s="161" t="s">
        <v>32</v>
      </c>
      <c r="C87" s="162">
        <f>+C88+C89+C90</f>
        <v>17000000</v>
      </c>
      <c r="D87" s="162">
        <f t="shared" ref="D87:N87" si="55">+D88+D89+D90</f>
        <v>0</v>
      </c>
      <c r="E87" s="162">
        <f t="shared" si="55"/>
        <v>0</v>
      </c>
      <c r="F87" s="162">
        <f t="shared" si="55"/>
        <v>0</v>
      </c>
      <c r="G87" s="162">
        <f t="shared" si="55"/>
        <v>17000000</v>
      </c>
      <c r="H87" s="162">
        <f t="shared" si="55"/>
        <v>0</v>
      </c>
      <c r="I87" s="162">
        <f t="shared" si="55"/>
        <v>3686515</v>
      </c>
      <c r="J87" s="162">
        <f t="shared" si="45"/>
        <v>13313485</v>
      </c>
      <c r="K87" s="162">
        <f t="shared" si="55"/>
        <v>0</v>
      </c>
      <c r="L87" s="162">
        <f t="shared" si="55"/>
        <v>2686515</v>
      </c>
      <c r="M87" s="162">
        <f t="shared" si="46"/>
        <v>1000000</v>
      </c>
      <c r="N87" s="162">
        <f t="shared" si="55"/>
        <v>3686515</v>
      </c>
      <c r="O87" s="162">
        <f t="shared" si="47"/>
        <v>0</v>
      </c>
      <c r="P87" s="162">
        <f t="shared" si="48"/>
        <v>13313485</v>
      </c>
      <c r="Q87" s="162">
        <f t="shared" si="49"/>
        <v>2686515</v>
      </c>
      <c r="V87" s="149">
        <v>13313485</v>
      </c>
      <c r="X87" s="167"/>
      <c r="Y87" s="168"/>
      <c r="AA87" s="162"/>
      <c r="AC87" s="162"/>
      <c r="AE87" s="162"/>
    </row>
    <row r="88" spans="1:31" ht="30" hidden="1" x14ac:dyDescent="0.25">
      <c r="A88" s="163">
        <v>212113151</v>
      </c>
      <c r="B88" s="164" t="s">
        <v>545</v>
      </c>
      <c r="C88" s="165">
        <v>8000000</v>
      </c>
      <c r="D88" s="165">
        <v>0</v>
      </c>
      <c r="E88" s="165">
        <v>0</v>
      </c>
      <c r="F88" s="165">
        <v>0</v>
      </c>
      <c r="G88" s="165">
        <f t="shared" si="53"/>
        <v>8000000</v>
      </c>
      <c r="H88" s="165">
        <v>0</v>
      </c>
      <c r="I88" s="165">
        <v>3686515</v>
      </c>
      <c r="J88" s="165">
        <f t="shared" si="45"/>
        <v>4313485</v>
      </c>
      <c r="K88" s="165">
        <v>0</v>
      </c>
      <c r="L88" s="165">
        <v>2686515</v>
      </c>
      <c r="M88" s="165">
        <f t="shared" si="46"/>
        <v>1000000</v>
      </c>
      <c r="N88" s="165">
        <v>3686515</v>
      </c>
      <c r="O88" s="165">
        <f t="shared" si="47"/>
        <v>0</v>
      </c>
      <c r="P88" s="165">
        <f t="shared" si="48"/>
        <v>4313485</v>
      </c>
      <c r="Q88" s="165">
        <f t="shared" si="49"/>
        <v>2686515</v>
      </c>
      <c r="V88" s="149">
        <v>4313485</v>
      </c>
      <c r="X88" s="167"/>
      <c r="Y88" s="168"/>
      <c r="AA88" s="165"/>
      <c r="AC88" s="165"/>
      <c r="AE88" s="165"/>
    </row>
    <row r="89" spans="1:31" ht="45" hidden="1" x14ac:dyDescent="0.25">
      <c r="A89" s="163">
        <v>212113152</v>
      </c>
      <c r="B89" s="164" t="s">
        <v>546</v>
      </c>
      <c r="C89" s="165">
        <v>6000000</v>
      </c>
      <c r="D89" s="165">
        <v>0</v>
      </c>
      <c r="E89" s="165">
        <v>0</v>
      </c>
      <c r="F89" s="165">
        <v>0</v>
      </c>
      <c r="G89" s="165">
        <f t="shared" si="53"/>
        <v>6000000</v>
      </c>
      <c r="H89" s="165">
        <v>0</v>
      </c>
      <c r="I89" s="165">
        <v>0</v>
      </c>
      <c r="J89" s="165">
        <f t="shared" si="45"/>
        <v>6000000</v>
      </c>
      <c r="K89" s="165">
        <v>0</v>
      </c>
      <c r="L89" s="165">
        <v>0</v>
      </c>
      <c r="M89" s="165">
        <f t="shared" si="46"/>
        <v>0</v>
      </c>
      <c r="N89" s="165">
        <v>0</v>
      </c>
      <c r="O89" s="165">
        <f t="shared" si="47"/>
        <v>0</v>
      </c>
      <c r="P89" s="165">
        <f t="shared" si="48"/>
        <v>6000000</v>
      </c>
      <c r="Q89" s="165">
        <f t="shared" si="49"/>
        <v>0</v>
      </c>
      <c r="V89" s="149">
        <v>6000000</v>
      </c>
      <c r="X89" s="167"/>
      <c r="Y89" s="168"/>
      <c r="AA89" s="165"/>
      <c r="AC89" s="165"/>
      <c r="AE89" s="165"/>
    </row>
    <row r="90" spans="1:31" ht="30" hidden="1" x14ac:dyDescent="0.25">
      <c r="A90" s="163">
        <v>212113153</v>
      </c>
      <c r="B90" s="164" t="s">
        <v>636</v>
      </c>
      <c r="C90" s="165">
        <v>3000000</v>
      </c>
      <c r="D90" s="165">
        <v>0</v>
      </c>
      <c r="E90" s="165">
        <v>0</v>
      </c>
      <c r="F90" s="165">
        <v>0</v>
      </c>
      <c r="G90" s="165">
        <f t="shared" si="53"/>
        <v>3000000</v>
      </c>
      <c r="H90" s="165">
        <v>0</v>
      </c>
      <c r="I90" s="165">
        <v>0</v>
      </c>
      <c r="J90" s="165">
        <f t="shared" si="45"/>
        <v>3000000</v>
      </c>
      <c r="K90" s="165">
        <v>0</v>
      </c>
      <c r="L90" s="165">
        <v>0</v>
      </c>
      <c r="M90" s="165">
        <f t="shared" si="46"/>
        <v>0</v>
      </c>
      <c r="N90" s="165">
        <v>0</v>
      </c>
      <c r="O90" s="165">
        <f t="shared" si="47"/>
        <v>0</v>
      </c>
      <c r="P90" s="165">
        <f t="shared" si="48"/>
        <v>3000000</v>
      </c>
      <c r="Q90" s="165">
        <f t="shared" si="49"/>
        <v>0</v>
      </c>
      <c r="V90" s="149">
        <v>3000000</v>
      </c>
      <c r="X90" s="167"/>
      <c r="Y90" s="168"/>
      <c r="AA90" s="165"/>
      <c r="AC90" s="165"/>
      <c r="AE90" s="165"/>
    </row>
    <row r="91" spans="1:31" s="100" customFormat="1" ht="30" hidden="1" x14ac:dyDescent="0.25">
      <c r="A91" s="160">
        <v>21211316</v>
      </c>
      <c r="B91" s="161" t="s">
        <v>33</v>
      </c>
      <c r="C91" s="162">
        <f>+C92</f>
        <v>35000000</v>
      </c>
      <c r="D91" s="162">
        <f t="shared" ref="D91:N91" si="56">+D92</f>
        <v>0</v>
      </c>
      <c r="E91" s="162">
        <f t="shared" si="56"/>
        <v>0</v>
      </c>
      <c r="F91" s="162">
        <f t="shared" si="56"/>
        <v>0</v>
      </c>
      <c r="G91" s="162">
        <f t="shared" si="56"/>
        <v>35000000</v>
      </c>
      <c r="H91" s="162">
        <f t="shared" si="56"/>
        <v>0</v>
      </c>
      <c r="I91" s="162">
        <f t="shared" si="56"/>
        <v>2709500</v>
      </c>
      <c r="J91" s="162">
        <f t="shared" si="45"/>
        <v>32290500</v>
      </c>
      <c r="K91" s="162">
        <f t="shared" si="56"/>
        <v>0</v>
      </c>
      <c r="L91" s="162">
        <f t="shared" si="56"/>
        <v>2709500</v>
      </c>
      <c r="M91" s="162">
        <f t="shared" si="46"/>
        <v>0</v>
      </c>
      <c r="N91" s="162">
        <f t="shared" si="56"/>
        <v>2709500</v>
      </c>
      <c r="O91" s="162">
        <f t="shared" si="47"/>
        <v>0</v>
      </c>
      <c r="P91" s="162">
        <f t="shared" si="48"/>
        <v>32290500</v>
      </c>
      <c r="Q91" s="162">
        <f t="shared" si="49"/>
        <v>2709500</v>
      </c>
      <c r="V91" s="149">
        <v>32290500</v>
      </c>
      <c r="X91" s="167"/>
      <c r="Y91" s="168"/>
      <c r="AA91" s="162"/>
      <c r="AC91" s="162"/>
      <c r="AE91" s="162"/>
    </row>
    <row r="92" spans="1:31" ht="45" hidden="1" x14ac:dyDescent="0.25">
      <c r="A92" s="163">
        <v>212113162</v>
      </c>
      <c r="B92" s="164" t="s">
        <v>547</v>
      </c>
      <c r="C92" s="165">
        <v>35000000</v>
      </c>
      <c r="D92" s="165">
        <v>0</v>
      </c>
      <c r="E92" s="165">
        <v>0</v>
      </c>
      <c r="F92" s="165">
        <v>0</v>
      </c>
      <c r="G92" s="165">
        <f t="shared" si="53"/>
        <v>35000000</v>
      </c>
      <c r="H92" s="165">
        <v>0</v>
      </c>
      <c r="I92" s="165">
        <v>2709500</v>
      </c>
      <c r="J92" s="165">
        <f t="shared" si="45"/>
        <v>32290500</v>
      </c>
      <c r="K92" s="165">
        <v>0</v>
      </c>
      <c r="L92" s="165">
        <v>2709500</v>
      </c>
      <c r="M92" s="165">
        <f t="shared" si="46"/>
        <v>0</v>
      </c>
      <c r="N92" s="165">
        <v>2709500</v>
      </c>
      <c r="O92" s="165">
        <f t="shared" si="47"/>
        <v>0</v>
      </c>
      <c r="P92" s="165">
        <f t="shared" si="48"/>
        <v>32290500</v>
      </c>
      <c r="Q92" s="165">
        <f t="shared" si="49"/>
        <v>2709500</v>
      </c>
      <c r="V92" s="149">
        <v>32290500</v>
      </c>
      <c r="X92" s="167"/>
      <c r="Y92" s="168"/>
      <c r="AA92" s="165"/>
      <c r="AC92" s="165"/>
      <c r="AE92" s="165"/>
    </row>
    <row r="93" spans="1:31" s="100" customFormat="1" hidden="1" x14ac:dyDescent="0.25">
      <c r="A93" s="160">
        <v>21211317</v>
      </c>
      <c r="B93" s="161" t="s">
        <v>34</v>
      </c>
      <c r="C93" s="162">
        <f>+C94</f>
        <v>0</v>
      </c>
      <c r="D93" s="162">
        <f t="shared" ref="D93:N93" si="57">+D94</f>
        <v>200000000</v>
      </c>
      <c r="E93" s="162">
        <f t="shared" si="57"/>
        <v>0</v>
      </c>
      <c r="F93" s="162">
        <f t="shared" si="57"/>
        <v>45000000</v>
      </c>
      <c r="G93" s="162">
        <f t="shared" si="57"/>
        <v>245000000</v>
      </c>
      <c r="H93" s="162">
        <f t="shared" si="57"/>
        <v>0</v>
      </c>
      <c r="I93" s="162">
        <f t="shared" si="57"/>
        <v>213921970</v>
      </c>
      <c r="J93" s="162">
        <f t="shared" si="45"/>
        <v>31078030</v>
      </c>
      <c r="K93" s="162">
        <f t="shared" si="57"/>
        <v>5062177</v>
      </c>
      <c r="L93" s="162">
        <f t="shared" si="57"/>
        <v>138572347</v>
      </c>
      <c r="M93" s="162">
        <f t="shared" si="46"/>
        <v>75349623</v>
      </c>
      <c r="N93" s="162">
        <f t="shared" si="57"/>
        <v>225000000</v>
      </c>
      <c r="O93" s="162">
        <f t="shared" si="47"/>
        <v>11078030</v>
      </c>
      <c r="P93" s="162">
        <f t="shared" si="48"/>
        <v>20000000</v>
      </c>
      <c r="Q93" s="162">
        <f t="shared" si="49"/>
        <v>138572347</v>
      </c>
      <c r="V93" s="149">
        <v>20000000</v>
      </c>
      <c r="X93" s="167"/>
      <c r="Y93" s="168"/>
      <c r="AA93" s="162"/>
      <c r="AC93" s="162"/>
      <c r="AE93" s="162"/>
    </row>
    <row r="94" spans="1:31" ht="45" hidden="1" x14ac:dyDescent="0.25">
      <c r="A94" s="163">
        <v>212113171</v>
      </c>
      <c r="B94" s="164" t="s">
        <v>548</v>
      </c>
      <c r="C94" s="165">
        <v>0</v>
      </c>
      <c r="D94" s="165">
        <v>200000000</v>
      </c>
      <c r="E94" s="165">
        <v>0</v>
      </c>
      <c r="F94" s="165">
        <v>45000000</v>
      </c>
      <c r="G94" s="165">
        <f t="shared" si="53"/>
        <v>245000000</v>
      </c>
      <c r="H94" s="165">
        <v>0</v>
      </c>
      <c r="I94" s="165">
        <v>213921970</v>
      </c>
      <c r="J94" s="165">
        <f t="shared" si="45"/>
        <v>31078030</v>
      </c>
      <c r="K94" s="165">
        <v>5062177</v>
      </c>
      <c r="L94" s="165">
        <v>138572347</v>
      </c>
      <c r="M94" s="165">
        <f t="shared" si="46"/>
        <v>75349623</v>
      </c>
      <c r="N94" s="165">
        <v>225000000</v>
      </c>
      <c r="O94" s="165">
        <f t="shared" si="47"/>
        <v>11078030</v>
      </c>
      <c r="P94" s="165">
        <f t="shared" si="48"/>
        <v>20000000</v>
      </c>
      <c r="Q94" s="165">
        <f t="shared" si="49"/>
        <v>138572347</v>
      </c>
      <c r="V94" s="149">
        <v>20000000</v>
      </c>
      <c r="X94" s="167"/>
      <c r="Y94" s="168"/>
      <c r="AA94" s="165"/>
      <c r="AC94" s="165"/>
      <c r="AE94" s="165"/>
    </row>
    <row r="95" spans="1:31" s="100" customFormat="1" hidden="1" x14ac:dyDescent="0.25">
      <c r="A95" s="157">
        <v>212114</v>
      </c>
      <c r="B95" s="158" t="s">
        <v>35</v>
      </c>
      <c r="C95" s="159">
        <f>+C96+C100</f>
        <v>78190348</v>
      </c>
      <c r="D95" s="159">
        <f t="shared" ref="D95:N95" si="58">+D96+D100</f>
        <v>435690000</v>
      </c>
      <c r="E95" s="159">
        <f t="shared" si="58"/>
        <v>0</v>
      </c>
      <c r="F95" s="159">
        <f t="shared" si="58"/>
        <v>25000000</v>
      </c>
      <c r="G95" s="159">
        <f t="shared" si="58"/>
        <v>538880348</v>
      </c>
      <c r="H95" s="159">
        <f t="shared" si="58"/>
        <v>0</v>
      </c>
      <c r="I95" s="159">
        <f t="shared" si="58"/>
        <v>319945373</v>
      </c>
      <c r="J95" s="159">
        <f t="shared" si="45"/>
        <v>218934975</v>
      </c>
      <c r="K95" s="159">
        <f t="shared" si="58"/>
        <v>0</v>
      </c>
      <c r="L95" s="159">
        <f t="shared" si="58"/>
        <v>319945373</v>
      </c>
      <c r="M95" s="159">
        <f t="shared" si="46"/>
        <v>0</v>
      </c>
      <c r="N95" s="159">
        <f t="shared" si="58"/>
        <v>425997200</v>
      </c>
      <c r="O95" s="159">
        <f t="shared" si="47"/>
        <v>106051827</v>
      </c>
      <c r="P95" s="159">
        <f t="shared" si="48"/>
        <v>112883148</v>
      </c>
      <c r="Q95" s="159">
        <f t="shared" si="49"/>
        <v>319945373</v>
      </c>
      <c r="V95" s="149">
        <v>112883148</v>
      </c>
      <c r="X95" s="167"/>
      <c r="Y95" s="168"/>
      <c r="AA95" s="159"/>
      <c r="AC95" s="159"/>
      <c r="AE95" s="159"/>
    </row>
    <row r="96" spans="1:31" s="100" customFormat="1" hidden="1" x14ac:dyDescent="0.25">
      <c r="A96" s="157">
        <v>2121142</v>
      </c>
      <c r="B96" s="158" t="s">
        <v>36</v>
      </c>
      <c r="C96" s="159">
        <f>+C97</f>
        <v>0</v>
      </c>
      <c r="D96" s="159">
        <f t="shared" ref="D96:N98" si="59">+D97</f>
        <v>410690000</v>
      </c>
      <c r="E96" s="159">
        <f t="shared" si="59"/>
        <v>0</v>
      </c>
      <c r="F96" s="159">
        <f t="shared" si="59"/>
        <v>25000000</v>
      </c>
      <c r="G96" s="159">
        <f t="shared" si="59"/>
        <v>435690000</v>
      </c>
      <c r="H96" s="159">
        <f t="shared" si="59"/>
        <v>0</v>
      </c>
      <c r="I96" s="159">
        <f t="shared" si="59"/>
        <v>319945373</v>
      </c>
      <c r="J96" s="159">
        <f t="shared" si="45"/>
        <v>115744627</v>
      </c>
      <c r="K96" s="159">
        <f t="shared" si="59"/>
        <v>0</v>
      </c>
      <c r="L96" s="159">
        <f t="shared" si="59"/>
        <v>319945373</v>
      </c>
      <c r="M96" s="159">
        <f t="shared" si="46"/>
        <v>0</v>
      </c>
      <c r="N96" s="159">
        <f t="shared" si="59"/>
        <v>425997200</v>
      </c>
      <c r="O96" s="159">
        <f t="shared" si="47"/>
        <v>106051827</v>
      </c>
      <c r="P96" s="159">
        <f t="shared" si="48"/>
        <v>9692800</v>
      </c>
      <c r="Q96" s="159">
        <f t="shared" si="49"/>
        <v>319945373</v>
      </c>
      <c r="V96" s="149">
        <v>9692800</v>
      </c>
      <c r="X96" s="167"/>
      <c r="Y96" s="168"/>
      <c r="AA96" s="159"/>
      <c r="AC96" s="159"/>
      <c r="AE96" s="159"/>
    </row>
    <row r="97" spans="1:31" ht="30" hidden="1" x14ac:dyDescent="0.25">
      <c r="A97" s="169">
        <v>21211423</v>
      </c>
      <c r="B97" s="171" t="s">
        <v>37</v>
      </c>
      <c r="C97" s="170">
        <f>+C98</f>
        <v>0</v>
      </c>
      <c r="D97" s="170">
        <f t="shared" si="59"/>
        <v>410690000</v>
      </c>
      <c r="E97" s="170">
        <f t="shared" si="59"/>
        <v>0</v>
      </c>
      <c r="F97" s="170">
        <f t="shared" si="59"/>
        <v>25000000</v>
      </c>
      <c r="G97" s="170">
        <f t="shared" si="59"/>
        <v>435690000</v>
      </c>
      <c r="H97" s="170">
        <f t="shared" si="59"/>
        <v>0</v>
      </c>
      <c r="I97" s="170">
        <f t="shared" si="59"/>
        <v>319945373</v>
      </c>
      <c r="J97" s="170">
        <f t="shared" si="45"/>
        <v>115744627</v>
      </c>
      <c r="K97" s="170">
        <f t="shared" si="59"/>
        <v>0</v>
      </c>
      <c r="L97" s="170">
        <f t="shared" si="59"/>
        <v>319945373</v>
      </c>
      <c r="M97" s="170">
        <f t="shared" si="46"/>
        <v>0</v>
      </c>
      <c r="N97" s="170">
        <f t="shared" si="59"/>
        <v>425997200</v>
      </c>
      <c r="O97" s="170">
        <f t="shared" si="47"/>
        <v>106051827</v>
      </c>
      <c r="P97" s="170">
        <f t="shared" si="48"/>
        <v>9692800</v>
      </c>
      <c r="Q97" s="170">
        <f t="shared" si="49"/>
        <v>319945373</v>
      </c>
      <c r="V97" s="149">
        <v>9692800</v>
      </c>
      <c r="X97" s="167"/>
      <c r="Y97" s="168"/>
      <c r="AA97" s="170"/>
      <c r="AC97" s="170"/>
      <c r="AE97" s="170"/>
    </row>
    <row r="98" spans="1:31" s="100" customFormat="1" hidden="1" x14ac:dyDescent="0.25">
      <c r="A98" s="160">
        <v>212114231</v>
      </c>
      <c r="B98" s="161" t="s">
        <v>38</v>
      </c>
      <c r="C98" s="162">
        <f>+C99</f>
        <v>0</v>
      </c>
      <c r="D98" s="162">
        <f t="shared" si="59"/>
        <v>410690000</v>
      </c>
      <c r="E98" s="162">
        <f t="shared" si="59"/>
        <v>0</v>
      </c>
      <c r="F98" s="162">
        <f t="shared" si="59"/>
        <v>25000000</v>
      </c>
      <c r="G98" s="162">
        <f t="shared" si="59"/>
        <v>435690000</v>
      </c>
      <c r="H98" s="162">
        <f t="shared" si="59"/>
        <v>0</v>
      </c>
      <c r="I98" s="162">
        <f t="shared" si="59"/>
        <v>319945373</v>
      </c>
      <c r="J98" s="162">
        <f t="shared" si="45"/>
        <v>115744627</v>
      </c>
      <c r="K98" s="162">
        <f t="shared" si="59"/>
        <v>0</v>
      </c>
      <c r="L98" s="162">
        <f t="shared" si="59"/>
        <v>319945373</v>
      </c>
      <c r="M98" s="162">
        <f t="shared" si="46"/>
        <v>0</v>
      </c>
      <c r="N98" s="162">
        <f t="shared" si="59"/>
        <v>425997200</v>
      </c>
      <c r="O98" s="162">
        <f t="shared" si="47"/>
        <v>106051827</v>
      </c>
      <c r="P98" s="162">
        <f t="shared" si="48"/>
        <v>9692800</v>
      </c>
      <c r="Q98" s="162">
        <f t="shared" si="49"/>
        <v>319945373</v>
      </c>
      <c r="V98" s="149">
        <v>9692800</v>
      </c>
      <c r="X98" s="167"/>
      <c r="Y98" s="168"/>
      <c r="AA98" s="162"/>
      <c r="AC98" s="162"/>
      <c r="AE98" s="162"/>
    </row>
    <row r="99" spans="1:31" hidden="1" x14ac:dyDescent="0.25">
      <c r="A99" s="163">
        <v>2121142311</v>
      </c>
      <c r="B99" s="164" t="s">
        <v>549</v>
      </c>
      <c r="C99" s="165">
        <v>0</v>
      </c>
      <c r="D99" s="165">
        <v>410690000</v>
      </c>
      <c r="E99" s="165">
        <v>0</v>
      </c>
      <c r="F99" s="165">
        <v>25000000</v>
      </c>
      <c r="G99" s="165">
        <f t="shared" si="53"/>
        <v>435690000</v>
      </c>
      <c r="H99" s="165">
        <v>0</v>
      </c>
      <c r="I99" s="165">
        <v>319945373</v>
      </c>
      <c r="J99" s="165">
        <f t="shared" si="45"/>
        <v>115744627</v>
      </c>
      <c r="K99" s="165">
        <v>0</v>
      </c>
      <c r="L99" s="165">
        <v>319945373</v>
      </c>
      <c r="M99" s="165">
        <f t="shared" si="46"/>
        <v>0</v>
      </c>
      <c r="N99" s="165">
        <v>425997200</v>
      </c>
      <c r="O99" s="165">
        <f t="shared" si="47"/>
        <v>106051827</v>
      </c>
      <c r="P99" s="165">
        <f t="shared" si="48"/>
        <v>9692800</v>
      </c>
      <c r="Q99" s="165">
        <f t="shared" si="49"/>
        <v>319945373</v>
      </c>
      <c r="V99" s="149">
        <v>9692800</v>
      </c>
      <c r="X99" s="167"/>
      <c r="Y99" s="168"/>
      <c r="AA99" s="165"/>
      <c r="AC99" s="165"/>
      <c r="AE99" s="165"/>
    </row>
    <row r="100" spans="1:31" s="100" customFormat="1" ht="30" hidden="1" x14ac:dyDescent="0.25">
      <c r="A100" s="157">
        <v>2121143</v>
      </c>
      <c r="B100" s="158" t="s">
        <v>39</v>
      </c>
      <c r="C100" s="159">
        <f>+C101</f>
        <v>78190348</v>
      </c>
      <c r="D100" s="159">
        <f t="shared" ref="D100:N101" si="60">+D101</f>
        <v>25000000</v>
      </c>
      <c r="E100" s="159">
        <f t="shared" si="60"/>
        <v>0</v>
      </c>
      <c r="F100" s="159">
        <f t="shared" si="60"/>
        <v>0</v>
      </c>
      <c r="G100" s="159">
        <f t="shared" si="60"/>
        <v>103190348</v>
      </c>
      <c r="H100" s="159">
        <f t="shared" si="60"/>
        <v>0</v>
      </c>
      <c r="I100" s="159">
        <f t="shared" si="60"/>
        <v>0</v>
      </c>
      <c r="J100" s="159">
        <f t="shared" si="45"/>
        <v>103190348</v>
      </c>
      <c r="K100" s="159">
        <f t="shared" si="60"/>
        <v>0</v>
      </c>
      <c r="L100" s="159">
        <f t="shared" si="60"/>
        <v>0</v>
      </c>
      <c r="M100" s="159">
        <f t="shared" si="46"/>
        <v>0</v>
      </c>
      <c r="N100" s="159">
        <f t="shared" si="60"/>
        <v>0</v>
      </c>
      <c r="O100" s="159">
        <f t="shared" si="47"/>
        <v>0</v>
      </c>
      <c r="P100" s="159">
        <f t="shared" si="48"/>
        <v>103190348</v>
      </c>
      <c r="Q100" s="159">
        <f t="shared" si="49"/>
        <v>0</v>
      </c>
      <c r="V100" s="149">
        <v>103190348</v>
      </c>
      <c r="X100" s="167"/>
      <c r="Y100" s="168"/>
      <c r="AA100" s="159"/>
      <c r="AC100" s="159"/>
      <c r="AE100" s="159"/>
    </row>
    <row r="101" spans="1:31" s="100" customFormat="1" ht="30" hidden="1" x14ac:dyDescent="0.25">
      <c r="A101" s="157">
        <v>21211436</v>
      </c>
      <c r="B101" s="158" t="s">
        <v>40</v>
      </c>
      <c r="C101" s="159">
        <f>+C102</f>
        <v>78190348</v>
      </c>
      <c r="D101" s="159">
        <f t="shared" si="60"/>
        <v>25000000</v>
      </c>
      <c r="E101" s="159">
        <f t="shared" si="60"/>
        <v>0</v>
      </c>
      <c r="F101" s="159">
        <f t="shared" si="60"/>
        <v>0</v>
      </c>
      <c r="G101" s="159">
        <f t="shared" si="60"/>
        <v>103190348</v>
      </c>
      <c r="H101" s="159">
        <f t="shared" si="60"/>
        <v>0</v>
      </c>
      <c r="I101" s="159">
        <f t="shared" si="60"/>
        <v>0</v>
      </c>
      <c r="J101" s="159">
        <f t="shared" si="45"/>
        <v>103190348</v>
      </c>
      <c r="K101" s="159">
        <f t="shared" si="60"/>
        <v>0</v>
      </c>
      <c r="L101" s="159">
        <f t="shared" si="60"/>
        <v>0</v>
      </c>
      <c r="M101" s="159">
        <f t="shared" si="46"/>
        <v>0</v>
      </c>
      <c r="N101" s="159">
        <f t="shared" si="60"/>
        <v>0</v>
      </c>
      <c r="O101" s="159">
        <f t="shared" si="47"/>
        <v>0</v>
      </c>
      <c r="P101" s="159">
        <f t="shared" si="48"/>
        <v>103190348</v>
      </c>
      <c r="Q101" s="159">
        <f t="shared" si="49"/>
        <v>0</v>
      </c>
      <c r="V101" s="149">
        <v>103190348</v>
      </c>
      <c r="X101" s="167"/>
      <c r="Y101" s="168"/>
      <c r="AA101" s="159"/>
      <c r="AC101" s="159"/>
      <c r="AE101" s="159"/>
    </row>
    <row r="102" spans="1:31" s="100" customFormat="1" hidden="1" x14ac:dyDescent="0.25">
      <c r="A102" s="160">
        <v>212114361</v>
      </c>
      <c r="B102" s="161" t="s">
        <v>41</v>
      </c>
      <c r="C102" s="162">
        <f>+C103+C104+C105</f>
        <v>78190348</v>
      </c>
      <c r="D102" s="162">
        <f t="shared" ref="D102:N102" si="61">+D103+D104+D105</f>
        <v>25000000</v>
      </c>
      <c r="E102" s="162">
        <f t="shared" si="61"/>
        <v>0</v>
      </c>
      <c r="F102" s="162">
        <f t="shared" si="61"/>
        <v>0</v>
      </c>
      <c r="G102" s="162">
        <f t="shared" si="61"/>
        <v>103190348</v>
      </c>
      <c r="H102" s="162">
        <f t="shared" si="61"/>
        <v>0</v>
      </c>
      <c r="I102" s="162">
        <f t="shared" si="61"/>
        <v>0</v>
      </c>
      <c r="J102" s="162">
        <f t="shared" si="45"/>
        <v>103190348</v>
      </c>
      <c r="K102" s="162">
        <f t="shared" si="61"/>
        <v>0</v>
      </c>
      <c r="L102" s="162">
        <f t="shared" si="61"/>
        <v>0</v>
      </c>
      <c r="M102" s="162">
        <f t="shared" si="46"/>
        <v>0</v>
      </c>
      <c r="N102" s="162">
        <f t="shared" si="61"/>
        <v>0</v>
      </c>
      <c r="O102" s="162">
        <f t="shared" si="47"/>
        <v>0</v>
      </c>
      <c r="P102" s="162">
        <f t="shared" si="48"/>
        <v>103190348</v>
      </c>
      <c r="Q102" s="162">
        <f t="shared" si="49"/>
        <v>0</v>
      </c>
      <c r="V102" s="149">
        <v>103190348</v>
      </c>
      <c r="X102" s="167"/>
      <c r="Y102" s="168"/>
      <c r="AA102" s="162"/>
      <c r="AC102" s="162"/>
      <c r="AE102" s="162"/>
    </row>
    <row r="103" spans="1:31" hidden="1" x14ac:dyDescent="0.25">
      <c r="A103" s="163">
        <v>2121143611</v>
      </c>
      <c r="B103" s="164" t="s">
        <v>550</v>
      </c>
      <c r="C103" s="165">
        <v>15000000</v>
      </c>
      <c r="D103" s="165">
        <v>10000000</v>
      </c>
      <c r="E103" s="165">
        <v>0</v>
      </c>
      <c r="F103" s="165">
        <v>0</v>
      </c>
      <c r="G103" s="165">
        <f t="shared" si="53"/>
        <v>25000000</v>
      </c>
      <c r="H103" s="165">
        <v>0</v>
      </c>
      <c r="I103" s="165">
        <v>0</v>
      </c>
      <c r="J103" s="165">
        <f t="shared" si="45"/>
        <v>25000000</v>
      </c>
      <c r="K103" s="165">
        <v>0</v>
      </c>
      <c r="L103" s="165">
        <v>0</v>
      </c>
      <c r="M103" s="165">
        <f t="shared" si="46"/>
        <v>0</v>
      </c>
      <c r="N103" s="165">
        <v>0</v>
      </c>
      <c r="O103" s="165">
        <f t="shared" si="47"/>
        <v>0</v>
      </c>
      <c r="P103" s="165">
        <f t="shared" si="48"/>
        <v>25000000</v>
      </c>
      <c r="Q103" s="165">
        <f t="shared" si="49"/>
        <v>0</v>
      </c>
      <c r="V103" s="149">
        <v>25000000</v>
      </c>
      <c r="X103" s="167"/>
      <c r="Y103" s="168"/>
      <c r="AA103" s="165"/>
      <c r="AC103" s="165"/>
      <c r="AE103" s="165"/>
    </row>
    <row r="104" spans="1:31" hidden="1" x14ac:dyDescent="0.25">
      <c r="A104" s="163">
        <v>2121143612</v>
      </c>
      <c r="B104" s="164" t="s">
        <v>551</v>
      </c>
      <c r="C104" s="165">
        <v>43190348</v>
      </c>
      <c r="D104" s="165">
        <v>15000000</v>
      </c>
      <c r="E104" s="165">
        <v>0</v>
      </c>
      <c r="F104" s="165">
        <v>0</v>
      </c>
      <c r="G104" s="165">
        <f t="shared" si="53"/>
        <v>58190348</v>
      </c>
      <c r="H104" s="165">
        <v>0</v>
      </c>
      <c r="I104" s="165">
        <v>0</v>
      </c>
      <c r="J104" s="165">
        <f t="shared" si="45"/>
        <v>58190348</v>
      </c>
      <c r="K104" s="165">
        <v>0</v>
      </c>
      <c r="L104" s="165">
        <v>0</v>
      </c>
      <c r="M104" s="165">
        <f t="shared" si="46"/>
        <v>0</v>
      </c>
      <c r="N104" s="165">
        <v>0</v>
      </c>
      <c r="O104" s="165">
        <f t="shared" si="47"/>
        <v>0</v>
      </c>
      <c r="P104" s="165">
        <f t="shared" si="48"/>
        <v>58190348</v>
      </c>
      <c r="Q104" s="165">
        <f t="shared" si="49"/>
        <v>0</v>
      </c>
      <c r="V104" s="149">
        <v>58190348</v>
      </c>
      <c r="X104" s="167"/>
      <c r="Y104" s="168"/>
      <c r="AA104" s="165"/>
      <c r="AC104" s="165"/>
      <c r="AE104" s="165"/>
    </row>
    <row r="105" spans="1:31" hidden="1" x14ac:dyDescent="0.25">
      <c r="A105" s="163">
        <v>2121143614</v>
      </c>
      <c r="B105" s="164" t="s">
        <v>552</v>
      </c>
      <c r="C105" s="165">
        <v>20000000</v>
      </c>
      <c r="D105" s="165">
        <v>0</v>
      </c>
      <c r="E105" s="165">
        <v>0</v>
      </c>
      <c r="F105" s="165">
        <v>0</v>
      </c>
      <c r="G105" s="165">
        <f t="shared" si="53"/>
        <v>20000000</v>
      </c>
      <c r="H105" s="165">
        <v>0</v>
      </c>
      <c r="I105" s="165">
        <v>0</v>
      </c>
      <c r="J105" s="165">
        <f t="shared" si="45"/>
        <v>20000000</v>
      </c>
      <c r="K105" s="165">
        <v>0</v>
      </c>
      <c r="L105" s="165">
        <v>0</v>
      </c>
      <c r="M105" s="165">
        <f t="shared" si="46"/>
        <v>0</v>
      </c>
      <c r="N105" s="165">
        <v>0</v>
      </c>
      <c r="O105" s="165">
        <f t="shared" si="47"/>
        <v>0</v>
      </c>
      <c r="P105" s="165">
        <f t="shared" si="48"/>
        <v>20000000</v>
      </c>
      <c r="Q105" s="165">
        <f t="shared" si="49"/>
        <v>0</v>
      </c>
      <c r="V105" s="149">
        <v>20000000</v>
      </c>
      <c r="X105" s="167"/>
      <c r="Y105" s="168"/>
      <c r="AA105" s="165"/>
      <c r="AC105" s="165"/>
      <c r="AE105" s="165"/>
    </row>
    <row r="106" spans="1:31" s="100" customFormat="1" hidden="1" x14ac:dyDescent="0.25">
      <c r="A106" s="160">
        <v>21213</v>
      </c>
      <c r="B106" s="161" t="s">
        <v>42</v>
      </c>
      <c r="C106" s="162">
        <f>+C107</f>
        <v>20000000</v>
      </c>
      <c r="D106" s="162">
        <f t="shared" ref="D106:N106" si="62">+D107</f>
        <v>0</v>
      </c>
      <c r="E106" s="162">
        <f t="shared" si="62"/>
        <v>20000000</v>
      </c>
      <c r="F106" s="162">
        <f t="shared" si="62"/>
        <v>0</v>
      </c>
      <c r="G106" s="162">
        <f t="shared" si="62"/>
        <v>0</v>
      </c>
      <c r="H106" s="162">
        <f t="shared" si="62"/>
        <v>0</v>
      </c>
      <c r="I106" s="162">
        <f t="shared" si="62"/>
        <v>0</v>
      </c>
      <c r="J106" s="162">
        <f t="shared" si="45"/>
        <v>0</v>
      </c>
      <c r="K106" s="162">
        <f t="shared" si="62"/>
        <v>0</v>
      </c>
      <c r="L106" s="162">
        <f t="shared" si="62"/>
        <v>0</v>
      </c>
      <c r="M106" s="162">
        <f t="shared" si="46"/>
        <v>0</v>
      </c>
      <c r="N106" s="162">
        <f t="shared" si="62"/>
        <v>0</v>
      </c>
      <c r="O106" s="162">
        <f t="shared" si="47"/>
        <v>0</v>
      </c>
      <c r="P106" s="162">
        <f t="shared" si="48"/>
        <v>0</v>
      </c>
      <c r="Q106" s="162">
        <f t="shared" si="49"/>
        <v>0</v>
      </c>
      <c r="V106" s="149">
        <v>0</v>
      </c>
      <c r="X106" s="167"/>
      <c r="Y106" s="168"/>
      <c r="AA106" s="162"/>
      <c r="AC106" s="162"/>
      <c r="AE106" s="162"/>
    </row>
    <row r="107" spans="1:31" hidden="1" x14ac:dyDescent="0.25">
      <c r="A107" s="163">
        <v>212131</v>
      </c>
      <c r="B107" s="164" t="s">
        <v>553</v>
      </c>
      <c r="C107" s="165">
        <v>20000000</v>
      </c>
      <c r="D107" s="165">
        <v>0</v>
      </c>
      <c r="E107" s="165">
        <v>20000000</v>
      </c>
      <c r="F107" s="165">
        <v>0</v>
      </c>
      <c r="G107" s="165">
        <f t="shared" si="53"/>
        <v>0</v>
      </c>
      <c r="H107" s="165">
        <v>0</v>
      </c>
      <c r="I107" s="165">
        <v>0</v>
      </c>
      <c r="J107" s="165">
        <f t="shared" si="45"/>
        <v>0</v>
      </c>
      <c r="K107" s="165">
        <v>0</v>
      </c>
      <c r="L107" s="165">
        <v>0</v>
      </c>
      <c r="M107" s="165">
        <f t="shared" si="46"/>
        <v>0</v>
      </c>
      <c r="N107" s="165">
        <v>0</v>
      </c>
      <c r="O107" s="165">
        <f t="shared" si="47"/>
        <v>0</v>
      </c>
      <c r="P107" s="165">
        <f t="shared" si="48"/>
        <v>0</v>
      </c>
      <c r="Q107" s="165">
        <f t="shared" si="49"/>
        <v>0</v>
      </c>
      <c r="V107" s="149">
        <v>0</v>
      </c>
      <c r="X107" s="167"/>
      <c r="Y107" s="168"/>
      <c r="AA107" s="165"/>
      <c r="AC107" s="165"/>
      <c r="AE107" s="165"/>
    </row>
    <row r="108" spans="1:31" s="100" customFormat="1" hidden="1" x14ac:dyDescent="0.25">
      <c r="A108" s="157">
        <v>2122</v>
      </c>
      <c r="B108" s="158" t="s">
        <v>43</v>
      </c>
      <c r="C108" s="159">
        <f>+C109+C162</f>
        <v>8203837425</v>
      </c>
      <c r="D108" s="159">
        <f t="shared" ref="D108:N108" si="63">+D109+D162</f>
        <v>2232713991</v>
      </c>
      <c r="E108" s="159">
        <f t="shared" si="63"/>
        <v>569712351</v>
      </c>
      <c r="F108" s="159">
        <f t="shared" si="63"/>
        <v>1405015764</v>
      </c>
      <c r="G108" s="159">
        <f t="shared" si="63"/>
        <v>11272054829</v>
      </c>
      <c r="H108" s="159">
        <f t="shared" si="63"/>
        <v>541286118.01999998</v>
      </c>
      <c r="I108" s="159">
        <f t="shared" si="63"/>
        <v>7055447966.9200001</v>
      </c>
      <c r="J108" s="159">
        <f t="shared" si="45"/>
        <v>4216606862.0799999</v>
      </c>
      <c r="K108" s="159">
        <f t="shared" si="63"/>
        <v>676588078.18999994</v>
      </c>
      <c r="L108" s="159">
        <f t="shared" si="63"/>
        <v>3968027109.4099998</v>
      </c>
      <c r="M108" s="159">
        <f t="shared" si="46"/>
        <v>3087420857.5100002</v>
      </c>
      <c r="N108" s="159">
        <f t="shared" si="63"/>
        <v>8658110473.9099998</v>
      </c>
      <c r="O108" s="159">
        <f t="shared" si="47"/>
        <v>1602662506.9899998</v>
      </c>
      <c r="P108" s="159">
        <f t="shared" si="48"/>
        <v>2613944355.0900002</v>
      </c>
      <c r="Q108" s="159">
        <f t="shared" si="49"/>
        <v>3968027109.4099998</v>
      </c>
      <c r="V108" s="149">
        <v>2613744355.0900002</v>
      </c>
      <c r="X108" s="167"/>
      <c r="Y108" s="168"/>
      <c r="AA108" s="159"/>
      <c r="AC108" s="159"/>
      <c r="AE108" s="159"/>
    </row>
    <row r="109" spans="1:31" s="100" customFormat="1" hidden="1" x14ac:dyDescent="0.25">
      <c r="A109" s="157">
        <v>21221</v>
      </c>
      <c r="B109" s="158" t="s">
        <v>44</v>
      </c>
      <c r="C109" s="159">
        <f>+C110+C126+C130+C137</f>
        <v>2086537425</v>
      </c>
      <c r="D109" s="159">
        <f t="shared" ref="D109:N109" si="64">+D110+D126+D130+D137</f>
        <v>171200000</v>
      </c>
      <c r="E109" s="159">
        <f t="shared" si="64"/>
        <v>200400000</v>
      </c>
      <c r="F109" s="159">
        <f t="shared" si="64"/>
        <v>150000000</v>
      </c>
      <c r="G109" s="159">
        <f t="shared" si="64"/>
        <v>2207337425</v>
      </c>
      <c r="H109" s="159">
        <f t="shared" si="64"/>
        <v>69164402.010000005</v>
      </c>
      <c r="I109" s="159">
        <f t="shared" si="64"/>
        <v>761755798.00999999</v>
      </c>
      <c r="J109" s="159">
        <f t="shared" si="45"/>
        <v>1445581626.99</v>
      </c>
      <c r="K109" s="159">
        <f t="shared" si="64"/>
        <v>94219042</v>
      </c>
      <c r="L109" s="159">
        <f t="shared" si="64"/>
        <v>703986493</v>
      </c>
      <c r="M109" s="159">
        <f t="shared" si="46"/>
        <v>57769305.00999999</v>
      </c>
      <c r="N109" s="159">
        <f t="shared" si="64"/>
        <v>1184507499.01</v>
      </c>
      <c r="O109" s="159">
        <f t="shared" si="47"/>
        <v>422751701</v>
      </c>
      <c r="P109" s="159">
        <f t="shared" si="48"/>
        <v>1022829925.99</v>
      </c>
      <c r="Q109" s="159">
        <f t="shared" si="49"/>
        <v>703986493</v>
      </c>
      <c r="V109" s="149">
        <v>1022829925.99</v>
      </c>
      <c r="X109" s="167"/>
      <c r="Y109" s="168"/>
      <c r="AA109" s="159"/>
      <c r="AC109" s="159"/>
      <c r="AE109" s="159"/>
    </row>
    <row r="110" spans="1:31" s="100" customFormat="1" ht="30" hidden="1" x14ac:dyDescent="0.25">
      <c r="A110" s="157">
        <v>212210</v>
      </c>
      <c r="B110" s="158" t="s">
        <v>45</v>
      </c>
      <c r="C110" s="159">
        <f>+C111</f>
        <v>285400000</v>
      </c>
      <c r="D110" s="159">
        <f t="shared" ref="D110:N110" si="65">+D111</f>
        <v>0</v>
      </c>
      <c r="E110" s="159">
        <f t="shared" si="65"/>
        <v>200400000</v>
      </c>
      <c r="F110" s="159">
        <f t="shared" si="65"/>
        <v>10000000</v>
      </c>
      <c r="G110" s="159">
        <f t="shared" si="65"/>
        <v>95000000</v>
      </c>
      <c r="H110" s="159">
        <f t="shared" si="65"/>
        <v>0</v>
      </c>
      <c r="I110" s="159">
        <f t="shared" si="65"/>
        <v>39997885</v>
      </c>
      <c r="J110" s="159">
        <f t="shared" si="45"/>
        <v>55002115</v>
      </c>
      <c r="K110" s="159">
        <f t="shared" si="65"/>
        <v>0</v>
      </c>
      <c r="L110" s="159">
        <f t="shared" si="65"/>
        <v>39997885</v>
      </c>
      <c r="M110" s="159">
        <f t="shared" si="46"/>
        <v>0</v>
      </c>
      <c r="N110" s="159">
        <f t="shared" si="65"/>
        <v>95000000</v>
      </c>
      <c r="O110" s="159">
        <f t="shared" si="47"/>
        <v>55002115</v>
      </c>
      <c r="P110" s="159">
        <f t="shared" si="48"/>
        <v>0</v>
      </c>
      <c r="Q110" s="159">
        <f t="shared" si="49"/>
        <v>39997885</v>
      </c>
      <c r="V110" s="149">
        <v>0</v>
      </c>
      <c r="X110" s="167"/>
      <c r="Y110" s="168"/>
      <c r="AA110" s="159"/>
      <c r="AC110" s="159"/>
      <c r="AE110" s="159"/>
    </row>
    <row r="111" spans="1:31" s="100" customFormat="1" ht="30" hidden="1" x14ac:dyDescent="0.25">
      <c r="A111" s="160">
        <v>2122101</v>
      </c>
      <c r="B111" s="161" t="s">
        <v>46</v>
      </c>
      <c r="C111" s="162">
        <f>SUM(C112:C117)</f>
        <v>285400000</v>
      </c>
      <c r="D111" s="162">
        <f t="shared" ref="D111:N111" si="66">SUM(D112:D117)</f>
        <v>0</v>
      </c>
      <c r="E111" s="162">
        <f t="shared" si="66"/>
        <v>200400000</v>
      </c>
      <c r="F111" s="162">
        <f t="shared" si="66"/>
        <v>10000000</v>
      </c>
      <c r="G111" s="162">
        <f t="shared" si="66"/>
        <v>95000000</v>
      </c>
      <c r="H111" s="162">
        <f t="shared" si="66"/>
        <v>0</v>
      </c>
      <c r="I111" s="162">
        <f t="shared" si="66"/>
        <v>39997885</v>
      </c>
      <c r="J111" s="162">
        <f t="shared" si="45"/>
        <v>55002115</v>
      </c>
      <c r="K111" s="162">
        <f t="shared" si="66"/>
        <v>0</v>
      </c>
      <c r="L111" s="162">
        <f t="shared" si="66"/>
        <v>39997885</v>
      </c>
      <c r="M111" s="162">
        <f t="shared" si="46"/>
        <v>0</v>
      </c>
      <c r="N111" s="162">
        <f t="shared" si="66"/>
        <v>95000000</v>
      </c>
      <c r="O111" s="162">
        <f t="shared" si="47"/>
        <v>55002115</v>
      </c>
      <c r="P111" s="162">
        <f t="shared" si="48"/>
        <v>0</v>
      </c>
      <c r="Q111" s="162">
        <f t="shared" si="49"/>
        <v>39997885</v>
      </c>
      <c r="V111" s="149">
        <v>0</v>
      </c>
      <c r="X111" s="167"/>
      <c r="Y111" s="168"/>
      <c r="AA111" s="162"/>
      <c r="AC111" s="162"/>
      <c r="AE111" s="162"/>
    </row>
    <row r="112" spans="1:31" hidden="1" x14ac:dyDescent="0.25">
      <c r="A112" s="163">
        <v>21221011</v>
      </c>
      <c r="B112" s="164" t="s">
        <v>554</v>
      </c>
      <c r="C112" s="165">
        <v>130000000</v>
      </c>
      <c r="D112" s="165">
        <v>0</v>
      </c>
      <c r="E112" s="165">
        <v>60000000</v>
      </c>
      <c r="F112" s="165">
        <v>0</v>
      </c>
      <c r="G112" s="165">
        <f t="shared" si="53"/>
        <v>70000000</v>
      </c>
      <c r="H112" s="165">
        <v>0</v>
      </c>
      <c r="I112" s="165">
        <v>39997885</v>
      </c>
      <c r="J112" s="165">
        <f t="shared" si="45"/>
        <v>30002115</v>
      </c>
      <c r="K112" s="165">
        <v>0</v>
      </c>
      <c r="L112" s="165">
        <v>39997885</v>
      </c>
      <c r="M112" s="165">
        <f t="shared" si="46"/>
        <v>0</v>
      </c>
      <c r="N112" s="165">
        <v>70000000</v>
      </c>
      <c r="O112" s="165">
        <f t="shared" si="47"/>
        <v>30002115</v>
      </c>
      <c r="P112" s="165">
        <f t="shared" si="48"/>
        <v>0</v>
      </c>
      <c r="Q112" s="165">
        <f t="shared" si="49"/>
        <v>39997885</v>
      </c>
      <c r="V112" s="149">
        <v>0</v>
      </c>
      <c r="X112" s="167"/>
      <c r="Y112" s="168"/>
      <c r="AA112" s="165"/>
      <c r="AC112" s="165"/>
      <c r="AE112" s="165"/>
    </row>
    <row r="113" spans="1:31" hidden="1" x14ac:dyDescent="0.25">
      <c r="A113" s="163">
        <v>21221012</v>
      </c>
      <c r="B113" s="164" t="s">
        <v>555</v>
      </c>
      <c r="C113" s="165">
        <v>200000</v>
      </c>
      <c r="D113" s="165">
        <v>0</v>
      </c>
      <c r="E113" s="165">
        <v>200000</v>
      </c>
      <c r="F113" s="165">
        <v>0</v>
      </c>
      <c r="G113" s="165">
        <f t="shared" si="53"/>
        <v>0</v>
      </c>
      <c r="H113" s="165">
        <v>0</v>
      </c>
      <c r="I113" s="165">
        <v>0</v>
      </c>
      <c r="J113" s="165">
        <f t="shared" si="45"/>
        <v>0</v>
      </c>
      <c r="K113" s="165">
        <v>0</v>
      </c>
      <c r="L113" s="165">
        <v>0</v>
      </c>
      <c r="M113" s="165">
        <f t="shared" si="46"/>
        <v>0</v>
      </c>
      <c r="N113" s="165">
        <v>0</v>
      </c>
      <c r="O113" s="165">
        <f t="shared" si="47"/>
        <v>0</v>
      </c>
      <c r="P113" s="165">
        <f t="shared" si="48"/>
        <v>0</v>
      </c>
      <c r="Q113" s="165">
        <f t="shared" si="49"/>
        <v>0</v>
      </c>
      <c r="V113" s="149">
        <v>0</v>
      </c>
      <c r="X113" s="167"/>
      <c r="Y113" s="168"/>
      <c r="AA113" s="165"/>
      <c r="AC113" s="165"/>
      <c r="AE113" s="165"/>
    </row>
    <row r="114" spans="1:31" hidden="1" x14ac:dyDescent="0.25">
      <c r="A114" s="163">
        <v>21221013</v>
      </c>
      <c r="B114" s="164" t="s">
        <v>556</v>
      </c>
      <c r="C114" s="165">
        <v>200000</v>
      </c>
      <c r="D114" s="165">
        <v>0</v>
      </c>
      <c r="E114" s="165">
        <v>200000</v>
      </c>
      <c r="F114" s="165">
        <v>0</v>
      </c>
      <c r="G114" s="165">
        <f t="shared" si="53"/>
        <v>0</v>
      </c>
      <c r="H114" s="165">
        <v>0</v>
      </c>
      <c r="I114" s="165">
        <v>0</v>
      </c>
      <c r="J114" s="165">
        <f t="shared" si="45"/>
        <v>0</v>
      </c>
      <c r="K114" s="165">
        <v>0</v>
      </c>
      <c r="L114" s="165">
        <v>0</v>
      </c>
      <c r="M114" s="165">
        <f t="shared" si="46"/>
        <v>0</v>
      </c>
      <c r="N114" s="165">
        <v>0</v>
      </c>
      <c r="O114" s="165">
        <f t="shared" si="47"/>
        <v>0</v>
      </c>
      <c r="P114" s="165">
        <f t="shared" si="48"/>
        <v>0</v>
      </c>
      <c r="Q114" s="165">
        <f t="shared" si="49"/>
        <v>0</v>
      </c>
      <c r="V114" s="149">
        <v>0</v>
      </c>
      <c r="X114" s="167"/>
      <c r="Y114" s="168"/>
      <c r="AA114" s="165"/>
      <c r="AC114" s="165"/>
      <c r="AE114" s="165"/>
    </row>
    <row r="115" spans="1:31" hidden="1" x14ac:dyDescent="0.25">
      <c r="A115" s="163">
        <v>21221014</v>
      </c>
      <c r="B115" s="164" t="s">
        <v>50</v>
      </c>
      <c r="C115" s="165">
        <v>7000000</v>
      </c>
      <c r="D115" s="165">
        <v>0</v>
      </c>
      <c r="E115" s="165">
        <v>0</v>
      </c>
      <c r="F115" s="165">
        <v>0</v>
      </c>
      <c r="G115" s="165">
        <f t="shared" si="53"/>
        <v>7000000</v>
      </c>
      <c r="H115" s="165">
        <v>0</v>
      </c>
      <c r="I115" s="165">
        <v>0</v>
      </c>
      <c r="J115" s="165">
        <f t="shared" si="45"/>
        <v>7000000</v>
      </c>
      <c r="K115" s="165">
        <v>0</v>
      </c>
      <c r="L115" s="165">
        <v>0</v>
      </c>
      <c r="M115" s="165">
        <f t="shared" si="46"/>
        <v>0</v>
      </c>
      <c r="N115" s="165">
        <v>7000000</v>
      </c>
      <c r="O115" s="165">
        <f t="shared" si="47"/>
        <v>7000000</v>
      </c>
      <c r="P115" s="165">
        <f t="shared" si="48"/>
        <v>0</v>
      </c>
      <c r="Q115" s="165">
        <f t="shared" si="49"/>
        <v>0</v>
      </c>
      <c r="V115" s="149">
        <v>0</v>
      </c>
      <c r="X115" s="167"/>
      <c r="Y115" s="168"/>
      <c r="AA115" s="165"/>
      <c r="AC115" s="165"/>
      <c r="AE115" s="165"/>
    </row>
    <row r="116" spans="1:31" ht="30" hidden="1" x14ac:dyDescent="0.25">
      <c r="A116" s="163">
        <v>21221015</v>
      </c>
      <c r="B116" s="164" t="s">
        <v>637</v>
      </c>
      <c r="C116" s="165">
        <v>1200000</v>
      </c>
      <c r="D116" s="165">
        <v>0</v>
      </c>
      <c r="E116" s="165">
        <v>1200000</v>
      </c>
      <c r="F116" s="165">
        <v>10000000</v>
      </c>
      <c r="G116" s="165">
        <f t="shared" si="53"/>
        <v>10000000</v>
      </c>
      <c r="H116" s="165">
        <v>0</v>
      </c>
      <c r="I116" s="165">
        <v>0</v>
      </c>
      <c r="J116" s="165">
        <f t="shared" si="45"/>
        <v>10000000</v>
      </c>
      <c r="K116" s="165">
        <v>0</v>
      </c>
      <c r="L116" s="165">
        <v>0</v>
      </c>
      <c r="M116" s="165">
        <f t="shared" si="46"/>
        <v>0</v>
      </c>
      <c r="N116" s="165">
        <v>10000000</v>
      </c>
      <c r="O116" s="165">
        <f t="shared" si="47"/>
        <v>10000000</v>
      </c>
      <c r="P116" s="165">
        <f t="shared" si="48"/>
        <v>0</v>
      </c>
      <c r="Q116" s="165">
        <f t="shared" si="49"/>
        <v>0</v>
      </c>
      <c r="V116" s="149">
        <v>0</v>
      </c>
      <c r="X116" s="167"/>
      <c r="Y116" s="168"/>
      <c r="AA116" s="165"/>
      <c r="AC116" s="165"/>
      <c r="AE116" s="165"/>
    </row>
    <row r="117" spans="1:31" s="100" customFormat="1" ht="30" hidden="1" x14ac:dyDescent="0.25">
      <c r="A117" s="160">
        <v>21221016</v>
      </c>
      <c r="B117" s="161" t="s">
        <v>52</v>
      </c>
      <c r="C117" s="162">
        <f>SUM(C118:C125)</f>
        <v>146800000</v>
      </c>
      <c r="D117" s="162">
        <f t="shared" ref="D117:N117" si="67">SUM(D118:D125)</f>
        <v>0</v>
      </c>
      <c r="E117" s="162">
        <f t="shared" si="67"/>
        <v>138800000</v>
      </c>
      <c r="F117" s="162">
        <f t="shared" si="67"/>
        <v>0</v>
      </c>
      <c r="G117" s="162">
        <f t="shared" si="67"/>
        <v>8000000</v>
      </c>
      <c r="H117" s="162">
        <f t="shared" si="67"/>
        <v>0</v>
      </c>
      <c r="I117" s="162">
        <f t="shared" si="67"/>
        <v>0</v>
      </c>
      <c r="J117" s="162">
        <f t="shared" si="45"/>
        <v>8000000</v>
      </c>
      <c r="K117" s="162">
        <f t="shared" si="67"/>
        <v>0</v>
      </c>
      <c r="L117" s="162">
        <f t="shared" si="67"/>
        <v>0</v>
      </c>
      <c r="M117" s="162">
        <f t="shared" si="46"/>
        <v>0</v>
      </c>
      <c r="N117" s="162">
        <f t="shared" si="67"/>
        <v>8000000</v>
      </c>
      <c r="O117" s="162">
        <f t="shared" si="47"/>
        <v>8000000</v>
      </c>
      <c r="P117" s="162">
        <f t="shared" si="48"/>
        <v>0</v>
      </c>
      <c r="Q117" s="162">
        <f t="shared" si="49"/>
        <v>0</v>
      </c>
      <c r="V117" s="149">
        <v>0</v>
      </c>
      <c r="X117" s="167"/>
      <c r="Y117" s="168"/>
      <c r="AA117" s="162"/>
      <c r="AC117" s="162"/>
      <c r="AE117" s="162"/>
    </row>
    <row r="118" spans="1:31" hidden="1" x14ac:dyDescent="0.25">
      <c r="A118" s="163">
        <v>212210161</v>
      </c>
      <c r="B118" s="164" t="s">
        <v>557</v>
      </c>
      <c r="C118" s="165">
        <v>50000000</v>
      </c>
      <c r="D118" s="165">
        <v>0</v>
      </c>
      <c r="E118" s="165">
        <v>42000000</v>
      </c>
      <c r="F118" s="165">
        <v>0</v>
      </c>
      <c r="G118" s="165">
        <f t="shared" si="53"/>
        <v>8000000</v>
      </c>
      <c r="H118" s="165">
        <v>0</v>
      </c>
      <c r="I118" s="165">
        <v>0</v>
      </c>
      <c r="J118" s="165">
        <f t="shared" si="45"/>
        <v>8000000</v>
      </c>
      <c r="K118" s="165">
        <v>0</v>
      </c>
      <c r="L118" s="165">
        <v>0</v>
      </c>
      <c r="M118" s="165">
        <f t="shared" si="46"/>
        <v>0</v>
      </c>
      <c r="N118" s="165">
        <v>8000000</v>
      </c>
      <c r="O118" s="165">
        <f t="shared" si="47"/>
        <v>8000000</v>
      </c>
      <c r="P118" s="165">
        <f t="shared" si="48"/>
        <v>0</v>
      </c>
      <c r="Q118" s="165">
        <f t="shared" si="49"/>
        <v>0</v>
      </c>
      <c r="V118" s="149">
        <v>0</v>
      </c>
      <c r="X118" s="167"/>
      <c r="Y118" s="168"/>
      <c r="AA118" s="165"/>
      <c r="AC118" s="165"/>
      <c r="AE118" s="165"/>
    </row>
    <row r="119" spans="1:31" hidden="1" x14ac:dyDescent="0.25">
      <c r="A119" s="163">
        <v>212210162</v>
      </c>
      <c r="B119" s="164" t="s">
        <v>558</v>
      </c>
      <c r="C119" s="165">
        <v>17000000</v>
      </c>
      <c r="D119" s="165">
        <v>0</v>
      </c>
      <c r="E119" s="165">
        <v>17000000</v>
      </c>
      <c r="F119" s="165">
        <v>0</v>
      </c>
      <c r="G119" s="165">
        <f t="shared" si="53"/>
        <v>0</v>
      </c>
      <c r="H119" s="165">
        <v>0</v>
      </c>
      <c r="I119" s="165">
        <v>0</v>
      </c>
      <c r="J119" s="165">
        <f t="shared" si="45"/>
        <v>0</v>
      </c>
      <c r="K119" s="165">
        <v>0</v>
      </c>
      <c r="L119" s="165">
        <v>0</v>
      </c>
      <c r="M119" s="165">
        <f t="shared" si="46"/>
        <v>0</v>
      </c>
      <c r="N119" s="165">
        <v>0</v>
      </c>
      <c r="O119" s="165">
        <f t="shared" si="47"/>
        <v>0</v>
      </c>
      <c r="P119" s="165">
        <f t="shared" si="48"/>
        <v>0</v>
      </c>
      <c r="Q119" s="165">
        <f t="shared" si="49"/>
        <v>0</v>
      </c>
      <c r="V119" s="149">
        <v>0</v>
      </c>
      <c r="X119" s="167"/>
      <c r="Y119" s="168"/>
      <c r="AA119" s="165"/>
      <c r="AC119" s="165"/>
      <c r="AE119" s="165"/>
    </row>
    <row r="120" spans="1:31" hidden="1" x14ac:dyDescent="0.25">
      <c r="A120" s="163">
        <v>212210163</v>
      </c>
      <c r="B120" s="164" t="s">
        <v>559</v>
      </c>
      <c r="C120" s="165">
        <v>1200000</v>
      </c>
      <c r="D120" s="165">
        <v>0</v>
      </c>
      <c r="E120" s="165">
        <v>1200000</v>
      </c>
      <c r="F120" s="165">
        <v>0</v>
      </c>
      <c r="G120" s="165">
        <f t="shared" si="53"/>
        <v>0</v>
      </c>
      <c r="H120" s="165">
        <v>0</v>
      </c>
      <c r="I120" s="165">
        <v>0</v>
      </c>
      <c r="J120" s="165">
        <f t="shared" si="45"/>
        <v>0</v>
      </c>
      <c r="K120" s="165">
        <v>0</v>
      </c>
      <c r="L120" s="165">
        <v>0</v>
      </c>
      <c r="M120" s="165">
        <f t="shared" si="46"/>
        <v>0</v>
      </c>
      <c r="N120" s="165">
        <v>0</v>
      </c>
      <c r="O120" s="165">
        <f t="shared" si="47"/>
        <v>0</v>
      </c>
      <c r="P120" s="165">
        <f t="shared" si="48"/>
        <v>0</v>
      </c>
      <c r="Q120" s="165">
        <f t="shared" si="49"/>
        <v>0</v>
      </c>
      <c r="V120" s="149">
        <v>0</v>
      </c>
      <c r="X120" s="167"/>
      <c r="Y120" s="168"/>
      <c r="AA120" s="165"/>
      <c r="AC120" s="165"/>
      <c r="AE120" s="165"/>
    </row>
    <row r="121" spans="1:31" hidden="1" x14ac:dyDescent="0.25">
      <c r="A121" s="163">
        <v>212210164</v>
      </c>
      <c r="B121" s="164" t="s">
        <v>560</v>
      </c>
      <c r="C121" s="165">
        <v>600000</v>
      </c>
      <c r="D121" s="165">
        <v>0</v>
      </c>
      <c r="E121" s="165">
        <v>600000</v>
      </c>
      <c r="F121" s="165">
        <v>0</v>
      </c>
      <c r="G121" s="165">
        <f t="shared" si="53"/>
        <v>0</v>
      </c>
      <c r="H121" s="165">
        <v>0</v>
      </c>
      <c r="I121" s="165">
        <v>0</v>
      </c>
      <c r="J121" s="165">
        <f t="shared" si="45"/>
        <v>0</v>
      </c>
      <c r="K121" s="165">
        <v>0</v>
      </c>
      <c r="L121" s="165">
        <v>0</v>
      </c>
      <c r="M121" s="165">
        <f t="shared" si="46"/>
        <v>0</v>
      </c>
      <c r="N121" s="165">
        <v>0</v>
      </c>
      <c r="O121" s="165">
        <f t="shared" si="47"/>
        <v>0</v>
      </c>
      <c r="P121" s="165">
        <f t="shared" si="48"/>
        <v>0</v>
      </c>
      <c r="Q121" s="165">
        <f t="shared" si="49"/>
        <v>0</v>
      </c>
      <c r="V121" s="149">
        <v>0</v>
      </c>
      <c r="X121" s="167"/>
      <c r="Y121" s="168"/>
      <c r="AA121" s="165"/>
      <c r="AC121" s="165"/>
      <c r="AE121" s="165"/>
    </row>
    <row r="122" spans="1:31" hidden="1" x14ac:dyDescent="0.25">
      <c r="A122" s="163">
        <v>212210165</v>
      </c>
      <c r="B122" s="164" t="s">
        <v>561</v>
      </c>
      <c r="C122" s="165">
        <v>12000000</v>
      </c>
      <c r="D122" s="165">
        <v>0</v>
      </c>
      <c r="E122" s="165">
        <v>12000000</v>
      </c>
      <c r="F122" s="165">
        <v>0</v>
      </c>
      <c r="G122" s="165">
        <f t="shared" si="53"/>
        <v>0</v>
      </c>
      <c r="H122" s="165">
        <v>0</v>
      </c>
      <c r="I122" s="165">
        <v>0</v>
      </c>
      <c r="J122" s="165">
        <f t="shared" si="45"/>
        <v>0</v>
      </c>
      <c r="K122" s="165">
        <v>0</v>
      </c>
      <c r="L122" s="165">
        <v>0</v>
      </c>
      <c r="M122" s="165">
        <f t="shared" si="46"/>
        <v>0</v>
      </c>
      <c r="N122" s="165">
        <v>0</v>
      </c>
      <c r="O122" s="165">
        <f t="shared" si="47"/>
        <v>0</v>
      </c>
      <c r="P122" s="165">
        <f t="shared" si="48"/>
        <v>0</v>
      </c>
      <c r="Q122" s="165">
        <f t="shared" si="49"/>
        <v>0</v>
      </c>
      <c r="V122" s="149">
        <v>0</v>
      </c>
      <c r="X122" s="167"/>
      <c r="Y122" s="168"/>
      <c r="AA122" s="165"/>
      <c r="AC122" s="165"/>
      <c r="AE122" s="165"/>
    </row>
    <row r="123" spans="1:31" hidden="1" x14ac:dyDescent="0.25">
      <c r="A123" s="163">
        <v>212210166</v>
      </c>
      <c r="B123" s="164" t="s">
        <v>562</v>
      </c>
      <c r="C123" s="165">
        <v>30000000</v>
      </c>
      <c r="D123" s="165">
        <v>0</v>
      </c>
      <c r="E123" s="165">
        <v>30000000</v>
      </c>
      <c r="F123" s="165">
        <v>0</v>
      </c>
      <c r="G123" s="165">
        <f t="shared" si="53"/>
        <v>0</v>
      </c>
      <c r="H123" s="165">
        <v>0</v>
      </c>
      <c r="I123" s="165">
        <v>0</v>
      </c>
      <c r="J123" s="165">
        <f t="shared" si="45"/>
        <v>0</v>
      </c>
      <c r="K123" s="165">
        <v>0</v>
      </c>
      <c r="L123" s="165">
        <v>0</v>
      </c>
      <c r="M123" s="165">
        <f t="shared" si="46"/>
        <v>0</v>
      </c>
      <c r="N123" s="165">
        <v>0</v>
      </c>
      <c r="O123" s="165">
        <f t="shared" si="47"/>
        <v>0</v>
      </c>
      <c r="P123" s="165">
        <f t="shared" si="48"/>
        <v>0</v>
      </c>
      <c r="Q123" s="165">
        <f t="shared" si="49"/>
        <v>0</v>
      </c>
      <c r="V123" s="149">
        <v>0</v>
      </c>
      <c r="X123" s="167"/>
      <c r="Y123" s="168"/>
      <c r="AA123" s="165"/>
      <c r="AC123" s="165"/>
      <c r="AE123" s="165"/>
    </row>
    <row r="124" spans="1:31" hidden="1" x14ac:dyDescent="0.25">
      <c r="A124" s="163">
        <v>212210168</v>
      </c>
      <c r="B124" s="164" t="s">
        <v>563</v>
      </c>
      <c r="C124" s="165">
        <v>8000000</v>
      </c>
      <c r="D124" s="165">
        <v>0</v>
      </c>
      <c r="E124" s="165">
        <v>8000000</v>
      </c>
      <c r="F124" s="165">
        <v>0</v>
      </c>
      <c r="G124" s="165">
        <f t="shared" si="53"/>
        <v>0</v>
      </c>
      <c r="H124" s="165">
        <v>0</v>
      </c>
      <c r="I124" s="165">
        <v>0</v>
      </c>
      <c r="J124" s="165">
        <f t="shared" si="45"/>
        <v>0</v>
      </c>
      <c r="K124" s="165">
        <v>0</v>
      </c>
      <c r="L124" s="165">
        <v>0</v>
      </c>
      <c r="M124" s="165">
        <f t="shared" si="46"/>
        <v>0</v>
      </c>
      <c r="N124" s="165">
        <v>0</v>
      </c>
      <c r="O124" s="165">
        <f t="shared" si="47"/>
        <v>0</v>
      </c>
      <c r="P124" s="165">
        <f t="shared" si="48"/>
        <v>0</v>
      </c>
      <c r="Q124" s="165">
        <f t="shared" si="49"/>
        <v>0</v>
      </c>
      <c r="V124" s="149">
        <v>0</v>
      </c>
      <c r="X124" s="167"/>
      <c r="Y124" s="168"/>
      <c r="AA124" s="165"/>
      <c r="AC124" s="165"/>
      <c r="AE124" s="165"/>
    </row>
    <row r="125" spans="1:31" ht="30" hidden="1" x14ac:dyDescent="0.25">
      <c r="A125" s="163">
        <v>212210169</v>
      </c>
      <c r="B125" s="164" t="s">
        <v>564</v>
      </c>
      <c r="C125" s="165">
        <v>28000000</v>
      </c>
      <c r="D125" s="165">
        <v>0</v>
      </c>
      <c r="E125" s="165">
        <v>28000000</v>
      </c>
      <c r="F125" s="165">
        <v>0</v>
      </c>
      <c r="G125" s="165">
        <f t="shared" si="53"/>
        <v>0</v>
      </c>
      <c r="H125" s="165">
        <v>0</v>
      </c>
      <c r="I125" s="165">
        <v>0</v>
      </c>
      <c r="J125" s="165">
        <f t="shared" si="45"/>
        <v>0</v>
      </c>
      <c r="K125" s="165">
        <v>0</v>
      </c>
      <c r="L125" s="165">
        <v>0</v>
      </c>
      <c r="M125" s="165">
        <f t="shared" si="46"/>
        <v>0</v>
      </c>
      <c r="N125" s="165">
        <v>0</v>
      </c>
      <c r="O125" s="165">
        <f t="shared" si="47"/>
        <v>0</v>
      </c>
      <c r="P125" s="165">
        <f t="shared" si="48"/>
        <v>0</v>
      </c>
      <c r="Q125" s="165">
        <f t="shared" si="49"/>
        <v>0</v>
      </c>
      <c r="V125" s="149">
        <v>0</v>
      </c>
      <c r="X125" s="167"/>
      <c r="Y125" s="168"/>
      <c r="AA125" s="165"/>
      <c r="AC125" s="165"/>
      <c r="AE125" s="165"/>
    </row>
    <row r="126" spans="1:31" s="100" customFormat="1" hidden="1" x14ac:dyDescent="0.25">
      <c r="A126" s="157">
        <v>212211</v>
      </c>
      <c r="B126" s="158" t="s">
        <v>61</v>
      </c>
      <c r="C126" s="159">
        <f>+C127</f>
        <v>975426925</v>
      </c>
      <c r="D126" s="159">
        <f t="shared" ref="D126:N126" si="68">+D127</f>
        <v>0</v>
      </c>
      <c r="E126" s="159">
        <f t="shared" si="68"/>
        <v>0</v>
      </c>
      <c r="F126" s="159">
        <f t="shared" si="68"/>
        <v>0</v>
      </c>
      <c r="G126" s="159">
        <f t="shared" si="68"/>
        <v>975426925</v>
      </c>
      <c r="H126" s="159">
        <f t="shared" si="68"/>
        <v>60498996</v>
      </c>
      <c r="I126" s="159">
        <f t="shared" si="68"/>
        <v>552142418</v>
      </c>
      <c r="J126" s="159">
        <f t="shared" si="45"/>
        <v>423284507</v>
      </c>
      <c r="K126" s="159">
        <f t="shared" si="68"/>
        <v>83683366</v>
      </c>
      <c r="L126" s="159">
        <f t="shared" si="68"/>
        <v>543039416</v>
      </c>
      <c r="M126" s="159">
        <f t="shared" si="46"/>
        <v>9103002</v>
      </c>
      <c r="N126" s="159">
        <f t="shared" si="68"/>
        <v>573246475</v>
      </c>
      <c r="O126" s="159">
        <f t="shared" si="47"/>
        <v>21104057</v>
      </c>
      <c r="P126" s="159">
        <f t="shared" si="48"/>
        <v>402180450</v>
      </c>
      <c r="Q126" s="159">
        <f t="shared" si="49"/>
        <v>543039416</v>
      </c>
      <c r="V126" s="149">
        <v>402180450</v>
      </c>
      <c r="X126" s="167"/>
      <c r="Y126" s="168"/>
      <c r="AA126" s="159"/>
      <c r="AC126" s="159"/>
      <c r="AE126" s="159"/>
    </row>
    <row r="127" spans="1:31" s="100" customFormat="1" ht="30" hidden="1" x14ac:dyDescent="0.25">
      <c r="A127" s="160">
        <v>2122112</v>
      </c>
      <c r="B127" s="161" t="s">
        <v>62</v>
      </c>
      <c r="C127" s="162">
        <f>+C128+C129</f>
        <v>975426925</v>
      </c>
      <c r="D127" s="162">
        <f t="shared" ref="D127:N127" si="69">+D128+D129</f>
        <v>0</v>
      </c>
      <c r="E127" s="162">
        <f t="shared" si="69"/>
        <v>0</v>
      </c>
      <c r="F127" s="162">
        <f t="shared" si="69"/>
        <v>0</v>
      </c>
      <c r="G127" s="162">
        <f t="shared" si="69"/>
        <v>975426925</v>
      </c>
      <c r="H127" s="162">
        <f t="shared" si="69"/>
        <v>60498996</v>
      </c>
      <c r="I127" s="162">
        <f t="shared" si="69"/>
        <v>552142418</v>
      </c>
      <c r="J127" s="162">
        <f t="shared" si="45"/>
        <v>423284507</v>
      </c>
      <c r="K127" s="162">
        <f t="shared" si="69"/>
        <v>83683366</v>
      </c>
      <c r="L127" s="162">
        <f t="shared" si="69"/>
        <v>543039416</v>
      </c>
      <c r="M127" s="162">
        <f t="shared" si="46"/>
        <v>9103002</v>
      </c>
      <c r="N127" s="162">
        <f t="shared" si="69"/>
        <v>573246475</v>
      </c>
      <c r="O127" s="162">
        <f t="shared" si="47"/>
        <v>21104057</v>
      </c>
      <c r="P127" s="162">
        <f t="shared" si="48"/>
        <v>402180450</v>
      </c>
      <c r="Q127" s="162">
        <f t="shared" si="49"/>
        <v>543039416</v>
      </c>
      <c r="V127" s="149">
        <v>402180450</v>
      </c>
      <c r="X127" s="167"/>
      <c r="Y127" s="168"/>
      <c r="AA127" s="162"/>
      <c r="AC127" s="162"/>
      <c r="AE127" s="162"/>
    </row>
    <row r="128" spans="1:31" hidden="1" x14ac:dyDescent="0.25">
      <c r="A128" s="163">
        <v>21221121</v>
      </c>
      <c r="B128" s="164" t="s">
        <v>565</v>
      </c>
      <c r="C128" s="165">
        <v>772497771</v>
      </c>
      <c r="D128" s="165">
        <v>0</v>
      </c>
      <c r="E128" s="165">
        <v>0</v>
      </c>
      <c r="F128" s="165">
        <v>0</v>
      </c>
      <c r="G128" s="165">
        <f t="shared" si="53"/>
        <v>772497771</v>
      </c>
      <c r="H128" s="165">
        <v>37755846</v>
      </c>
      <c r="I128" s="165">
        <v>431297848</v>
      </c>
      <c r="J128" s="165">
        <f t="shared" si="45"/>
        <v>341199923</v>
      </c>
      <c r="K128" s="165">
        <v>37755846</v>
      </c>
      <c r="L128" s="165">
        <v>435781036</v>
      </c>
      <c r="M128" s="165">
        <f t="shared" si="46"/>
        <v>-4483188</v>
      </c>
      <c r="N128" s="165">
        <v>452401905</v>
      </c>
      <c r="O128" s="165">
        <f t="shared" si="47"/>
        <v>21104057</v>
      </c>
      <c r="P128" s="165">
        <f t="shared" si="48"/>
        <v>320095866</v>
      </c>
      <c r="Q128" s="165">
        <f t="shared" si="49"/>
        <v>435781036</v>
      </c>
      <c r="V128" s="149">
        <v>320095866</v>
      </c>
      <c r="X128" s="167"/>
      <c r="Y128" s="168"/>
      <c r="AA128" s="165"/>
      <c r="AC128" s="165"/>
      <c r="AE128" s="165"/>
    </row>
    <row r="129" spans="1:31" hidden="1" x14ac:dyDescent="0.25">
      <c r="A129" s="163">
        <v>21221122</v>
      </c>
      <c r="B129" s="164" t="s">
        <v>566</v>
      </c>
      <c r="C129" s="165">
        <v>202929154</v>
      </c>
      <c r="D129" s="165">
        <v>0</v>
      </c>
      <c r="E129" s="165">
        <v>0</v>
      </c>
      <c r="F129" s="165">
        <v>0</v>
      </c>
      <c r="G129" s="165">
        <f t="shared" si="53"/>
        <v>202929154</v>
      </c>
      <c r="H129" s="165">
        <v>22743150</v>
      </c>
      <c r="I129" s="165">
        <v>120844570</v>
      </c>
      <c r="J129" s="165">
        <f t="shared" si="45"/>
        <v>82084584</v>
      </c>
      <c r="K129" s="165">
        <v>45927520</v>
      </c>
      <c r="L129" s="165">
        <v>107258380</v>
      </c>
      <c r="M129" s="165">
        <f t="shared" si="46"/>
        <v>13586190</v>
      </c>
      <c r="N129" s="165">
        <v>120844570</v>
      </c>
      <c r="O129" s="165">
        <f t="shared" si="47"/>
        <v>0</v>
      </c>
      <c r="P129" s="165">
        <f t="shared" si="48"/>
        <v>82084584</v>
      </c>
      <c r="Q129" s="165">
        <f t="shared" si="49"/>
        <v>107258380</v>
      </c>
      <c r="V129" s="149">
        <v>82084584</v>
      </c>
      <c r="X129" s="167"/>
      <c r="Y129" s="168"/>
      <c r="AA129" s="165"/>
      <c r="AC129" s="165"/>
      <c r="AE129" s="165"/>
    </row>
    <row r="130" spans="1:31" s="100" customFormat="1" ht="45" hidden="1" x14ac:dyDescent="0.25">
      <c r="A130" s="157">
        <v>212212</v>
      </c>
      <c r="B130" s="158" t="s">
        <v>63</v>
      </c>
      <c r="C130" s="159">
        <f>+C131+C135</f>
        <v>270310500</v>
      </c>
      <c r="D130" s="159">
        <f t="shared" ref="D130:N130" si="70">+D131+D135</f>
        <v>3000000</v>
      </c>
      <c r="E130" s="159">
        <f t="shared" si="70"/>
        <v>0</v>
      </c>
      <c r="F130" s="159">
        <f t="shared" si="70"/>
        <v>0</v>
      </c>
      <c r="G130" s="159">
        <f t="shared" si="70"/>
        <v>273310500</v>
      </c>
      <c r="H130" s="159">
        <f t="shared" si="70"/>
        <v>0</v>
      </c>
      <c r="I130" s="159">
        <f t="shared" si="70"/>
        <v>2978100</v>
      </c>
      <c r="J130" s="159">
        <f t="shared" si="45"/>
        <v>270332400</v>
      </c>
      <c r="K130" s="159">
        <f t="shared" si="70"/>
        <v>0</v>
      </c>
      <c r="L130" s="159">
        <f t="shared" si="70"/>
        <v>2978100</v>
      </c>
      <c r="M130" s="159">
        <f t="shared" si="46"/>
        <v>0</v>
      </c>
      <c r="N130" s="159">
        <f t="shared" si="70"/>
        <v>262388600</v>
      </c>
      <c r="O130" s="159">
        <f t="shared" si="47"/>
        <v>259410500</v>
      </c>
      <c r="P130" s="159">
        <f t="shared" si="48"/>
        <v>10921900</v>
      </c>
      <c r="Q130" s="159">
        <f t="shared" si="49"/>
        <v>2978100</v>
      </c>
      <c r="V130" s="149">
        <v>10921900</v>
      </c>
      <c r="X130" s="167"/>
      <c r="Y130" s="168"/>
      <c r="AA130" s="159"/>
      <c r="AC130" s="159"/>
      <c r="AE130" s="159"/>
    </row>
    <row r="131" spans="1:31" s="100" customFormat="1" ht="45" hidden="1" x14ac:dyDescent="0.25">
      <c r="A131" s="160">
        <v>2122122</v>
      </c>
      <c r="B131" s="161" t="s">
        <v>64</v>
      </c>
      <c r="C131" s="162">
        <f>+C132+C133+C134</f>
        <v>10900000</v>
      </c>
      <c r="D131" s="162">
        <f t="shared" ref="D131:N131" si="71">+D132+D133+D134</f>
        <v>3000000</v>
      </c>
      <c r="E131" s="162">
        <f t="shared" si="71"/>
        <v>0</v>
      </c>
      <c r="F131" s="162">
        <f t="shared" si="71"/>
        <v>0</v>
      </c>
      <c r="G131" s="162">
        <f t="shared" si="71"/>
        <v>13900000</v>
      </c>
      <c r="H131" s="162">
        <f t="shared" si="71"/>
        <v>0</v>
      </c>
      <c r="I131" s="162">
        <f t="shared" si="71"/>
        <v>2978100</v>
      </c>
      <c r="J131" s="162">
        <f t="shared" si="45"/>
        <v>10921900</v>
      </c>
      <c r="K131" s="162">
        <f t="shared" si="71"/>
        <v>0</v>
      </c>
      <c r="L131" s="162">
        <f t="shared" si="71"/>
        <v>2978100</v>
      </c>
      <c r="M131" s="162">
        <f t="shared" si="46"/>
        <v>0</v>
      </c>
      <c r="N131" s="162">
        <f t="shared" si="71"/>
        <v>2978100</v>
      </c>
      <c r="O131" s="162">
        <f t="shared" si="47"/>
        <v>0</v>
      </c>
      <c r="P131" s="162">
        <f t="shared" si="48"/>
        <v>10921900</v>
      </c>
      <c r="Q131" s="162">
        <f t="shared" si="49"/>
        <v>2978100</v>
      </c>
      <c r="V131" s="149">
        <v>10921900</v>
      </c>
      <c r="X131" s="167"/>
      <c r="Y131" s="168"/>
      <c r="AA131" s="162"/>
      <c r="AC131" s="162"/>
      <c r="AE131" s="162"/>
    </row>
    <row r="132" spans="1:31" hidden="1" x14ac:dyDescent="0.25">
      <c r="A132" s="163">
        <v>21221225</v>
      </c>
      <c r="B132" s="164" t="s">
        <v>567</v>
      </c>
      <c r="C132" s="165">
        <v>5000000</v>
      </c>
      <c r="D132" s="165">
        <v>3000000</v>
      </c>
      <c r="E132" s="165">
        <v>0</v>
      </c>
      <c r="F132" s="165">
        <v>0</v>
      </c>
      <c r="G132" s="165">
        <f t="shared" si="53"/>
        <v>8000000</v>
      </c>
      <c r="H132" s="165">
        <v>0</v>
      </c>
      <c r="I132" s="165">
        <v>592250</v>
      </c>
      <c r="J132" s="165">
        <f t="shared" si="45"/>
        <v>7407750</v>
      </c>
      <c r="K132" s="165">
        <v>0</v>
      </c>
      <c r="L132" s="165">
        <v>592250</v>
      </c>
      <c r="M132" s="165">
        <f t="shared" si="46"/>
        <v>0</v>
      </c>
      <c r="N132" s="165">
        <v>592250</v>
      </c>
      <c r="O132" s="165">
        <f t="shared" si="47"/>
        <v>0</v>
      </c>
      <c r="P132" s="165">
        <f t="shared" si="48"/>
        <v>7407750</v>
      </c>
      <c r="Q132" s="165">
        <f t="shared" si="49"/>
        <v>592250</v>
      </c>
      <c r="V132" s="149">
        <v>7407750</v>
      </c>
      <c r="X132" s="167"/>
      <c r="Y132" s="168"/>
      <c r="AA132" s="165"/>
      <c r="AC132" s="165"/>
      <c r="AE132" s="165"/>
    </row>
    <row r="133" spans="1:31" hidden="1" x14ac:dyDescent="0.25">
      <c r="A133" s="163">
        <v>21221228</v>
      </c>
      <c r="B133" s="164" t="s">
        <v>568</v>
      </c>
      <c r="C133" s="165">
        <v>5000000</v>
      </c>
      <c r="D133" s="165">
        <v>0</v>
      </c>
      <c r="E133" s="165">
        <v>0</v>
      </c>
      <c r="F133" s="165">
        <v>0</v>
      </c>
      <c r="G133" s="165">
        <f t="shared" si="53"/>
        <v>5000000</v>
      </c>
      <c r="H133" s="165">
        <v>0</v>
      </c>
      <c r="I133" s="165">
        <v>1520700</v>
      </c>
      <c r="J133" s="165">
        <f t="shared" si="45"/>
        <v>3479300</v>
      </c>
      <c r="K133" s="165">
        <v>0</v>
      </c>
      <c r="L133" s="165">
        <v>1520700</v>
      </c>
      <c r="M133" s="165">
        <f t="shared" si="46"/>
        <v>0</v>
      </c>
      <c r="N133" s="165">
        <v>1520700</v>
      </c>
      <c r="O133" s="165">
        <f t="shared" si="47"/>
        <v>0</v>
      </c>
      <c r="P133" s="165">
        <f t="shared" si="48"/>
        <v>3479300</v>
      </c>
      <c r="Q133" s="165">
        <f t="shared" si="49"/>
        <v>1520700</v>
      </c>
      <c r="V133" s="149">
        <v>3479300</v>
      </c>
      <c r="X133" s="167"/>
      <c r="Y133" s="168"/>
      <c r="AA133" s="165"/>
      <c r="AC133" s="165"/>
      <c r="AE133" s="165"/>
    </row>
    <row r="134" spans="1:31" hidden="1" x14ac:dyDescent="0.25">
      <c r="A134" s="163">
        <v>21221229</v>
      </c>
      <c r="B134" s="164" t="s">
        <v>569</v>
      </c>
      <c r="C134" s="165">
        <v>900000</v>
      </c>
      <c r="D134" s="165">
        <v>0</v>
      </c>
      <c r="E134" s="165">
        <v>0</v>
      </c>
      <c r="F134" s="165">
        <v>0</v>
      </c>
      <c r="G134" s="165">
        <f t="shared" si="53"/>
        <v>900000</v>
      </c>
      <c r="H134" s="165">
        <v>0</v>
      </c>
      <c r="I134" s="165">
        <v>865150</v>
      </c>
      <c r="J134" s="165">
        <f t="shared" si="45"/>
        <v>34850</v>
      </c>
      <c r="K134" s="165">
        <v>0</v>
      </c>
      <c r="L134" s="165">
        <v>865150</v>
      </c>
      <c r="M134" s="165">
        <f t="shared" si="46"/>
        <v>0</v>
      </c>
      <c r="N134" s="165">
        <v>865150</v>
      </c>
      <c r="O134" s="165">
        <f t="shared" si="47"/>
        <v>0</v>
      </c>
      <c r="P134" s="165">
        <f t="shared" si="48"/>
        <v>34850</v>
      </c>
      <c r="Q134" s="165">
        <f t="shared" si="49"/>
        <v>865150</v>
      </c>
      <c r="V134" s="149">
        <v>34850</v>
      </c>
      <c r="X134" s="167"/>
      <c r="Y134" s="168"/>
      <c r="AA134" s="165"/>
      <c r="AC134" s="165"/>
      <c r="AE134" s="165"/>
    </row>
    <row r="135" spans="1:31" s="100" customFormat="1" hidden="1" x14ac:dyDescent="0.25">
      <c r="A135" s="160">
        <v>2122123</v>
      </c>
      <c r="B135" s="161" t="s">
        <v>65</v>
      </c>
      <c r="C135" s="162">
        <f>+C136</f>
        <v>259410500</v>
      </c>
      <c r="D135" s="162">
        <f t="shared" ref="D135:N135" si="72">+D136</f>
        <v>0</v>
      </c>
      <c r="E135" s="162">
        <f t="shared" si="72"/>
        <v>0</v>
      </c>
      <c r="F135" s="162">
        <f t="shared" si="72"/>
        <v>0</v>
      </c>
      <c r="G135" s="162">
        <f t="shared" si="72"/>
        <v>259410500</v>
      </c>
      <c r="H135" s="162">
        <f t="shared" si="72"/>
        <v>0</v>
      </c>
      <c r="I135" s="162">
        <f t="shared" si="72"/>
        <v>0</v>
      </c>
      <c r="J135" s="162">
        <f t="shared" ref="J135:J198" si="73">+G135-I135</f>
        <v>259410500</v>
      </c>
      <c r="K135" s="162">
        <f t="shared" si="72"/>
        <v>0</v>
      </c>
      <c r="L135" s="162">
        <f t="shared" si="72"/>
        <v>0</v>
      </c>
      <c r="M135" s="162">
        <f t="shared" ref="M135:M198" si="74">+I135-L135</f>
        <v>0</v>
      </c>
      <c r="N135" s="162">
        <f t="shared" si="72"/>
        <v>259410500</v>
      </c>
      <c r="O135" s="162">
        <f t="shared" ref="O135:O198" si="75">+N135-I135</f>
        <v>259410500</v>
      </c>
      <c r="P135" s="162">
        <f t="shared" ref="P135:P198" si="76">+G135-N135</f>
        <v>0</v>
      </c>
      <c r="Q135" s="162">
        <f t="shared" ref="Q135:Q198" si="77">+L135</f>
        <v>0</v>
      </c>
      <c r="V135" s="149">
        <v>0</v>
      </c>
      <c r="X135" s="167"/>
      <c r="Y135" s="168"/>
      <c r="AA135" s="162"/>
      <c r="AC135" s="162"/>
      <c r="AE135" s="162"/>
    </row>
    <row r="136" spans="1:31" hidden="1" x14ac:dyDescent="0.25">
      <c r="A136" s="163">
        <v>21221238</v>
      </c>
      <c r="B136" s="164" t="s">
        <v>570</v>
      </c>
      <c r="C136" s="165">
        <v>259410500</v>
      </c>
      <c r="D136" s="165">
        <v>0</v>
      </c>
      <c r="E136" s="165">
        <v>0</v>
      </c>
      <c r="F136" s="165">
        <v>0</v>
      </c>
      <c r="G136" s="165">
        <f t="shared" si="53"/>
        <v>259410500</v>
      </c>
      <c r="H136" s="165">
        <v>0</v>
      </c>
      <c r="I136" s="165">
        <v>0</v>
      </c>
      <c r="J136" s="165">
        <f t="shared" si="73"/>
        <v>259410500</v>
      </c>
      <c r="K136" s="165">
        <v>0</v>
      </c>
      <c r="L136" s="165">
        <v>0</v>
      </c>
      <c r="M136" s="165">
        <f t="shared" si="74"/>
        <v>0</v>
      </c>
      <c r="N136" s="165">
        <v>259410500</v>
      </c>
      <c r="O136" s="165">
        <f t="shared" si="75"/>
        <v>259410500</v>
      </c>
      <c r="P136" s="165">
        <f t="shared" si="76"/>
        <v>0</v>
      </c>
      <c r="Q136" s="165">
        <f t="shared" si="77"/>
        <v>0</v>
      </c>
      <c r="V136" s="149">
        <v>0</v>
      </c>
      <c r="X136" s="167"/>
      <c r="Y136" s="168"/>
      <c r="AA136" s="165"/>
      <c r="AC136" s="165"/>
      <c r="AE136" s="165"/>
    </row>
    <row r="137" spans="1:31" s="100" customFormat="1" ht="45" hidden="1" x14ac:dyDescent="0.25">
      <c r="A137" s="157">
        <v>212213</v>
      </c>
      <c r="B137" s="158" t="s">
        <v>66</v>
      </c>
      <c r="C137" s="159">
        <f>+C138+C146+C148</f>
        <v>555400000</v>
      </c>
      <c r="D137" s="159">
        <f t="shared" ref="D137:N137" si="78">+D138+D146+D148</f>
        <v>168200000</v>
      </c>
      <c r="E137" s="159">
        <f t="shared" si="78"/>
        <v>0</v>
      </c>
      <c r="F137" s="159">
        <f t="shared" si="78"/>
        <v>140000000</v>
      </c>
      <c r="G137" s="159">
        <f t="shared" si="78"/>
        <v>863600000</v>
      </c>
      <c r="H137" s="159">
        <f t="shared" si="78"/>
        <v>8665406.0099999998</v>
      </c>
      <c r="I137" s="159">
        <f t="shared" si="78"/>
        <v>166637395.00999999</v>
      </c>
      <c r="J137" s="159">
        <f t="shared" si="73"/>
        <v>696962604.99000001</v>
      </c>
      <c r="K137" s="159">
        <f t="shared" si="78"/>
        <v>10535676</v>
      </c>
      <c r="L137" s="159">
        <f t="shared" si="78"/>
        <v>117971092</v>
      </c>
      <c r="M137" s="159">
        <f t="shared" si="74"/>
        <v>48666303.00999999</v>
      </c>
      <c r="N137" s="159">
        <f t="shared" si="78"/>
        <v>253872424.00999999</v>
      </c>
      <c r="O137" s="159">
        <f t="shared" si="75"/>
        <v>87235029</v>
      </c>
      <c r="P137" s="159">
        <f t="shared" si="76"/>
        <v>609727575.99000001</v>
      </c>
      <c r="Q137" s="159">
        <f t="shared" si="77"/>
        <v>117971092</v>
      </c>
      <c r="V137" s="149">
        <v>609727575.99000001</v>
      </c>
      <c r="X137" s="167"/>
      <c r="Y137" s="168"/>
      <c r="AA137" s="159"/>
      <c r="AC137" s="159"/>
      <c r="AE137" s="159"/>
    </row>
    <row r="138" spans="1:31" s="100" customFormat="1" ht="45" hidden="1" x14ac:dyDescent="0.25">
      <c r="A138" s="160">
        <v>2122132</v>
      </c>
      <c r="B138" s="161" t="s">
        <v>67</v>
      </c>
      <c r="C138" s="162">
        <f>SUM(C139:C145)</f>
        <v>172500000</v>
      </c>
      <c r="D138" s="162">
        <f t="shared" ref="D138:N138" si="79">SUM(D139:D145)</f>
        <v>0</v>
      </c>
      <c r="E138" s="162">
        <f t="shared" si="79"/>
        <v>0</v>
      </c>
      <c r="F138" s="162">
        <f t="shared" si="79"/>
        <v>0</v>
      </c>
      <c r="G138" s="162">
        <f t="shared" si="79"/>
        <v>172500000</v>
      </c>
      <c r="H138" s="162">
        <f t="shared" si="79"/>
        <v>299930</v>
      </c>
      <c r="I138" s="162">
        <f t="shared" si="79"/>
        <v>43706611</v>
      </c>
      <c r="J138" s="162">
        <f t="shared" si="73"/>
        <v>128793389</v>
      </c>
      <c r="K138" s="162">
        <f t="shared" si="79"/>
        <v>96000</v>
      </c>
      <c r="L138" s="162">
        <f t="shared" si="79"/>
        <v>43267681</v>
      </c>
      <c r="M138" s="162">
        <f t="shared" si="74"/>
        <v>438930</v>
      </c>
      <c r="N138" s="162">
        <f t="shared" si="79"/>
        <v>53720711</v>
      </c>
      <c r="O138" s="162">
        <f t="shared" si="75"/>
        <v>10014100</v>
      </c>
      <c r="P138" s="162">
        <f t="shared" si="76"/>
        <v>118779289</v>
      </c>
      <c r="Q138" s="162">
        <f t="shared" si="77"/>
        <v>43267681</v>
      </c>
      <c r="V138" s="149">
        <v>118779289</v>
      </c>
      <c r="X138" s="167"/>
      <c r="Y138" s="168"/>
      <c r="AA138" s="162"/>
      <c r="AC138" s="162"/>
      <c r="AE138" s="162"/>
    </row>
    <row r="139" spans="1:31" hidden="1" x14ac:dyDescent="0.25">
      <c r="A139" s="163">
        <v>21221321</v>
      </c>
      <c r="B139" s="164" t="s">
        <v>571</v>
      </c>
      <c r="C139" s="165">
        <v>80000000</v>
      </c>
      <c r="D139" s="165">
        <v>0</v>
      </c>
      <c r="E139" s="165">
        <v>0</v>
      </c>
      <c r="F139" s="165">
        <v>0</v>
      </c>
      <c r="G139" s="165">
        <f t="shared" si="53"/>
        <v>80000000</v>
      </c>
      <c r="H139" s="165">
        <v>172000</v>
      </c>
      <c r="I139" s="165">
        <v>36900030</v>
      </c>
      <c r="J139" s="165">
        <f t="shared" si="73"/>
        <v>43099970</v>
      </c>
      <c r="K139" s="165">
        <v>0</v>
      </c>
      <c r="L139" s="165">
        <v>36693030</v>
      </c>
      <c r="M139" s="165">
        <f t="shared" si="74"/>
        <v>207000</v>
      </c>
      <c r="N139" s="165">
        <v>46914130</v>
      </c>
      <c r="O139" s="165">
        <f t="shared" si="75"/>
        <v>10014100</v>
      </c>
      <c r="P139" s="165">
        <f t="shared" si="76"/>
        <v>33085870</v>
      </c>
      <c r="Q139" s="165">
        <f t="shared" si="77"/>
        <v>36693030</v>
      </c>
      <c r="V139" s="149">
        <v>33085870</v>
      </c>
      <c r="X139" s="167"/>
      <c r="Y139" s="168"/>
      <c r="AA139" s="165"/>
      <c r="AC139" s="165"/>
      <c r="AE139" s="165"/>
    </row>
    <row r="140" spans="1:31" hidden="1" x14ac:dyDescent="0.25">
      <c r="A140" s="163">
        <v>21221322</v>
      </c>
      <c r="B140" s="164" t="s">
        <v>572</v>
      </c>
      <c r="C140" s="165">
        <v>25000000</v>
      </c>
      <c r="D140" s="165">
        <v>0</v>
      </c>
      <c r="E140" s="165">
        <v>0</v>
      </c>
      <c r="F140" s="165">
        <v>0</v>
      </c>
      <c r="G140" s="165">
        <f t="shared" si="53"/>
        <v>25000000</v>
      </c>
      <c r="H140" s="165">
        <v>0</v>
      </c>
      <c r="I140" s="165">
        <v>0</v>
      </c>
      <c r="J140" s="165">
        <f t="shared" si="73"/>
        <v>25000000</v>
      </c>
      <c r="K140" s="165">
        <v>0</v>
      </c>
      <c r="L140" s="165">
        <v>0</v>
      </c>
      <c r="M140" s="165">
        <f t="shared" si="74"/>
        <v>0</v>
      </c>
      <c r="N140" s="165">
        <v>0</v>
      </c>
      <c r="O140" s="165">
        <f t="shared" si="75"/>
        <v>0</v>
      </c>
      <c r="P140" s="165">
        <f t="shared" si="76"/>
        <v>25000000</v>
      </c>
      <c r="Q140" s="165">
        <f t="shared" si="77"/>
        <v>0</v>
      </c>
      <c r="V140" s="149">
        <v>25000000</v>
      </c>
      <c r="X140" s="167"/>
      <c r="Y140" s="168"/>
      <c r="AA140" s="165"/>
      <c r="AC140" s="165"/>
      <c r="AE140" s="165"/>
    </row>
    <row r="141" spans="1:31" ht="45" hidden="1" x14ac:dyDescent="0.25">
      <c r="A141" s="163">
        <v>21221323</v>
      </c>
      <c r="B141" s="164" t="s">
        <v>573</v>
      </c>
      <c r="C141" s="165">
        <v>8000000</v>
      </c>
      <c r="D141" s="165">
        <v>0</v>
      </c>
      <c r="E141" s="165">
        <v>0</v>
      </c>
      <c r="F141" s="165">
        <v>0</v>
      </c>
      <c r="G141" s="165">
        <f t="shared" si="53"/>
        <v>8000000</v>
      </c>
      <c r="H141" s="165">
        <v>0</v>
      </c>
      <c r="I141" s="165">
        <v>0</v>
      </c>
      <c r="J141" s="165">
        <f t="shared" si="73"/>
        <v>8000000</v>
      </c>
      <c r="K141" s="165">
        <v>0</v>
      </c>
      <c r="L141" s="165">
        <v>0</v>
      </c>
      <c r="M141" s="165">
        <f t="shared" si="74"/>
        <v>0</v>
      </c>
      <c r="N141" s="165">
        <v>0</v>
      </c>
      <c r="O141" s="165">
        <f t="shared" si="75"/>
        <v>0</v>
      </c>
      <c r="P141" s="165">
        <f t="shared" si="76"/>
        <v>8000000</v>
      </c>
      <c r="Q141" s="165">
        <f t="shared" si="77"/>
        <v>0</v>
      </c>
      <c r="V141" s="149">
        <v>8000000</v>
      </c>
      <c r="X141" s="167"/>
      <c r="Y141" s="168"/>
      <c r="AA141" s="165"/>
      <c r="AC141" s="165"/>
      <c r="AE141" s="165"/>
    </row>
    <row r="142" spans="1:31" ht="45" hidden="1" x14ac:dyDescent="0.25">
      <c r="A142" s="163">
        <v>21221324</v>
      </c>
      <c r="B142" s="164" t="s">
        <v>574</v>
      </c>
      <c r="C142" s="165">
        <v>15000000</v>
      </c>
      <c r="D142" s="165">
        <v>0</v>
      </c>
      <c r="E142" s="165">
        <v>0</v>
      </c>
      <c r="F142" s="165">
        <v>0</v>
      </c>
      <c r="G142" s="165">
        <f t="shared" si="53"/>
        <v>15000000</v>
      </c>
      <c r="H142" s="165">
        <v>0</v>
      </c>
      <c r="I142" s="165">
        <v>500000</v>
      </c>
      <c r="J142" s="165">
        <f t="shared" si="73"/>
        <v>14500000</v>
      </c>
      <c r="K142" s="165">
        <v>0</v>
      </c>
      <c r="L142" s="165">
        <v>500000</v>
      </c>
      <c r="M142" s="165">
        <f t="shared" si="74"/>
        <v>0</v>
      </c>
      <c r="N142" s="165">
        <v>500000</v>
      </c>
      <c r="O142" s="165">
        <f t="shared" si="75"/>
        <v>0</v>
      </c>
      <c r="P142" s="165">
        <f t="shared" si="76"/>
        <v>14500000</v>
      </c>
      <c r="Q142" s="165">
        <f t="shared" si="77"/>
        <v>500000</v>
      </c>
      <c r="V142" s="149">
        <v>14500000</v>
      </c>
      <c r="X142" s="167"/>
      <c r="Y142" s="168"/>
      <c r="AA142" s="165"/>
      <c r="AC142" s="165"/>
      <c r="AE142" s="165"/>
    </row>
    <row r="143" spans="1:31" ht="30" hidden="1" x14ac:dyDescent="0.25">
      <c r="A143" s="163">
        <v>21221326</v>
      </c>
      <c r="B143" s="164" t="s">
        <v>575</v>
      </c>
      <c r="C143" s="165">
        <v>40000000</v>
      </c>
      <c r="D143" s="165">
        <v>0</v>
      </c>
      <c r="E143" s="165">
        <v>0</v>
      </c>
      <c r="F143" s="165">
        <v>0</v>
      </c>
      <c r="G143" s="165">
        <f t="shared" si="53"/>
        <v>40000000</v>
      </c>
      <c r="H143" s="165">
        <v>0</v>
      </c>
      <c r="I143" s="165">
        <v>4058000</v>
      </c>
      <c r="J143" s="165">
        <f t="shared" si="73"/>
        <v>35942000</v>
      </c>
      <c r="K143" s="165">
        <v>0</v>
      </c>
      <c r="L143" s="165">
        <v>3958000</v>
      </c>
      <c r="M143" s="165">
        <f t="shared" si="74"/>
        <v>100000</v>
      </c>
      <c r="N143" s="165">
        <v>4058000</v>
      </c>
      <c r="O143" s="165">
        <f t="shared" si="75"/>
        <v>0</v>
      </c>
      <c r="P143" s="165">
        <f t="shared" si="76"/>
        <v>35942000</v>
      </c>
      <c r="Q143" s="165">
        <f t="shared" si="77"/>
        <v>3958000</v>
      </c>
      <c r="V143" s="149">
        <v>35942000</v>
      </c>
      <c r="X143" s="167"/>
      <c r="Y143" s="168"/>
      <c r="AA143" s="165"/>
      <c r="AC143" s="165"/>
      <c r="AE143" s="165"/>
    </row>
    <row r="144" spans="1:31" ht="45" hidden="1" x14ac:dyDescent="0.25">
      <c r="A144" s="163">
        <v>21221327</v>
      </c>
      <c r="B144" s="164" t="s">
        <v>638</v>
      </c>
      <c r="C144" s="165">
        <v>3000000</v>
      </c>
      <c r="D144" s="165">
        <v>0</v>
      </c>
      <c r="E144" s="165">
        <v>0</v>
      </c>
      <c r="F144" s="165">
        <v>0</v>
      </c>
      <c r="G144" s="165">
        <f t="shared" ref="G144:G208" si="80">+C144+D144-E144+F144</f>
        <v>3000000</v>
      </c>
      <c r="H144" s="165">
        <v>127930</v>
      </c>
      <c r="I144" s="165">
        <v>1848581</v>
      </c>
      <c r="J144" s="165">
        <f t="shared" si="73"/>
        <v>1151419</v>
      </c>
      <c r="K144" s="165">
        <v>96000</v>
      </c>
      <c r="L144" s="165">
        <v>1716651</v>
      </c>
      <c r="M144" s="165">
        <f t="shared" si="74"/>
        <v>131930</v>
      </c>
      <c r="N144" s="165">
        <v>1848581</v>
      </c>
      <c r="O144" s="165">
        <f t="shared" si="75"/>
        <v>0</v>
      </c>
      <c r="P144" s="165">
        <f t="shared" si="76"/>
        <v>1151419</v>
      </c>
      <c r="Q144" s="165">
        <f t="shared" si="77"/>
        <v>1716651</v>
      </c>
      <c r="V144" s="149">
        <v>1151419</v>
      </c>
      <c r="X144" s="167"/>
      <c r="Y144" s="168"/>
      <c r="AA144" s="165"/>
      <c r="AC144" s="165"/>
      <c r="AE144" s="165"/>
    </row>
    <row r="145" spans="1:31" ht="45" hidden="1" x14ac:dyDescent="0.25">
      <c r="A145" s="163">
        <v>21221328</v>
      </c>
      <c r="B145" s="164" t="s">
        <v>639</v>
      </c>
      <c r="C145" s="165">
        <v>1500000</v>
      </c>
      <c r="D145" s="165">
        <v>0</v>
      </c>
      <c r="E145" s="165">
        <v>0</v>
      </c>
      <c r="F145" s="165">
        <v>0</v>
      </c>
      <c r="G145" s="165">
        <f t="shared" si="80"/>
        <v>1500000</v>
      </c>
      <c r="H145" s="165">
        <v>0</v>
      </c>
      <c r="I145" s="165">
        <v>400000</v>
      </c>
      <c r="J145" s="165">
        <f t="shared" si="73"/>
        <v>1100000</v>
      </c>
      <c r="K145" s="165">
        <v>0</v>
      </c>
      <c r="L145" s="165">
        <v>400000</v>
      </c>
      <c r="M145" s="165">
        <f t="shared" si="74"/>
        <v>0</v>
      </c>
      <c r="N145" s="165">
        <v>400000</v>
      </c>
      <c r="O145" s="165">
        <f t="shared" si="75"/>
        <v>0</v>
      </c>
      <c r="P145" s="165">
        <f t="shared" si="76"/>
        <v>1100000</v>
      </c>
      <c r="Q145" s="165">
        <f t="shared" si="77"/>
        <v>400000</v>
      </c>
      <c r="V145" s="149">
        <v>1100000</v>
      </c>
      <c r="X145" s="167"/>
      <c r="Y145" s="168"/>
      <c r="AA145" s="165"/>
      <c r="AC145" s="165"/>
      <c r="AE145" s="165"/>
    </row>
    <row r="146" spans="1:31" s="100" customFormat="1" ht="45" hidden="1" x14ac:dyDescent="0.25">
      <c r="A146" s="160">
        <v>2122133</v>
      </c>
      <c r="B146" s="161" t="s">
        <v>68</v>
      </c>
      <c r="C146" s="162">
        <f>+C147</f>
        <v>16000000</v>
      </c>
      <c r="D146" s="162">
        <f t="shared" ref="D146:N146" si="81">+D147</f>
        <v>35000000</v>
      </c>
      <c r="E146" s="162">
        <f t="shared" si="81"/>
        <v>0</v>
      </c>
      <c r="F146" s="162">
        <f t="shared" si="81"/>
        <v>0</v>
      </c>
      <c r="G146" s="162">
        <f t="shared" si="81"/>
        <v>51000000</v>
      </c>
      <c r="H146" s="162">
        <f t="shared" si="81"/>
        <v>6500000</v>
      </c>
      <c r="I146" s="162">
        <f t="shared" si="81"/>
        <v>19500000</v>
      </c>
      <c r="J146" s="162">
        <f t="shared" si="73"/>
        <v>31500000</v>
      </c>
      <c r="K146" s="162">
        <f t="shared" si="81"/>
        <v>3117176</v>
      </c>
      <c r="L146" s="162">
        <f t="shared" si="81"/>
        <v>9060146</v>
      </c>
      <c r="M146" s="162">
        <f t="shared" si="74"/>
        <v>10439854</v>
      </c>
      <c r="N146" s="162">
        <f t="shared" si="81"/>
        <v>29500000</v>
      </c>
      <c r="O146" s="162">
        <f t="shared" si="75"/>
        <v>10000000</v>
      </c>
      <c r="P146" s="162">
        <f t="shared" si="76"/>
        <v>21500000</v>
      </c>
      <c r="Q146" s="162">
        <f t="shared" si="77"/>
        <v>9060146</v>
      </c>
      <c r="V146" s="149">
        <v>21500000</v>
      </c>
      <c r="X146" s="167"/>
      <c r="Y146" s="168"/>
      <c r="AA146" s="162"/>
      <c r="AC146" s="162"/>
      <c r="AE146" s="162"/>
    </row>
    <row r="147" spans="1:31" ht="30" hidden="1" x14ac:dyDescent="0.25">
      <c r="A147" s="163">
        <v>21221334</v>
      </c>
      <c r="B147" s="164" t="s">
        <v>576</v>
      </c>
      <c r="C147" s="165">
        <v>16000000</v>
      </c>
      <c r="D147" s="165">
        <v>35000000</v>
      </c>
      <c r="E147" s="165">
        <v>0</v>
      </c>
      <c r="F147" s="165">
        <v>0</v>
      </c>
      <c r="G147" s="165">
        <f t="shared" si="80"/>
        <v>51000000</v>
      </c>
      <c r="H147" s="165">
        <v>6500000</v>
      </c>
      <c r="I147" s="165">
        <v>19500000</v>
      </c>
      <c r="J147" s="165">
        <f t="shared" si="73"/>
        <v>31500000</v>
      </c>
      <c r="K147" s="165">
        <v>3117176</v>
      </c>
      <c r="L147" s="165">
        <v>9060146</v>
      </c>
      <c r="M147" s="165">
        <f t="shared" si="74"/>
        <v>10439854</v>
      </c>
      <c r="N147" s="165">
        <v>29500000</v>
      </c>
      <c r="O147" s="165">
        <f t="shared" si="75"/>
        <v>10000000</v>
      </c>
      <c r="P147" s="165">
        <f t="shared" si="76"/>
        <v>21500000</v>
      </c>
      <c r="Q147" s="165">
        <f t="shared" si="77"/>
        <v>9060146</v>
      </c>
      <c r="V147" s="149">
        <v>21500000</v>
      </c>
      <c r="X147" s="167"/>
      <c r="Y147" s="168"/>
      <c r="AA147" s="165"/>
      <c r="AC147" s="165"/>
      <c r="AE147" s="165"/>
    </row>
    <row r="148" spans="1:31" s="100" customFormat="1" hidden="1" x14ac:dyDescent="0.25">
      <c r="A148" s="160">
        <v>2122134</v>
      </c>
      <c r="B148" s="161" t="s">
        <v>69</v>
      </c>
      <c r="C148" s="162">
        <f>SUM(C149:C153)</f>
        <v>366900000</v>
      </c>
      <c r="D148" s="162">
        <f t="shared" ref="D148:N148" si="82">SUM(D149:D153)</f>
        <v>133200000</v>
      </c>
      <c r="E148" s="162">
        <f t="shared" si="82"/>
        <v>0</v>
      </c>
      <c r="F148" s="162">
        <f t="shared" si="82"/>
        <v>140000000</v>
      </c>
      <c r="G148" s="162">
        <f t="shared" si="82"/>
        <v>640100000</v>
      </c>
      <c r="H148" s="162">
        <f t="shared" si="82"/>
        <v>1865476.01</v>
      </c>
      <c r="I148" s="162">
        <f t="shared" si="82"/>
        <v>103430784.00999999</v>
      </c>
      <c r="J148" s="162">
        <f t="shared" si="73"/>
        <v>536669215.99000001</v>
      </c>
      <c r="K148" s="162">
        <f t="shared" si="82"/>
        <v>7322500</v>
      </c>
      <c r="L148" s="162">
        <f t="shared" si="82"/>
        <v>65643265</v>
      </c>
      <c r="M148" s="162">
        <f t="shared" si="74"/>
        <v>37787519.00999999</v>
      </c>
      <c r="N148" s="162">
        <f t="shared" si="82"/>
        <v>170651713.00999999</v>
      </c>
      <c r="O148" s="162">
        <f t="shared" si="75"/>
        <v>67220929</v>
      </c>
      <c r="P148" s="162">
        <f t="shared" si="76"/>
        <v>469448286.99000001</v>
      </c>
      <c r="Q148" s="162">
        <f t="shared" si="77"/>
        <v>65643265</v>
      </c>
      <c r="V148" s="149">
        <v>469448286.99000001</v>
      </c>
      <c r="X148" s="167"/>
      <c r="Y148" s="168"/>
      <c r="AA148" s="162"/>
      <c r="AC148" s="162"/>
      <c r="AE148" s="162"/>
    </row>
    <row r="149" spans="1:31" hidden="1" x14ac:dyDescent="0.25">
      <c r="A149" s="163">
        <v>21221341</v>
      </c>
      <c r="B149" s="164" t="s">
        <v>577</v>
      </c>
      <c r="C149" s="165">
        <v>85000000</v>
      </c>
      <c r="D149" s="165">
        <v>0</v>
      </c>
      <c r="E149" s="165">
        <v>0</v>
      </c>
      <c r="F149" s="165">
        <v>70000000</v>
      </c>
      <c r="G149" s="165">
        <f t="shared" si="80"/>
        <v>155000000</v>
      </c>
      <c r="H149" s="165">
        <v>793376</v>
      </c>
      <c r="I149" s="165">
        <v>3297502</v>
      </c>
      <c r="J149" s="165">
        <f t="shared" si="73"/>
        <v>151702498</v>
      </c>
      <c r="K149" s="165">
        <v>182500</v>
      </c>
      <c r="L149" s="165">
        <v>2350489</v>
      </c>
      <c r="M149" s="165">
        <f t="shared" si="74"/>
        <v>947013</v>
      </c>
      <c r="N149" s="165">
        <v>3297502</v>
      </c>
      <c r="O149" s="165">
        <f t="shared" si="75"/>
        <v>0</v>
      </c>
      <c r="P149" s="165">
        <f t="shared" si="76"/>
        <v>151702498</v>
      </c>
      <c r="Q149" s="165">
        <f t="shared" si="77"/>
        <v>2350489</v>
      </c>
      <c r="V149" s="149">
        <v>151702498</v>
      </c>
      <c r="X149" s="167"/>
      <c r="Y149" s="168"/>
      <c r="AA149" s="165"/>
      <c r="AC149" s="165"/>
      <c r="AE149" s="165"/>
    </row>
    <row r="150" spans="1:31" ht="30" hidden="1" x14ac:dyDescent="0.25">
      <c r="A150" s="163">
        <v>21221342</v>
      </c>
      <c r="B150" s="164" t="s">
        <v>578</v>
      </c>
      <c r="C150" s="165">
        <v>18000000</v>
      </c>
      <c r="D150" s="165">
        <v>4000000</v>
      </c>
      <c r="E150" s="165">
        <v>0</v>
      </c>
      <c r="F150" s="165">
        <v>0</v>
      </c>
      <c r="G150" s="165">
        <f t="shared" si="80"/>
        <v>22000000</v>
      </c>
      <c r="H150" s="165">
        <v>0</v>
      </c>
      <c r="I150" s="165">
        <v>969884</v>
      </c>
      <c r="J150" s="165">
        <f t="shared" si="73"/>
        <v>21030116</v>
      </c>
      <c r="K150" s="165">
        <v>0</v>
      </c>
      <c r="L150" s="165">
        <v>969884</v>
      </c>
      <c r="M150" s="165">
        <f t="shared" si="74"/>
        <v>0</v>
      </c>
      <c r="N150" s="165">
        <v>5055100</v>
      </c>
      <c r="O150" s="165">
        <f t="shared" si="75"/>
        <v>4085216</v>
      </c>
      <c r="P150" s="165">
        <f t="shared" si="76"/>
        <v>16944900</v>
      </c>
      <c r="Q150" s="165">
        <f t="shared" si="77"/>
        <v>969884</v>
      </c>
      <c r="V150" s="149">
        <v>16944900</v>
      </c>
      <c r="X150" s="167"/>
      <c r="Y150" s="168"/>
      <c r="AA150" s="165"/>
      <c r="AC150" s="165"/>
      <c r="AE150" s="165"/>
    </row>
    <row r="151" spans="1:31" hidden="1" x14ac:dyDescent="0.25">
      <c r="A151" s="163">
        <v>21221345</v>
      </c>
      <c r="B151" s="164" t="s">
        <v>579</v>
      </c>
      <c r="C151" s="165">
        <v>7000000</v>
      </c>
      <c r="D151" s="165">
        <v>0</v>
      </c>
      <c r="E151" s="165">
        <v>0</v>
      </c>
      <c r="F151" s="165">
        <v>70000000</v>
      </c>
      <c r="G151" s="165">
        <f t="shared" si="80"/>
        <v>77000000</v>
      </c>
      <c r="H151" s="165">
        <v>0</v>
      </c>
      <c r="I151" s="165">
        <v>200000</v>
      </c>
      <c r="J151" s="165">
        <f t="shared" si="73"/>
        <v>76800000</v>
      </c>
      <c r="K151" s="165">
        <v>0</v>
      </c>
      <c r="L151" s="165">
        <v>200000</v>
      </c>
      <c r="M151" s="165">
        <f t="shared" si="74"/>
        <v>0</v>
      </c>
      <c r="N151" s="165">
        <v>200000</v>
      </c>
      <c r="O151" s="165">
        <f t="shared" si="75"/>
        <v>0</v>
      </c>
      <c r="P151" s="165">
        <f t="shared" si="76"/>
        <v>76800000</v>
      </c>
      <c r="Q151" s="165">
        <f t="shared" si="77"/>
        <v>200000</v>
      </c>
      <c r="V151" s="149">
        <v>76800000</v>
      </c>
      <c r="AA151" s="165"/>
      <c r="AC151" s="165"/>
      <c r="AE151" s="165"/>
    </row>
    <row r="152" spans="1:31" hidden="1" x14ac:dyDescent="0.25">
      <c r="A152" s="163">
        <v>21221346</v>
      </c>
      <c r="B152" s="164" t="s">
        <v>810</v>
      </c>
      <c r="C152" s="165"/>
      <c r="D152" s="165">
        <v>61600000</v>
      </c>
      <c r="E152" s="165">
        <v>0</v>
      </c>
      <c r="F152" s="165">
        <v>0</v>
      </c>
      <c r="G152" s="165">
        <f t="shared" si="80"/>
        <v>61600000</v>
      </c>
      <c r="H152" s="165">
        <v>0</v>
      </c>
      <c r="I152" s="165">
        <v>60000000</v>
      </c>
      <c r="J152" s="165">
        <f t="shared" si="73"/>
        <v>1600000</v>
      </c>
      <c r="K152" s="165">
        <v>7140000</v>
      </c>
      <c r="L152" s="165">
        <v>44417200</v>
      </c>
      <c r="M152" s="165">
        <f t="shared" si="74"/>
        <v>15582800</v>
      </c>
      <c r="N152" s="165">
        <v>61600000</v>
      </c>
      <c r="O152" s="165">
        <f t="shared" si="75"/>
        <v>1600000</v>
      </c>
      <c r="P152" s="165">
        <f t="shared" si="76"/>
        <v>0</v>
      </c>
      <c r="Q152" s="165">
        <f t="shared" si="77"/>
        <v>44417200</v>
      </c>
      <c r="V152" s="149">
        <v>0</v>
      </c>
      <c r="X152" s="167"/>
      <c r="Y152" s="168"/>
      <c r="AA152" s="165"/>
      <c r="AC152" s="165"/>
      <c r="AE152" s="165"/>
    </row>
    <row r="153" spans="1:31" s="100" customFormat="1" ht="45" hidden="1" x14ac:dyDescent="0.25">
      <c r="A153" s="160">
        <v>21221349</v>
      </c>
      <c r="B153" s="161" t="s">
        <v>70</v>
      </c>
      <c r="C153" s="162">
        <f>+C154+C155+C156+C159</f>
        <v>256900000</v>
      </c>
      <c r="D153" s="162">
        <f t="shared" ref="D153:N153" si="83">+D154+D155+D156+D159</f>
        <v>67600000</v>
      </c>
      <c r="E153" s="162">
        <f t="shared" si="83"/>
        <v>0</v>
      </c>
      <c r="F153" s="162">
        <f t="shared" si="83"/>
        <v>0</v>
      </c>
      <c r="G153" s="162">
        <f t="shared" si="83"/>
        <v>324500000</v>
      </c>
      <c r="H153" s="162">
        <f t="shared" si="83"/>
        <v>1072100.01</v>
      </c>
      <c r="I153" s="162">
        <f t="shared" si="83"/>
        <v>38963398.009999998</v>
      </c>
      <c r="J153" s="162">
        <f t="shared" si="73"/>
        <v>285536601.99000001</v>
      </c>
      <c r="K153" s="162">
        <f t="shared" si="83"/>
        <v>0</v>
      </c>
      <c r="L153" s="162">
        <f t="shared" si="83"/>
        <v>17705692</v>
      </c>
      <c r="M153" s="162">
        <f t="shared" si="74"/>
        <v>21257706.009999998</v>
      </c>
      <c r="N153" s="162">
        <f t="shared" si="83"/>
        <v>100499111.00999999</v>
      </c>
      <c r="O153" s="162">
        <f t="shared" si="75"/>
        <v>61535712.999999993</v>
      </c>
      <c r="P153" s="162">
        <f t="shared" si="76"/>
        <v>224000888.99000001</v>
      </c>
      <c r="Q153" s="162">
        <f t="shared" si="77"/>
        <v>17705692</v>
      </c>
      <c r="V153" s="149">
        <v>224000888.99000001</v>
      </c>
      <c r="X153" s="167"/>
      <c r="Y153" s="168"/>
      <c r="AA153" s="162"/>
      <c r="AC153" s="162"/>
      <c r="AE153" s="162"/>
    </row>
    <row r="154" spans="1:31" ht="30" hidden="1" x14ac:dyDescent="0.25">
      <c r="A154" s="163">
        <v>212213491</v>
      </c>
      <c r="B154" s="164" t="s">
        <v>580</v>
      </c>
      <c r="C154" s="165">
        <v>6900000</v>
      </c>
      <c r="D154" s="165">
        <v>0</v>
      </c>
      <c r="E154" s="165">
        <v>0</v>
      </c>
      <c r="F154" s="165">
        <v>0</v>
      </c>
      <c r="G154" s="165">
        <f t="shared" si="80"/>
        <v>6900000</v>
      </c>
      <c r="H154" s="165">
        <v>0</v>
      </c>
      <c r="I154" s="165">
        <v>0</v>
      </c>
      <c r="J154" s="165">
        <f t="shared" si="73"/>
        <v>6900000</v>
      </c>
      <c r="K154" s="165">
        <v>0</v>
      </c>
      <c r="L154" s="165">
        <v>0</v>
      </c>
      <c r="M154" s="165">
        <f t="shared" si="74"/>
        <v>0</v>
      </c>
      <c r="N154" s="165">
        <v>0</v>
      </c>
      <c r="O154" s="165">
        <f t="shared" si="75"/>
        <v>0</v>
      </c>
      <c r="P154" s="165">
        <f t="shared" si="76"/>
        <v>6900000</v>
      </c>
      <c r="Q154" s="165">
        <f t="shared" si="77"/>
        <v>0</v>
      </c>
      <c r="V154" s="149">
        <v>6900000</v>
      </c>
      <c r="X154" s="167"/>
      <c r="Y154" s="168"/>
      <c r="AA154" s="165"/>
      <c r="AC154" s="165"/>
      <c r="AE154" s="165"/>
    </row>
    <row r="155" spans="1:31" hidden="1" x14ac:dyDescent="0.25">
      <c r="A155" s="163">
        <v>212213492</v>
      </c>
      <c r="B155" s="164" t="s">
        <v>581</v>
      </c>
      <c r="C155" s="165">
        <v>250000000</v>
      </c>
      <c r="D155" s="165">
        <v>2600000</v>
      </c>
      <c r="E155" s="165">
        <v>0</v>
      </c>
      <c r="F155" s="165">
        <v>0</v>
      </c>
      <c r="G155" s="165">
        <f t="shared" si="80"/>
        <v>252600000</v>
      </c>
      <c r="H155" s="165">
        <v>0</v>
      </c>
      <c r="I155" s="165">
        <v>8730124</v>
      </c>
      <c r="J155" s="165">
        <f t="shared" si="73"/>
        <v>243869876</v>
      </c>
      <c r="K155" s="165">
        <v>0</v>
      </c>
      <c r="L155" s="165">
        <v>8730124</v>
      </c>
      <c r="M155" s="165">
        <f t="shared" si="74"/>
        <v>0</v>
      </c>
      <c r="N155" s="165">
        <v>59465305</v>
      </c>
      <c r="O155" s="165">
        <f t="shared" si="75"/>
        <v>50735181</v>
      </c>
      <c r="P155" s="165">
        <f t="shared" si="76"/>
        <v>193134695</v>
      </c>
      <c r="Q155" s="165">
        <f t="shared" si="77"/>
        <v>8730124</v>
      </c>
      <c r="V155" s="149">
        <v>193134695</v>
      </c>
      <c r="X155" s="167"/>
      <c r="Y155" s="168"/>
      <c r="AA155" s="165"/>
      <c r="AC155" s="165"/>
      <c r="AE155" s="165"/>
    </row>
    <row r="156" spans="1:31" s="100" customFormat="1" hidden="1" x14ac:dyDescent="0.25">
      <c r="A156" s="160">
        <v>212213496</v>
      </c>
      <c r="B156" s="161" t="s">
        <v>71</v>
      </c>
      <c r="C156" s="162">
        <f>+C157+C158</f>
        <v>0</v>
      </c>
      <c r="D156" s="162">
        <f t="shared" ref="D156:N156" si="84">+D157+D158</f>
        <v>25000000</v>
      </c>
      <c r="E156" s="162">
        <f t="shared" si="84"/>
        <v>0</v>
      </c>
      <c r="F156" s="162">
        <f t="shared" si="84"/>
        <v>0</v>
      </c>
      <c r="G156" s="162">
        <f t="shared" si="84"/>
        <v>25000000</v>
      </c>
      <c r="H156" s="162">
        <f t="shared" si="84"/>
        <v>430100.01</v>
      </c>
      <c r="I156" s="162">
        <f t="shared" si="84"/>
        <v>13096306.01</v>
      </c>
      <c r="J156" s="162">
        <f t="shared" si="73"/>
        <v>11903693.99</v>
      </c>
      <c r="K156" s="162">
        <f t="shared" si="84"/>
        <v>0</v>
      </c>
      <c r="L156" s="162">
        <f t="shared" si="84"/>
        <v>3638750</v>
      </c>
      <c r="M156" s="162">
        <f t="shared" si="74"/>
        <v>9457556.0099999998</v>
      </c>
      <c r="N156" s="162">
        <f t="shared" si="84"/>
        <v>20654988.009999998</v>
      </c>
      <c r="O156" s="162">
        <f t="shared" si="75"/>
        <v>7558681.9999999981</v>
      </c>
      <c r="P156" s="162">
        <f t="shared" si="76"/>
        <v>4345011.9900000021</v>
      </c>
      <c r="Q156" s="162">
        <f t="shared" si="77"/>
        <v>3638750</v>
      </c>
      <c r="V156" s="149">
        <v>4345011.9900000021</v>
      </c>
      <c r="X156" s="167"/>
      <c r="Y156" s="168"/>
      <c r="AA156" s="162"/>
      <c r="AC156" s="162"/>
      <c r="AE156" s="162"/>
    </row>
    <row r="157" spans="1:31" ht="30" hidden="1" x14ac:dyDescent="0.25">
      <c r="A157" s="163">
        <v>2122134962</v>
      </c>
      <c r="B157" s="164" t="s">
        <v>582</v>
      </c>
      <c r="C157" s="165">
        <v>0</v>
      </c>
      <c r="D157" s="165">
        <v>10000000</v>
      </c>
      <c r="E157" s="165">
        <v>0</v>
      </c>
      <c r="F157" s="165">
        <v>0</v>
      </c>
      <c r="G157" s="165">
        <f t="shared" si="80"/>
        <v>10000000</v>
      </c>
      <c r="H157" s="165">
        <v>170100</v>
      </c>
      <c r="I157" s="165">
        <v>1920250</v>
      </c>
      <c r="J157" s="165">
        <f t="shared" si="73"/>
        <v>8079750</v>
      </c>
      <c r="K157" s="165">
        <v>0</v>
      </c>
      <c r="L157" s="165">
        <v>1750150</v>
      </c>
      <c r="M157" s="165">
        <f t="shared" si="74"/>
        <v>170100</v>
      </c>
      <c r="N157" s="165">
        <v>7587150</v>
      </c>
      <c r="O157" s="165">
        <f t="shared" si="75"/>
        <v>5666900</v>
      </c>
      <c r="P157" s="165">
        <f t="shared" si="76"/>
        <v>2412850</v>
      </c>
      <c r="Q157" s="165">
        <f t="shared" si="77"/>
        <v>1750150</v>
      </c>
      <c r="V157" s="149">
        <v>2412850</v>
      </c>
      <c r="X157" s="167"/>
      <c r="Y157" s="168"/>
      <c r="AA157" s="165"/>
      <c r="AC157" s="165"/>
      <c r="AE157" s="165"/>
    </row>
    <row r="158" spans="1:31" hidden="1" x14ac:dyDescent="0.25">
      <c r="A158" s="163">
        <v>2122134963</v>
      </c>
      <c r="B158" s="164" t="s">
        <v>583</v>
      </c>
      <c r="C158" s="165">
        <v>0</v>
      </c>
      <c r="D158" s="165">
        <v>15000000</v>
      </c>
      <c r="E158" s="165">
        <v>0</v>
      </c>
      <c r="F158" s="165">
        <v>0</v>
      </c>
      <c r="G158" s="165">
        <f t="shared" si="80"/>
        <v>15000000</v>
      </c>
      <c r="H158" s="165">
        <v>260000.01</v>
      </c>
      <c r="I158" s="165">
        <v>11176056.01</v>
      </c>
      <c r="J158" s="165">
        <f t="shared" si="73"/>
        <v>3823943.99</v>
      </c>
      <c r="K158" s="165">
        <v>0</v>
      </c>
      <c r="L158" s="165">
        <v>1888600</v>
      </c>
      <c r="M158" s="165">
        <f t="shared" si="74"/>
        <v>9287456.0099999998</v>
      </c>
      <c r="N158" s="165">
        <v>13067838.01</v>
      </c>
      <c r="O158" s="165">
        <f t="shared" si="75"/>
        <v>1891782</v>
      </c>
      <c r="P158" s="165">
        <f t="shared" si="76"/>
        <v>1932161.9900000002</v>
      </c>
      <c r="Q158" s="165">
        <f t="shared" si="77"/>
        <v>1888600</v>
      </c>
      <c r="V158" s="149">
        <v>1932161.9900000002</v>
      </c>
      <c r="X158" s="167"/>
      <c r="Y158" s="168"/>
      <c r="AA158" s="165"/>
      <c r="AC158" s="165"/>
      <c r="AE158" s="165"/>
    </row>
    <row r="159" spans="1:31" s="100" customFormat="1" ht="30" hidden="1" x14ac:dyDescent="0.25">
      <c r="A159" s="160">
        <v>212213497</v>
      </c>
      <c r="B159" s="161" t="s">
        <v>813</v>
      </c>
      <c r="C159" s="162">
        <f>+C160+C161</f>
        <v>0</v>
      </c>
      <c r="D159" s="162">
        <f t="shared" ref="D159:N159" si="85">+D160+D161</f>
        <v>40000000</v>
      </c>
      <c r="E159" s="162">
        <f t="shared" si="85"/>
        <v>0</v>
      </c>
      <c r="F159" s="162">
        <f t="shared" si="85"/>
        <v>0</v>
      </c>
      <c r="G159" s="162">
        <f t="shared" si="85"/>
        <v>40000000</v>
      </c>
      <c r="H159" s="162">
        <f t="shared" si="85"/>
        <v>642000</v>
      </c>
      <c r="I159" s="162">
        <f t="shared" si="85"/>
        <v>17136968</v>
      </c>
      <c r="J159" s="162">
        <f t="shared" si="73"/>
        <v>22863032</v>
      </c>
      <c r="K159" s="162">
        <f t="shared" si="85"/>
        <v>0</v>
      </c>
      <c r="L159" s="162">
        <f t="shared" si="85"/>
        <v>5336818</v>
      </c>
      <c r="M159" s="162">
        <f t="shared" si="74"/>
        <v>11800150</v>
      </c>
      <c r="N159" s="162">
        <f t="shared" si="85"/>
        <v>20378818</v>
      </c>
      <c r="O159" s="162">
        <f t="shared" si="75"/>
        <v>3241850</v>
      </c>
      <c r="P159" s="162">
        <f t="shared" si="76"/>
        <v>19621182</v>
      </c>
      <c r="Q159" s="162">
        <f t="shared" si="77"/>
        <v>5336818</v>
      </c>
      <c r="V159" s="149">
        <v>19621182</v>
      </c>
      <c r="X159" s="167"/>
      <c r="Y159" s="168"/>
      <c r="AA159" s="162"/>
      <c r="AC159" s="162"/>
      <c r="AE159" s="162"/>
    </row>
    <row r="160" spans="1:31" hidden="1" x14ac:dyDescent="0.25">
      <c r="A160" s="163">
        <v>2122134971</v>
      </c>
      <c r="B160" s="164" t="s">
        <v>814</v>
      </c>
      <c r="C160" s="165"/>
      <c r="D160" s="165">
        <v>15000000</v>
      </c>
      <c r="E160" s="165">
        <v>0</v>
      </c>
      <c r="F160" s="165">
        <v>0</v>
      </c>
      <c r="G160" s="165">
        <f t="shared" si="80"/>
        <v>15000000</v>
      </c>
      <c r="H160" s="165">
        <v>0</v>
      </c>
      <c r="I160" s="165">
        <v>11758150</v>
      </c>
      <c r="J160" s="165">
        <f t="shared" si="73"/>
        <v>3241850</v>
      </c>
      <c r="K160" s="165">
        <v>0</v>
      </c>
      <c r="L160" s="165">
        <v>600000</v>
      </c>
      <c r="M160" s="165">
        <f t="shared" si="74"/>
        <v>11158150</v>
      </c>
      <c r="N160" s="165">
        <v>15000000</v>
      </c>
      <c r="O160" s="165">
        <f t="shared" si="75"/>
        <v>3241850</v>
      </c>
      <c r="P160" s="165">
        <f t="shared" si="76"/>
        <v>0</v>
      </c>
      <c r="Q160" s="165">
        <f t="shared" si="77"/>
        <v>600000</v>
      </c>
      <c r="V160" s="149">
        <v>0</v>
      </c>
      <c r="X160" s="167"/>
      <c r="Y160" s="168"/>
      <c r="AA160" s="165"/>
      <c r="AC160" s="165"/>
      <c r="AE160" s="165"/>
    </row>
    <row r="161" spans="1:31" hidden="1" x14ac:dyDescent="0.25">
      <c r="A161" s="163">
        <v>2122134974</v>
      </c>
      <c r="B161" s="164" t="s">
        <v>815</v>
      </c>
      <c r="C161" s="165"/>
      <c r="D161" s="165">
        <v>25000000</v>
      </c>
      <c r="E161" s="165">
        <v>0</v>
      </c>
      <c r="F161" s="165">
        <v>0</v>
      </c>
      <c r="G161" s="165">
        <f t="shared" si="80"/>
        <v>25000000</v>
      </c>
      <c r="H161" s="165">
        <v>642000</v>
      </c>
      <c r="I161" s="165">
        <v>5378818</v>
      </c>
      <c r="J161" s="165">
        <f t="shared" si="73"/>
        <v>19621182</v>
      </c>
      <c r="K161" s="165">
        <v>0</v>
      </c>
      <c r="L161" s="165">
        <v>4736818</v>
      </c>
      <c r="M161" s="165">
        <f t="shared" si="74"/>
        <v>642000</v>
      </c>
      <c r="N161" s="165">
        <v>5378818</v>
      </c>
      <c r="O161" s="165">
        <f t="shared" si="75"/>
        <v>0</v>
      </c>
      <c r="P161" s="165">
        <f t="shared" si="76"/>
        <v>19621182</v>
      </c>
      <c r="Q161" s="165">
        <f t="shared" si="77"/>
        <v>4736818</v>
      </c>
      <c r="V161" s="149">
        <v>19621182</v>
      </c>
      <c r="X161" s="167"/>
      <c r="Y161" s="168"/>
      <c r="AA161" s="165"/>
      <c r="AC161" s="165"/>
      <c r="AE161" s="165"/>
    </row>
    <row r="162" spans="1:31" s="100" customFormat="1" hidden="1" x14ac:dyDescent="0.25">
      <c r="A162" s="157">
        <v>21222</v>
      </c>
      <c r="B162" s="158" t="s">
        <v>72</v>
      </c>
      <c r="C162" s="159">
        <f>+C163+C165+C168+C175+C191+C220</f>
        <v>6117300000</v>
      </c>
      <c r="D162" s="159">
        <f t="shared" ref="D162:N162" si="86">+D163+D165+D168+D175+D191+D220</f>
        <v>2061513991</v>
      </c>
      <c r="E162" s="159">
        <f t="shared" si="86"/>
        <v>369312351</v>
      </c>
      <c r="F162" s="159">
        <f t="shared" si="86"/>
        <v>1255015764</v>
      </c>
      <c r="G162" s="159">
        <f t="shared" si="86"/>
        <v>9064717404</v>
      </c>
      <c r="H162" s="159">
        <f t="shared" si="86"/>
        <v>472121716.00999999</v>
      </c>
      <c r="I162" s="159">
        <f t="shared" si="86"/>
        <v>6293692168.9099998</v>
      </c>
      <c r="J162" s="159">
        <f t="shared" si="73"/>
        <v>2771025235.0900002</v>
      </c>
      <c r="K162" s="159">
        <f t="shared" si="86"/>
        <v>582369036.18999994</v>
      </c>
      <c r="L162" s="159">
        <f t="shared" si="86"/>
        <v>3264040616.4099998</v>
      </c>
      <c r="M162" s="159">
        <f t="shared" si="74"/>
        <v>3029651552.5</v>
      </c>
      <c r="N162" s="159">
        <f t="shared" si="86"/>
        <v>7473602974.8999996</v>
      </c>
      <c r="O162" s="159">
        <f t="shared" si="75"/>
        <v>1179910805.9899998</v>
      </c>
      <c r="P162" s="159">
        <f t="shared" si="76"/>
        <v>1591114429.1000004</v>
      </c>
      <c r="Q162" s="159">
        <f t="shared" si="77"/>
        <v>3264040616.4099998</v>
      </c>
      <c r="V162" s="149">
        <v>1419357194.1000004</v>
      </c>
      <c r="AA162" s="159"/>
      <c r="AC162" s="159"/>
      <c r="AE162" s="159"/>
    </row>
    <row r="163" spans="1:31" s="100" customFormat="1" ht="30" hidden="1" x14ac:dyDescent="0.25">
      <c r="A163" s="160">
        <v>212221</v>
      </c>
      <c r="B163" s="161" t="s">
        <v>20</v>
      </c>
      <c r="C163" s="162">
        <f>+C164</f>
        <v>350000000</v>
      </c>
      <c r="D163" s="162">
        <f t="shared" ref="D163:N163" si="87">+D164</f>
        <v>0</v>
      </c>
      <c r="E163" s="162">
        <f t="shared" si="87"/>
        <v>0</v>
      </c>
      <c r="F163" s="162">
        <f t="shared" si="87"/>
        <v>0</v>
      </c>
      <c r="G163" s="162">
        <f t="shared" si="87"/>
        <v>350000000</v>
      </c>
      <c r="H163" s="162">
        <f t="shared" si="87"/>
        <v>4765016</v>
      </c>
      <c r="I163" s="162">
        <f t="shared" si="87"/>
        <v>110082631</v>
      </c>
      <c r="J163" s="162">
        <f t="shared" si="73"/>
        <v>239917369</v>
      </c>
      <c r="K163" s="162">
        <f t="shared" si="87"/>
        <v>3818853</v>
      </c>
      <c r="L163" s="162">
        <f t="shared" si="87"/>
        <v>112000562</v>
      </c>
      <c r="M163" s="162">
        <f t="shared" si="74"/>
        <v>-1917931</v>
      </c>
      <c r="N163" s="162">
        <f t="shared" si="87"/>
        <v>178442765</v>
      </c>
      <c r="O163" s="162">
        <f t="shared" si="75"/>
        <v>68360134</v>
      </c>
      <c r="P163" s="162">
        <f t="shared" si="76"/>
        <v>171557235</v>
      </c>
      <c r="Q163" s="162">
        <f t="shared" si="77"/>
        <v>112000562</v>
      </c>
      <c r="V163" s="149">
        <v>171557235</v>
      </c>
      <c r="X163" s="84"/>
      <c r="Y163" s="84"/>
      <c r="AA163" s="162"/>
      <c r="AC163" s="162"/>
      <c r="AE163" s="162"/>
    </row>
    <row r="164" spans="1:31" hidden="1" x14ac:dyDescent="0.25">
      <c r="A164" s="163">
        <v>2122211</v>
      </c>
      <c r="B164" s="164" t="s">
        <v>73</v>
      </c>
      <c r="C164" s="165">
        <v>350000000</v>
      </c>
      <c r="D164" s="165">
        <v>0</v>
      </c>
      <c r="E164" s="165">
        <v>0</v>
      </c>
      <c r="F164" s="165">
        <v>0</v>
      </c>
      <c r="G164" s="165">
        <f t="shared" si="80"/>
        <v>350000000</v>
      </c>
      <c r="H164" s="165">
        <v>4765016</v>
      </c>
      <c r="I164" s="165">
        <v>110082631</v>
      </c>
      <c r="J164" s="165">
        <f t="shared" si="73"/>
        <v>239917369</v>
      </c>
      <c r="K164" s="165">
        <v>3818853</v>
      </c>
      <c r="L164" s="165">
        <v>112000562</v>
      </c>
      <c r="M164" s="165">
        <f t="shared" si="74"/>
        <v>-1917931</v>
      </c>
      <c r="N164" s="165">
        <v>178442765</v>
      </c>
      <c r="O164" s="165">
        <f t="shared" si="75"/>
        <v>68360134</v>
      </c>
      <c r="P164" s="165">
        <f t="shared" si="76"/>
        <v>171557235</v>
      </c>
      <c r="Q164" s="165">
        <f t="shared" si="77"/>
        <v>112000562</v>
      </c>
      <c r="V164" s="149">
        <v>171557235</v>
      </c>
      <c r="AA164" s="165"/>
      <c r="AC164" s="165"/>
      <c r="AE164" s="165"/>
    </row>
    <row r="165" spans="1:31" s="100" customFormat="1" hidden="1" x14ac:dyDescent="0.25">
      <c r="A165" s="160">
        <v>212225</v>
      </c>
      <c r="B165" s="161" t="s">
        <v>816</v>
      </c>
      <c r="C165" s="162">
        <f>+C166</f>
        <v>0</v>
      </c>
      <c r="D165" s="162">
        <f t="shared" ref="D165:N165" si="88">+D166</f>
        <v>34000000</v>
      </c>
      <c r="E165" s="162">
        <f t="shared" si="88"/>
        <v>0</v>
      </c>
      <c r="F165" s="162">
        <f t="shared" si="88"/>
        <v>429515764</v>
      </c>
      <c r="G165" s="162">
        <f t="shared" si="88"/>
        <v>463515764</v>
      </c>
      <c r="H165" s="162">
        <f t="shared" si="88"/>
        <v>274547823</v>
      </c>
      <c r="I165" s="162">
        <f t="shared" si="88"/>
        <v>308547823</v>
      </c>
      <c r="J165" s="162">
        <f t="shared" si="73"/>
        <v>154967941</v>
      </c>
      <c r="K165" s="162">
        <f t="shared" si="88"/>
        <v>0</v>
      </c>
      <c r="L165" s="162">
        <f t="shared" si="88"/>
        <v>34000000</v>
      </c>
      <c r="M165" s="162">
        <f t="shared" si="74"/>
        <v>274547823</v>
      </c>
      <c r="N165" s="162">
        <f t="shared" si="88"/>
        <v>308547823</v>
      </c>
      <c r="O165" s="162">
        <f t="shared" si="75"/>
        <v>0</v>
      </c>
      <c r="P165" s="162">
        <f t="shared" si="76"/>
        <v>154967941</v>
      </c>
      <c r="Q165" s="162">
        <f t="shared" si="77"/>
        <v>34000000</v>
      </c>
      <c r="V165" s="149">
        <v>154967941</v>
      </c>
      <c r="X165" s="84"/>
      <c r="Y165" s="84"/>
      <c r="AA165" s="162"/>
      <c r="AC165" s="162"/>
      <c r="AE165" s="162"/>
    </row>
    <row r="166" spans="1:31" ht="30" hidden="1" x14ac:dyDescent="0.25">
      <c r="A166" s="163">
        <v>2122252</v>
      </c>
      <c r="B166" s="164" t="s">
        <v>817</v>
      </c>
      <c r="C166" s="165">
        <f>+C167</f>
        <v>0</v>
      </c>
      <c r="D166" s="165">
        <v>34000000</v>
      </c>
      <c r="E166" s="165">
        <v>0</v>
      </c>
      <c r="F166" s="165">
        <v>429515764</v>
      </c>
      <c r="G166" s="165">
        <f t="shared" si="80"/>
        <v>463515764</v>
      </c>
      <c r="H166" s="165">
        <v>274547823</v>
      </c>
      <c r="I166" s="165">
        <v>308547823</v>
      </c>
      <c r="J166" s="165">
        <f t="shared" si="73"/>
        <v>154967941</v>
      </c>
      <c r="K166" s="165">
        <v>0</v>
      </c>
      <c r="L166" s="165">
        <v>34000000</v>
      </c>
      <c r="M166" s="165">
        <f t="shared" si="74"/>
        <v>274547823</v>
      </c>
      <c r="N166" s="165">
        <v>308547823</v>
      </c>
      <c r="O166" s="165">
        <f t="shared" si="75"/>
        <v>0</v>
      </c>
      <c r="P166" s="165">
        <f t="shared" si="76"/>
        <v>154967941</v>
      </c>
      <c r="Q166" s="165">
        <f t="shared" si="77"/>
        <v>34000000</v>
      </c>
      <c r="V166" s="149">
        <v>154967941</v>
      </c>
      <c r="AA166" s="165"/>
      <c r="AC166" s="165"/>
      <c r="AE166" s="165"/>
    </row>
    <row r="167" spans="1:31" ht="30" hidden="1" x14ac:dyDescent="0.25">
      <c r="A167" s="163">
        <v>21222524</v>
      </c>
      <c r="B167" s="164" t="s">
        <v>818</v>
      </c>
      <c r="C167" s="165"/>
      <c r="D167" s="165">
        <v>34000000</v>
      </c>
      <c r="E167" s="165">
        <v>0</v>
      </c>
      <c r="F167" s="165">
        <v>429515764</v>
      </c>
      <c r="G167" s="165">
        <f t="shared" si="80"/>
        <v>463515764</v>
      </c>
      <c r="H167" s="165">
        <v>274547823</v>
      </c>
      <c r="I167" s="165">
        <v>308547823</v>
      </c>
      <c r="J167" s="165">
        <f t="shared" si="73"/>
        <v>154967941</v>
      </c>
      <c r="K167" s="165">
        <v>0</v>
      </c>
      <c r="L167" s="165">
        <v>34000000</v>
      </c>
      <c r="M167" s="165">
        <f t="shared" si="74"/>
        <v>274547823</v>
      </c>
      <c r="N167" s="165">
        <v>308547823</v>
      </c>
      <c r="O167" s="165">
        <f t="shared" si="75"/>
        <v>0</v>
      </c>
      <c r="P167" s="165">
        <f t="shared" si="76"/>
        <v>154967941</v>
      </c>
      <c r="Q167" s="165">
        <f t="shared" si="77"/>
        <v>34000000</v>
      </c>
      <c r="V167" s="149">
        <v>154967941</v>
      </c>
      <c r="X167" s="167"/>
      <c r="Y167" s="168"/>
      <c r="AA167" s="165"/>
      <c r="AC167" s="165"/>
      <c r="AE167" s="165"/>
    </row>
    <row r="168" spans="1:31" s="100" customFormat="1" ht="45" hidden="1" x14ac:dyDescent="0.25">
      <c r="A168" s="157">
        <v>212226</v>
      </c>
      <c r="B168" s="158" t="s">
        <v>74</v>
      </c>
      <c r="C168" s="159">
        <f>+C169+C173+C174</f>
        <v>470000000</v>
      </c>
      <c r="D168" s="159">
        <f t="shared" ref="D168:N168" si="89">+D169+D173+D174</f>
        <v>0</v>
      </c>
      <c r="E168" s="159">
        <f t="shared" si="89"/>
        <v>0</v>
      </c>
      <c r="F168" s="159">
        <f t="shared" si="89"/>
        <v>0</v>
      </c>
      <c r="G168" s="159">
        <f t="shared" si="89"/>
        <v>470000000</v>
      </c>
      <c r="H168" s="159">
        <f t="shared" si="89"/>
        <v>0</v>
      </c>
      <c r="I168" s="159">
        <f t="shared" si="89"/>
        <v>291265502</v>
      </c>
      <c r="J168" s="159">
        <f t="shared" si="73"/>
        <v>178734498</v>
      </c>
      <c r="K168" s="159">
        <f t="shared" si="89"/>
        <v>8197422.6699999999</v>
      </c>
      <c r="L168" s="159">
        <f t="shared" si="89"/>
        <v>15519464.67</v>
      </c>
      <c r="M168" s="159">
        <f t="shared" si="74"/>
        <v>275746037.32999998</v>
      </c>
      <c r="N168" s="159">
        <f t="shared" si="89"/>
        <v>331365502</v>
      </c>
      <c r="O168" s="159">
        <f t="shared" si="75"/>
        <v>40100000</v>
      </c>
      <c r="P168" s="159">
        <f t="shared" si="76"/>
        <v>138634498</v>
      </c>
      <c r="Q168" s="159">
        <f t="shared" si="77"/>
        <v>15519464.67</v>
      </c>
      <c r="V168" s="149">
        <v>138634498</v>
      </c>
      <c r="X168" s="167"/>
      <c r="Y168" s="168"/>
      <c r="AA168" s="159"/>
      <c r="AC168" s="159"/>
      <c r="AE168" s="159"/>
    </row>
    <row r="169" spans="1:31" s="100" customFormat="1" ht="30" hidden="1" x14ac:dyDescent="0.25">
      <c r="A169" s="160">
        <v>2122261</v>
      </c>
      <c r="B169" s="161" t="s">
        <v>75</v>
      </c>
      <c r="C169" s="162">
        <f>+C170+C171+C172</f>
        <v>97000000</v>
      </c>
      <c r="D169" s="162">
        <f t="shared" ref="D169:N169" si="90">+D170+D171+D172</f>
        <v>0</v>
      </c>
      <c r="E169" s="162">
        <f t="shared" si="90"/>
        <v>0</v>
      </c>
      <c r="F169" s="162">
        <f t="shared" si="90"/>
        <v>0</v>
      </c>
      <c r="G169" s="162">
        <f t="shared" si="90"/>
        <v>97000000</v>
      </c>
      <c r="H169" s="162">
        <f t="shared" si="90"/>
        <v>0</v>
      </c>
      <c r="I169" s="162">
        <f t="shared" si="90"/>
        <v>97000000</v>
      </c>
      <c r="J169" s="162">
        <f t="shared" si="73"/>
        <v>0</v>
      </c>
      <c r="K169" s="162">
        <f t="shared" si="90"/>
        <v>8197422.6699999999</v>
      </c>
      <c r="L169" s="162">
        <f t="shared" si="90"/>
        <v>14553962.67</v>
      </c>
      <c r="M169" s="162">
        <f t="shared" si="74"/>
        <v>82446037.329999998</v>
      </c>
      <c r="N169" s="162">
        <f t="shared" si="90"/>
        <v>97000000</v>
      </c>
      <c r="O169" s="162">
        <f t="shared" si="75"/>
        <v>0</v>
      </c>
      <c r="P169" s="162">
        <f t="shared" si="76"/>
        <v>0</v>
      </c>
      <c r="Q169" s="162">
        <f t="shared" si="77"/>
        <v>14553962.67</v>
      </c>
      <c r="V169" s="149">
        <v>0</v>
      </c>
      <c r="X169" s="167"/>
      <c r="Y169" s="168"/>
      <c r="AA169" s="162"/>
      <c r="AC169" s="162"/>
      <c r="AE169" s="162"/>
    </row>
    <row r="170" spans="1:31" ht="30" hidden="1" x14ac:dyDescent="0.25">
      <c r="A170" s="163">
        <v>21222611</v>
      </c>
      <c r="B170" s="164" t="s">
        <v>584</v>
      </c>
      <c r="C170" s="165">
        <v>37000000</v>
      </c>
      <c r="D170" s="165">
        <v>0</v>
      </c>
      <c r="E170" s="165">
        <v>0</v>
      </c>
      <c r="F170" s="165">
        <v>0</v>
      </c>
      <c r="G170" s="165">
        <f t="shared" si="80"/>
        <v>37000000</v>
      </c>
      <c r="H170" s="165">
        <v>0</v>
      </c>
      <c r="I170" s="165">
        <v>37000000</v>
      </c>
      <c r="J170" s="165">
        <f t="shared" si="73"/>
        <v>0</v>
      </c>
      <c r="K170" s="165">
        <v>0</v>
      </c>
      <c r="L170" s="165">
        <v>0</v>
      </c>
      <c r="M170" s="165">
        <f t="shared" si="74"/>
        <v>37000000</v>
      </c>
      <c r="N170" s="165">
        <v>37000000</v>
      </c>
      <c r="O170" s="165">
        <f t="shared" si="75"/>
        <v>0</v>
      </c>
      <c r="P170" s="165">
        <f t="shared" si="76"/>
        <v>0</v>
      </c>
      <c r="Q170" s="165">
        <f t="shared" si="77"/>
        <v>0</v>
      </c>
      <c r="V170" s="149">
        <v>0</v>
      </c>
      <c r="X170" s="167"/>
      <c r="Y170" s="168"/>
      <c r="AA170" s="165"/>
      <c r="AC170" s="165"/>
      <c r="AE170" s="165"/>
    </row>
    <row r="171" spans="1:31" hidden="1" x14ac:dyDescent="0.25">
      <c r="A171" s="163">
        <v>21222612</v>
      </c>
      <c r="B171" s="164" t="s">
        <v>585</v>
      </c>
      <c r="C171" s="165">
        <v>25000000</v>
      </c>
      <c r="D171" s="165">
        <v>0</v>
      </c>
      <c r="E171" s="165">
        <v>0</v>
      </c>
      <c r="F171" s="165">
        <v>0</v>
      </c>
      <c r="G171" s="165">
        <f t="shared" si="80"/>
        <v>25000000</v>
      </c>
      <c r="H171" s="165">
        <v>0</v>
      </c>
      <c r="I171" s="165">
        <v>25000000</v>
      </c>
      <c r="J171" s="165">
        <f t="shared" si="73"/>
        <v>0</v>
      </c>
      <c r="K171" s="165">
        <v>0</v>
      </c>
      <c r="L171" s="165">
        <v>0</v>
      </c>
      <c r="M171" s="165">
        <f t="shared" si="74"/>
        <v>25000000</v>
      </c>
      <c r="N171" s="165">
        <v>25000000</v>
      </c>
      <c r="O171" s="165">
        <f t="shared" si="75"/>
        <v>0</v>
      </c>
      <c r="P171" s="165">
        <f t="shared" si="76"/>
        <v>0</v>
      </c>
      <c r="Q171" s="165">
        <f t="shared" si="77"/>
        <v>0</v>
      </c>
      <c r="V171" s="149">
        <v>0</v>
      </c>
      <c r="X171" s="167"/>
      <c r="Y171" s="168"/>
      <c r="AA171" s="165"/>
      <c r="AC171" s="165"/>
      <c r="AE171" s="165"/>
    </row>
    <row r="172" spans="1:31" hidden="1" x14ac:dyDescent="0.25">
      <c r="A172" s="163">
        <v>21222613</v>
      </c>
      <c r="B172" s="164" t="s">
        <v>586</v>
      </c>
      <c r="C172" s="165">
        <v>35000000</v>
      </c>
      <c r="D172" s="165">
        <v>0</v>
      </c>
      <c r="E172" s="165">
        <v>0</v>
      </c>
      <c r="F172" s="165">
        <v>0</v>
      </c>
      <c r="G172" s="165">
        <f t="shared" si="80"/>
        <v>35000000</v>
      </c>
      <c r="H172" s="165">
        <v>0</v>
      </c>
      <c r="I172" s="165">
        <v>35000000</v>
      </c>
      <c r="J172" s="165">
        <f t="shared" si="73"/>
        <v>0</v>
      </c>
      <c r="K172" s="165">
        <v>8197422.6699999999</v>
      </c>
      <c r="L172" s="165">
        <v>14553962.67</v>
      </c>
      <c r="M172" s="165">
        <f t="shared" si="74"/>
        <v>20446037.329999998</v>
      </c>
      <c r="N172" s="165">
        <v>35000000</v>
      </c>
      <c r="O172" s="165">
        <f t="shared" si="75"/>
        <v>0</v>
      </c>
      <c r="P172" s="165">
        <f t="shared" si="76"/>
        <v>0</v>
      </c>
      <c r="Q172" s="165">
        <f t="shared" si="77"/>
        <v>14553962.67</v>
      </c>
      <c r="V172" s="149">
        <v>0</v>
      </c>
      <c r="X172" s="167"/>
      <c r="Y172" s="168"/>
      <c r="AA172" s="165"/>
      <c r="AC172" s="165"/>
      <c r="AE172" s="165"/>
    </row>
    <row r="173" spans="1:31" hidden="1" x14ac:dyDescent="0.25">
      <c r="A173" s="163">
        <v>2122262</v>
      </c>
      <c r="B173" s="164" t="s">
        <v>587</v>
      </c>
      <c r="C173" s="165">
        <v>300000000</v>
      </c>
      <c r="D173" s="165">
        <v>0</v>
      </c>
      <c r="E173" s="165">
        <v>0</v>
      </c>
      <c r="F173" s="165">
        <v>0</v>
      </c>
      <c r="G173" s="165">
        <f t="shared" si="80"/>
        <v>300000000</v>
      </c>
      <c r="H173" s="165">
        <v>0</v>
      </c>
      <c r="I173" s="165">
        <v>176765502</v>
      </c>
      <c r="J173" s="165">
        <f t="shared" si="73"/>
        <v>123234498</v>
      </c>
      <c r="K173" s="165">
        <v>0</v>
      </c>
      <c r="L173" s="165">
        <v>965502</v>
      </c>
      <c r="M173" s="165">
        <f t="shared" si="74"/>
        <v>175800000</v>
      </c>
      <c r="N173" s="165">
        <v>181865502</v>
      </c>
      <c r="O173" s="165">
        <f t="shared" si="75"/>
        <v>5100000</v>
      </c>
      <c r="P173" s="165">
        <f t="shared" si="76"/>
        <v>118134498</v>
      </c>
      <c r="Q173" s="165">
        <f t="shared" si="77"/>
        <v>965502</v>
      </c>
      <c r="V173" s="149">
        <v>118134498</v>
      </c>
      <c r="X173" s="167"/>
      <c r="Y173" s="168"/>
      <c r="AA173" s="165"/>
      <c r="AC173" s="165"/>
      <c r="AE173" s="165"/>
    </row>
    <row r="174" spans="1:31" hidden="1" x14ac:dyDescent="0.25">
      <c r="A174" s="163">
        <v>2122266</v>
      </c>
      <c r="B174" s="164" t="s">
        <v>588</v>
      </c>
      <c r="C174" s="165">
        <v>73000000</v>
      </c>
      <c r="D174" s="165">
        <v>0</v>
      </c>
      <c r="E174" s="165">
        <v>0</v>
      </c>
      <c r="F174" s="165">
        <v>0</v>
      </c>
      <c r="G174" s="165">
        <f t="shared" si="80"/>
        <v>73000000</v>
      </c>
      <c r="H174" s="165">
        <v>0</v>
      </c>
      <c r="I174" s="165">
        <v>17500000</v>
      </c>
      <c r="J174" s="165">
        <f t="shared" si="73"/>
        <v>55500000</v>
      </c>
      <c r="K174" s="165">
        <v>0</v>
      </c>
      <c r="L174" s="165">
        <v>0</v>
      </c>
      <c r="M174" s="165">
        <f t="shared" si="74"/>
        <v>17500000</v>
      </c>
      <c r="N174" s="165">
        <v>52500000</v>
      </c>
      <c r="O174" s="165">
        <f t="shared" si="75"/>
        <v>35000000</v>
      </c>
      <c r="P174" s="165">
        <f t="shared" si="76"/>
        <v>20500000</v>
      </c>
      <c r="Q174" s="165">
        <f t="shared" si="77"/>
        <v>0</v>
      </c>
      <c r="V174" s="149">
        <v>20500000</v>
      </c>
      <c r="X174" s="167"/>
      <c r="Y174" s="168"/>
      <c r="AA174" s="165"/>
      <c r="AC174" s="165"/>
      <c r="AE174" s="165"/>
    </row>
    <row r="175" spans="1:31" s="100" customFormat="1" ht="45" hidden="1" x14ac:dyDescent="0.25">
      <c r="A175" s="157">
        <v>212227</v>
      </c>
      <c r="B175" s="158" t="s">
        <v>76</v>
      </c>
      <c r="C175" s="159">
        <f>+C176+C184</f>
        <v>2213000000</v>
      </c>
      <c r="D175" s="159">
        <f t="shared" ref="D175:N175" si="91">+D176+D184</f>
        <v>438000000</v>
      </c>
      <c r="E175" s="159">
        <f t="shared" si="91"/>
        <v>0</v>
      </c>
      <c r="F175" s="159">
        <f t="shared" si="91"/>
        <v>0</v>
      </c>
      <c r="G175" s="159">
        <f t="shared" si="91"/>
        <v>2651000000</v>
      </c>
      <c r="H175" s="159">
        <f t="shared" si="91"/>
        <v>19227459.629999999</v>
      </c>
      <c r="I175" s="159">
        <f t="shared" si="91"/>
        <v>2084522186.3399999</v>
      </c>
      <c r="J175" s="159">
        <f t="shared" si="73"/>
        <v>566477813.66000009</v>
      </c>
      <c r="K175" s="159">
        <f t="shared" si="91"/>
        <v>44397855.239999995</v>
      </c>
      <c r="L175" s="159">
        <f t="shared" si="91"/>
        <v>1228238109.98</v>
      </c>
      <c r="M175" s="159">
        <f t="shared" si="74"/>
        <v>856284076.3599999</v>
      </c>
      <c r="N175" s="159">
        <f t="shared" si="91"/>
        <v>2542805161.1999998</v>
      </c>
      <c r="O175" s="159">
        <f t="shared" si="75"/>
        <v>458282974.8599999</v>
      </c>
      <c r="P175" s="159">
        <f t="shared" si="76"/>
        <v>108194838.80000019</v>
      </c>
      <c r="Q175" s="159">
        <f t="shared" si="77"/>
        <v>1228238109.98</v>
      </c>
      <c r="V175" s="149">
        <v>108194838.80000019</v>
      </c>
      <c r="X175" s="167"/>
      <c r="Y175" s="168"/>
      <c r="AA175" s="159"/>
      <c r="AC175" s="159"/>
      <c r="AE175" s="159"/>
    </row>
    <row r="176" spans="1:31" s="100" customFormat="1" ht="30" hidden="1" x14ac:dyDescent="0.25">
      <c r="A176" s="157">
        <v>2122271</v>
      </c>
      <c r="B176" s="158" t="s">
        <v>77</v>
      </c>
      <c r="C176" s="159">
        <f>+C177+C179+C181+C183</f>
        <v>926000000</v>
      </c>
      <c r="D176" s="159">
        <f t="shared" ref="D176:N176" si="92">+D177+D179+D181+D183</f>
        <v>278000000</v>
      </c>
      <c r="E176" s="159">
        <f t="shared" si="92"/>
        <v>0</v>
      </c>
      <c r="F176" s="159">
        <f t="shared" si="92"/>
        <v>0</v>
      </c>
      <c r="G176" s="159">
        <f t="shared" si="92"/>
        <v>1204000000</v>
      </c>
      <c r="H176" s="159">
        <f t="shared" si="92"/>
        <v>19227459.629999999</v>
      </c>
      <c r="I176" s="159">
        <f t="shared" si="92"/>
        <v>1117340395.3399999</v>
      </c>
      <c r="J176" s="159">
        <f t="shared" si="73"/>
        <v>86659604.660000086</v>
      </c>
      <c r="K176" s="159">
        <f t="shared" si="92"/>
        <v>19204147.239999998</v>
      </c>
      <c r="L176" s="159">
        <f t="shared" si="92"/>
        <v>1114528977.98</v>
      </c>
      <c r="M176" s="159">
        <f t="shared" si="74"/>
        <v>2811417.3599998951</v>
      </c>
      <c r="N176" s="159">
        <f t="shared" si="92"/>
        <v>1120187713.2</v>
      </c>
      <c r="O176" s="159">
        <f t="shared" si="75"/>
        <v>2847317.8600001335</v>
      </c>
      <c r="P176" s="159">
        <f t="shared" si="76"/>
        <v>83812286.799999952</v>
      </c>
      <c r="Q176" s="159">
        <f t="shared" si="77"/>
        <v>1114528977.98</v>
      </c>
      <c r="V176" s="149">
        <v>3824286.7999999523</v>
      </c>
      <c r="X176" s="167"/>
      <c r="Y176" s="168"/>
      <c r="AA176" s="159"/>
      <c r="AC176" s="159"/>
      <c r="AE176" s="159"/>
    </row>
    <row r="177" spans="1:31" s="100" customFormat="1" ht="45" hidden="1" x14ac:dyDescent="0.25">
      <c r="A177" s="160">
        <v>21222711</v>
      </c>
      <c r="B177" s="161" t="s">
        <v>78</v>
      </c>
      <c r="C177" s="162">
        <f>+C178</f>
        <v>5000000</v>
      </c>
      <c r="D177" s="162">
        <f t="shared" ref="D177:N177" si="93">+D178</f>
        <v>0</v>
      </c>
      <c r="E177" s="162">
        <f t="shared" si="93"/>
        <v>0</v>
      </c>
      <c r="F177" s="162">
        <f t="shared" si="93"/>
        <v>0</v>
      </c>
      <c r="G177" s="162">
        <f t="shared" si="93"/>
        <v>5000000</v>
      </c>
      <c r="H177" s="162">
        <f t="shared" si="93"/>
        <v>1166713.6100000001</v>
      </c>
      <c r="I177" s="162">
        <f t="shared" si="93"/>
        <v>1166713.6100000001</v>
      </c>
      <c r="J177" s="162">
        <f t="shared" si="73"/>
        <v>3833286.3899999997</v>
      </c>
      <c r="K177" s="162">
        <f t="shared" si="93"/>
        <v>1166713.6100000001</v>
      </c>
      <c r="L177" s="162">
        <f t="shared" si="93"/>
        <v>1166713.6100000001</v>
      </c>
      <c r="M177" s="162">
        <f t="shared" si="74"/>
        <v>0</v>
      </c>
      <c r="N177" s="162">
        <f t="shared" si="93"/>
        <v>1175713.2</v>
      </c>
      <c r="O177" s="162">
        <f t="shared" si="75"/>
        <v>8999.589999999851</v>
      </c>
      <c r="P177" s="162">
        <f t="shared" si="76"/>
        <v>3824286.8</v>
      </c>
      <c r="Q177" s="162">
        <f t="shared" si="77"/>
        <v>1166713.6100000001</v>
      </c>
      <c r="V177" s="149">
        <v>3824286.8</v>
      </c>
      <c r="X177" s="167"/>
      <c r="Y177" s="168"/>
      <c r="AA177" s="162"/>
      <c r="AC177" s="162"/>
      <c r="AE177" s="162"/>
    </row>
    <row r="178" spans="1:31" ht="45" hidden="1" x14ac:dyDescent="0.25">
      <c r="A178" s="163">
        <v>212227111</v>
      </c>
      <c r="B178" s="164" t="s">
        <v>589</v>
      </c>
      <c r="C178" s="165">
        <v>5000000</v>
      </c>
      <c r="D178" s="165">
        <v>0</v>
      </c>
      <c r="E178" s="165">
        <v>0</v>
      </c>
      <c r="F178" s="165">
        <v>0</v>
      </c>
      <c r="G178" s="165">
        <f t="shared" si="80"/>
        <v>5000000</v>
      </c>
      <c r="H178" s="165">
        <v>1166713.6100000001</v>
      </c>
      <c r="I178" s="165">
        <v>1166713.6100000001</v>
      </c>
      <c r="J178" s="165">
        <f t="shared" si="73"/>
        <v>3833286.3899999997</v>
      </c>
      <c r="K178" s="165">
        <v>1166713.6100000001</v>
      </c>
      <c r="L178" s="165">
        <v>1166713.6100000001</v>
      </c>
      <c r="M178" s="165">
        <f t="shared" si="74"/>
        <v>0</v>
      </c>
      <c r="N178" s="165">
        <v>1175713.2</v>
      </c>
      <c r="O178" s="165">
        <f t="shared" si="75"/>
        <v>8999.589999999851</v>
      </c>
      <c r="P178" s="165">
        <f t="shared" si="76"/>
        <v>3824286.8</v>
      </c>
      <c r="Q178" s="165">
        <f t="shared" si="77"/>
        <v>1166713.6100000001</v>
      </c>
      <c r="V178" s="149">
        <v>3824286.8</v>
      </c>
      <c r="X178" s="167"/>
      <c r="Y178" s="168"/>
      <c r="AA178" s="165"/>
      <c r="AC178" s="165"/>
      <c r="AE178" s="165"/>
    </row>
    <row r="179" spans="1:31" s="100" customFormat="1" ht="45" hidden="1" x14ac:dyDescent="0.25">
      <c r="A179" s="160">
        <v>21222712</v>
      </c>
      <c r="B179" s="161" t="s">
        <v>79</v>
      </c>
      <c r="C179" s="162">
        <f>+C180</f>
        <v>265000000</v>
      </c>
      <c r="D179" s="162">
        <f t="shared" ref="D179:N179" si="94">+D180</f>
        <v>0</v>
      </c>
      <c r="E179" s="162">
        <f t="shared" si="94"/>
        <v>0</v>
      </c>
      <c r="F179" s="162">
        <f t="shared" si="94"/>
        <v>0</v>
      </c>
      <c r="G179" s="162">
        <f t="shared" si="94"/>
        <v>265000000</v>
      </c>
      <c r="H179" s="162">
        <f t="shared" si="94"/>
        <v>0</v>
      </c>
      <c r="I179" s="162">
        <f t="shared" si="94"/>
        <v>265000000</v>
      </c>
      <c r="J179" s="162">
        <f t="shared" si="73"/>
        <v>0</v>
      </c>
      <c r="K179" s="162">
        <f t="shared" si="94"/>
        <v>0</v>
      </c>
      <c r="L179" s="162">
        <f t="shared" si="94"/>
        <v>264999661</v>
      </c>
      <c r="M179" s="162">
        <f t="shared" si="74"/>
        <v>339</v>
      </c>
      <c r="N179" s="162">
        <f t="shared" si="94"/>
        <v>265000000</v>
      </c>
      <c r="O179" s="162">
        <f t="shared" si="75"/>
        <v>0</v>
      </c>
      <c r="P179" s="162">
        <f t="shared" si="76"/>
        <v>0</v>
      </c>
      <c r="Q179" s="162">
        <f t="shared" si="77"/>
        <v>264999661</v>
      </c>
      <c r="V179" s="149">
        <v>0</v>
      </c>
      <c r="X179" s="167"/>
      <c r="Y179" s="168"/>
      <c r="AA179" s="162"/>
      <c r="AC179" s="162"/>
      <c r="AE179" s="162"/>
    </row>
    <row r="180" spans="1:31" ht="30" hidden="1" x14ac:dyDescent="0.25">
      <c r="A180" s="163">
        <v>212227121</v>
      </c>
      <c r="B180" s="164" t="s">
        <v>590</v>
      </c>
      <c r="C180" s="165">
        <v>265000000</v>
      </c>
      <c r="D180" s="165">
        <v>0</v>
      </c>
      <c r="E180" s="165">
        <v>0</v>
      </c>
      <c r="F180" s="165">
        <v>0</v>
      </c>
      <c r="G180" s="165">
        <f t="shared" si="80"/>
        <v>265000000</v>
      </c>
      <c r="H180" s="165">
        <v>0</v>
      </c>
      <c r="I180" s="165">
        <v>265000000</v>
      </c>
      <c r="J180" s="165">
        <f t="shared" si="73"/>
        <v>0</v>
      </c>
      <c r="K180" s="165">
        <v>0</v>
      </c>
      <c r="L180" s="165">
        <v>264999661</v>
      </c>
      <c r="M180" s="165">
        <f t="shared" si="74"/>
        <v>339</v>
      </c>
      <c r="N180" s="165">
        <v>265000000</v>
      </c>
      <c r="O180" s="165">
        <f t="shared" si="75"/>
        <v>0</v>
      </c>
      <c r="P180" s="165">
        <f t="shared" si="76"/>
        <v>0</v>
      </c>
      <c r="Q180" s="165">
        <f t="shared" si="77"/>
        <v>264999661</v>
      </c>
      <c r="V180" s="149">
        <v>0</v>
      </c>
      <c r="X180" s="167"/>
      <c r="Y180" s="168"/>
      <c r="AA180" s="165"/>
      <c r="AC180" s="165"/>
      <c r="AE180" s="165"/>
    </row>
    <row r="181" spans="1:31" s="100" customFormat="1" ht="45" hidden="1" x14ac:dyDescent="0.25">
      <c r="A181" s="160">
        <v>21222713</v>
      </c>
      <c r="B181" s="161" t="s">
        <v>80</v>
      </c>
      <c r="C181" s="162">
        <f>+C182</f>
        <v>556000000</v>
      </c>
      <c r="D181" s="162">
        <f t="shared" ref="D181:N181" si="95">+D182</f>
        <v>198000000</v>
      </c>
      <c r="E181" s="162">
        <f t="shared" si="95"/>
        <v>0</v>
      </c>
      <c r="F181" s="162">
        <f t="shared" si="95"/>
        <v>0</v>
      </c>
      <c r="G181" s="162">
        <f t="shared" si="95"/>
        <v>754000000</v>
      </c>
      <c r="H181" s="162">
        <f t="shared" si="95"/>
        <v>0</v>
      </c>
      <c r="I181" s="162">
        <f t="shared" si="95"/>
        <v>754000000</v>
      </c>
      <c r="J181" s="162">
        <f t="shared" si="73"/>
        <v>0</v>
      </c>
      <c r="K181" s="162">
        <f t="shared" si="95"/>
        <v>0</v>
      </c>
      <c r="L181" s="162">
        <f t="shared" si="95"/>
        <v>751581091</v>
      </c>
      <c r="M181" s="162">
        <f t="shared" si="74"/>
        <v>2418909</v>
      </c>
      <c r="N181" s="162">
        <f t="shared" si="95"/>
        <v>754000000</v>
      </c>
      <c r="O181" s="162">
        <f t="shared" si="75"/>
        <v>0</v>
      </c>
      <c r="P181" s="162">
        <f t="shared" si="76"/>
        <v>0</v>
      </c>
      <c r="Q181" s="162">
        <f t="shared" si="77"/>
        <v>751581091</v>
      </c>
      <c r="V181" s="149">
        <v>0</v>
      </c>
      <c r="X181" s="167"/>
      <c r="Y181" s="168"/>
      <c r="AA181" s="162"/>
      <c r="AC181" s="162"/>
      <c r="AE181" s="162"/>
    </row>
    <row r="182" spans="1:31" ht="30" hidden="1" x14ac:dyDescent="0.25">
      <c r="A182" s="163">
        <v>212227138</v>
      </c>
      <c r="B182" s="164" t="s">
        <v>591</v>
      </c>
      <c r="C182" s="165">
        <v>556000000</v>
      </c>
      <c r="D182" s="165">
        <v>198000000</v>
      </c>
      <c r="E182" s="165">
        <v>0</v>
      </c>
      <c r="F182" s="165">
        <v>0</v>
      </c>
      <c r="G182" s="165">
        <f t="shared" si="80"/>
        <v>754000000</v>
      </c>
      <c r="H182" s="165">
        <v>0</v>
      </c>
      <c r="I182" s="165">
        <v>754000000</v>
      </c>
      <c r="J182" s="165">
        <f t="shared" si="73"/>
        <v>0</v>
      </c>
      <c r="K182" s="165">
        <v>0</v>
      </c>
      <c r="L182" s="165">
        <v>751581091</v>
      </c>
      <c r="M182" s="165">
        <f t="shared" si="74"/>
        <v>2418909</v>
      </c>
      <c r="N182" s="165">
        <v>754000000</v>
      </c>
      <c r="O182" s="165">
        <f t="shared" si="75"/>
        <v>0</v>
      </c>
      <c r="P182" s="165">
        <f t="shared" si="76"/>
        <v>0</v>
      </c>
      <c r="Q182" s="165">
        <f t="shared" si="77"/>
        <v>751581091</v>
      </c>
      <c r="V182" s="149">
        <v>0</v>
      </c>
      <c r="X182" s="167"/>
      <c r="Y182" s="168"/>
      <c r="AA182" s="165"/>
      <c r="AC182" s="165"/>
      <c r="AE182" s="165"/>
    </row>
    <row r="183" spans="1:31" hidden="1" x14ac:dyDescent="0.25">
      <c r="A183" s="163">
        <v>21222714</v>
      </c>
      <c r="B183" s="164" t="s">
        <v>592</v>
      </c>
      <c r="C183" s="165">
        <v>100000000</v>
      </c>
      <c r="D183" s="165">
        <v>80000000</v>
      </c>
      <c r="E183" s="165">
        <v>0</v>
      </c>
      <c r="F183" s="165">
        <v>0</v>
      </c>
      <c r="G183" s="165">
        <f t="shared" si="80"/>
        <v>180000000</v>
      </c>
      <c r="H183" s="165">
        <v>18060746.02</v>
      </c>
      <c r="I183" s="165">
        <v>97173681.730000004</v>
      </c>
      <c r="J183" s="165">
        <f t="shared" si="73"/>
        <v>82826318.269999996</v>
      </c>
      <c r="K183" s="165">
        <v>18037433.629999999</v>
      </c>
      <c r="L183" s="165">
        <v>96781512.370000005</v>
      </c>
      <c r="M183" s="165">
        <f t="shared" si="74"/>
        <v>392169.3599999994</v>
      </c>
      <c r="N183" s="165">
        <v>100012000</v>
      </c>
      <c r="O183" s="165">
        <f t="shared" si="75"/>
        <v>2838318.2699999958</v>
      </c>
      <c r="P183" s="165">
        <f t="shared" si="76"/>
        <v>79988000</v>
      </c>
      <c r="Q183" s="165">
        <f t="shared" si="77"/>
        <v>96781512.370000005</v>
      </c>
      <c r="V183" s="149">
        <v>79988000</v>
      </c>
      <c r="X183" s="167"/>
      <c r="Y183" s="168"/>
      <c r="AA183" s="165"/>
      <c r="AC183" s="165"/>
      <c r="AE183" s="165"/>
    </row>
    <row r="184" spans="1:31" s="100" customFormat="1" hidden="1" x14ac:dyDescent="0.25">
      <c r="A184" s="157">
        <v>2122272</v>
      </c>
      <c r="B184" s="158" t="s">
        <v>81</v>
      </c>
      <c r="C184" s="159">
        <f>+C185+C187+C190</f>
        <v>1287000000</v>
      </c>
      <c r="D184" s="159">
        <f t="shared" ref="D184:N184" si="96">+D185+D187+D190</f>
        <v>160000000</v>
      </c>
      <c r="E184" s="159">
        <f t="shared" si="96"/>
        <v>0</v>
      </c>
      <c r="F184" s="159">
        <f t="shared" si="96"/>
        <v>0</v>
      </c>
      <c r="G184" s="159">
        <f t="shared" si="96"/>
        <v>1447000000</v>
      </c>
      <c r="H184" s="159">
        <f t="shared" si="96"/>
        <v>0</v>
      </c>
      <c r="I184" s="159">
        <f t="shared" si="96"/>
        <v>967181791</v>
      </c>
      <c r="J184" s="159">
        <f t="shared" si="73"/>
        <v>479818209</v>
      </c>
      <c r="K184" s="159">
        <f t="shared" si="96"/>
        <v>25193708</v>
      </c>
      <c r="L184" s="159">
        <f t="shared" si="96"/>
        <v>113709132</v>
      </c>
      <c r="M184" s="159">
        <f t="shared" si="74"/>
        <v>853472659</v>
      </c>
      <c r="N184" s="159">
        <f t="shared" si="96"/>
        <v>1422617448</v>
      </c>
      <c r="O184" s="159">
        <f t="shared" si="75"/>
        <v>455435657</v>
      </c>
      <c r="P184" s="159">
        <f t="shared" si="76"/>
        <v>24382552</v>
      </c>
      <c r="Q184" s="159">
        <f t="shared" si="77"/>
        <v>113709132</v>
      </c>
      <c r="V184" s="149">
        <v>24382552</v>
      </c>
      <c r="X184" s="167"/>
      <c r="Y184" s="168"/>
      <c r="AA184" s="159"/>
      <c r="AC184" s="159"/>
      <c r="AE184" s="159"/>
    </row>
    <row r="185" spans="1:31" s="100" customFormat="1" ht="30" hidden="1" x14ac:dyDescent="0.25">
      <c r="A185" s="160">
        <v>21222721</v>
      </c>
      <c r="B185" s="161" t="s">
        <v>82</v>
      </c>
      <c r="C185" s="162">
        <f>+C186</f>
        <v>85000000</v>
      </c>
      <c r="D185" s="162">
        <f t="shared" ref="D185:N185" si="97">+D186</f>
        <v>0</v>
      </c>
      <c r="E185" s="162">
        <f t="shared" si="97"/>
        <v>0</v>
      </c>
      <c r="F185" s="162">
        <f t="shared" si="97"/>
        <v>0</v>
      </c>
      <c r="G185" s="162">
        <f t="shared" si="97"/>
        <v>85000000</v>
      </c>
      <c r="H185" s="162">
        <f t="shared" si="97"/>
        <v>0</v>
      </c>
      <c r="I185" s="162">
        <f t="shared" si="97"/>
        <v>62617448</v>
      </c>
      <c r="J185" s="162">
        <f t="shared" si="73"/>
        <v>22382552</v>
      </c>
      <c r="K185" s="162">
        <f t="shared" si="97"/>
        <v>10002908</v>
      </c>
      <c r="L185" s="162">
        <f t="shared" si="97"/>
        <v>42611632</v>
      </c>
      <c r="M185" s="162">
        <f t="shared" si="74"/>
        <v>20005816</v>
      </c>
      <c r="N185" s="162">
        <f t="shared" si="97"/>
        <v>62617448</v>
      </c>
      <c r="O185" s="162">
        <f t="shared" si="75"/>
        <v>0</v>
      </c>
      <c r="P185" s="162">
        <f t="shared" si="76"/>
        <v>22382552</v>
      </c>
      <c r="Q185" s="162">
        <f t="shared" si="77"/>
        <v>42611632</v>
      </c>
      <c r="V185" s="149">
        <v>22382552</v>
      </c>
      <c r="X185" s="167"/>
      <c r="Y185" s="168"/>
      <c r="AA185" s="162"/>
      <c r="AC185" s="162"/>
      <c r="AE185" s="162"/>
    </row>
    <row r="186" spans="1:31" ht="45" hidden="1" x14ac:dyDescent="0.25">
      <c r="A186" s="163">
        <v>212227211</v>
      </c>
      <c r="B186" s="164" t="s">
        <v>593</v>
      </c>
      <c r="C186" s="165">
        <v>85000000</v>
      </c>
      <c r="D186" s="165">
        <v>0</v>
      </c>
      <c r="E186" s="165">
        <v>0</v>
      </c>
      <c r="F186" s="165">
        <v>0</v>
      </c>
      <c r="G186" s="165">
        <f t="shared" si="80"/>
        <v>85000000</v>
      </c>
      <c r="H186" s="165">
        <v>0</v>
      </c>
      <c r="I186" s="165">
        <v>62617448</v>
      </c>
      <c r="J186" s="165">
        <f t="shared" si="73"/>
        <v>22382552</v>
      </c>
      <c r="K186" s="165">
        <v>10002908</v>
      </c>
      <c r="L186" s="165">
        <v>42611632</v>
      </c>
      <c r="M186" s="165">
        <f t="shared" si="74"/>
        <v>20005816</v>
      </c>
      <c r="N186" s="165">
        <v>62617448</v>
      </c>
      <c r="O186" s="165">
        <f t="shared" si="75"/>
        <v>0</v>
      </c>
      <c r="P186" s="165">
        <f t="shared" si="76"/>
        <v>22382552</v>
      </c>
      <c r="Q186" s="165">
        <f t="shared" si="77"/>
        <v>42611632</v>
      </c>
      <c r="V186" s="149">
        <v>22382552</v>
      </c>
      <c r="X186" s="167"/>
      <c r="Y186" s="168"/>
      <c r="AA186" s="165"/>
      <c r="AC186" s="165"/>
      <c r="AE186" s="165"/>
    </row>
    <row r="187" spans="1:31" s="100" customFormat="1" ht="30" hidden="1" x14ac:dyDescent="0.25">
      <c r="A187" s="160">
        <v>21222722</v>
      </c>
      <c r="B187" s="161" t="s">
        <v>83</v>
      </c>
      <c r="C187" s="162">
        <f>+C188+C189</f>
        <v>1202000000</v>
      </c>
      <c r="D187" s="162">
        <f t="shared" ref="D187:N187" si="98">+D188+D189</f>
        <v>0</v>
      </c>
      <c r="E187" s="162">
        <f t="shared" si="98"/>
        <v>0</v>
      </c>
      <c r="F187" s="162">
        <f t="shared" si="98"/>
        <v>0</v>
      </c>
      <c r="G187" s="162">
        <f t="shared" si="98"/>
        <v>1202000000</v>
      </c>
      <c r="H187" s="162">
        <f t="shared" si="98"/>
        <v>0</v>
      </c>
      <c r="I187" s="162">
        <f t="shared" si="98"/>
        <v>904564343</v>
      </c>
      <c r="J187" s="162">
        <f t="shared" si="73"/>
        <v>297435657</v>
      </c>
      <c r="K187" s="162">
        <f t="shared" si="98"/>
        <v>15190800</v>
      </c>
      <c r="L187" s="162">
        <f t="shared" si="98"/>
        <v>71097500</v>
      </c>
      <c r="M187" s="162">
        <f t="shared" si="74"/>
        <v>833466843</v>
      </c>
      <c r="N187" s="162">
        <f t="shared" si="98"/>
        <v>1200000000</v>
      </c>
      <c r="O187" s="162">
        <f t="shared" si="75"/>
        <v>295435657</v>
      </c>
      <c r="P187" s="162">
        <f t="shared" si="76"/>
        <v>2000000</v>
      </c>
      <c r="Q187" s="162">
        <f t="shared" si="77"/>
        <v>71097500</v>
      </c>
      <c r="V187" s="149">
        <v>2000000</v>
      </c>
      <c r="X187" s="167"/>
      <c r="Y187" s="168"/>
      <c r="AA187" s="162"/>
      <c r="AC187" s="162"/>
      <c r="AE187" s="162"/>
    </row>
    <row r="188" spans="1:31" ht="30" hidden="1" x14ac:dyDescent="0.25">
      <c r="A188" s="163">
        <v>212227222</v>
      </c>
      <c r="B188" s="164" t="s">
        <v>640</v>
      </c>
      <c r="C188" s="165">
        <v>1200000000</v>
      </c>
      <c r="D188" s="165">
        <v>0</v>
      </c>
      <c r="E188" s="165">
        <v>0</v>
      </c>
      <c r="F188" s="165">
        <v>0</v>
      </c>
      <c r="G188" s="165">
        <f t="shared" si="80"/>
        <v>1200000000</v>
      </c>
      <c r="H188" s="165">
        <v>0</v>
      </c>
      <c r="I188" s="165">
        <v>904564343</v>
      </c>
      <c r="J188" s="165">
        <f t="shared" si="73"/>
        <v>295435657</v>
      </c>
      <c r="K188" s="165">
        <v>15190800</v>
      </c>
      <c r="L188" s="165">
        <v>71097500</v>
      </c>
      <c r="M188" s="165">
        <f t="shared" si="74"/>
        <v>833466843</v>
      </c>
      <c r="N188" s="165">
        <v>1200000000</v>
      </c>
      <c r="O188" s="165">
        <f t="shared" si="75"/>
        <v>295435657</v>
      </c>
      <c r="P188" s="165">
        <f t="shared" si="76"/>
        <v>0</v>
      </c>
      <c r="Q188" s="165">
        <f t="shared" si="77"/>
        <v>71097500</v>
      </c>
      <c r="V188" s="149">
        <v>0</v>
      </c>
      <c r="X188" s="167"/>
      <c r="Y188" s="168"/>
      <c r="AA188" s="165"/>
      <c r="AC188" s="165"/>
      <c r="AE188" s="165"/>
    </row>
    <row r="189" spans="1:31" ht="30" hidden="1" x14ac:dyDescent="0.25">
      <c r="A189" s="163">
        <v>212227223</v>
      </c>
      <c r="B189" s="164" t="s">
        <v>641</v>
      </c>
      <c r="C189" s="165">
        <v>2000000</v>
      </c>
      <c r="D189" s="165">
        <v>0</v>
      </c>
      <c r="E189" s="165">
        <v>0</v>
      </c>
      <c r="F189" s="165">
        <v>0</v>
      </c>
      <c r="G189" s="165">
        <f t="shared" si="80"/>
        <v>2000000</v>
      </c>
      <c r="H189" s="165">
        <v>0</v>
      </c>
      <c r="I189" s="165">
        <v>0</v>
      </c>
      <c r="J189" s="165">
        <f t="shared" si="73"/>
        <v>2000000</v>
      </c>
      <c r="K189" s="165">
        <v>0</v>
      </c>
      <c r="L189" s="165">
        <v>0</v>
      </c>
      <c r="M189" s="165">
        <f t="shared" si="74"/>
        <v>0</v>
      </c>
      <c r="N189" s="165">
        <v>0</v>
      </c>
      <c r="O189" s="165">
        <f t="shared" si="75"/>
        <v>0</v>
      </c>
      <c r="P189" s="165">
        <f t="shared" si="76"/>
        <v>2000000</v>
      </c>
      <c r="Q189" s="165">
        <f t="shared" si="77"/>
        <v>0</v>
      </c>
      <c r="V189" s="149">
        <v>2000000</v>
      </c>
      <c r="X189" s="167"/>
      <c r="Y189" s="168"/>
      <c r="AA189" s="165"/>
      <c r="AC189" s="165"/>
      <c r="AE189" s="165"/>
    </row>
    <row r="190" spans="1:31" s="100" customFormat="1" ht="30" hidden="1" x14ac:dyDescent="0.25">
      <c r="A190" s="160">
        <v>2122273</v>
      </c>
      <c r="B190" s="161" t="s">
        <v>855</v>
      </c>
      <c r="C190" s="162">
        <v>0</v>
      </c>
      <c r="D190" s="162">
        <v>160000000</v>
      </c>
      <c r="E190" s="162">
        <v>0</v>
      </c>
      <c r="F190" s="162">
        <v>0</v>
      </c>
      <c r="G190" s="162">
        <f t="shared" si="80"/>
        <v>160000000</v>
      </c>
      <c r="H190" s="162">
        <v>0</v>
      </c>
      <c r="I190" s="162">
        <v>0</v>
      </c>
      <c r="J190" s="162">
        <f t="shared" si="73"/>
        <v>160000000</v>
      </c>
      <c r="K190" s="162">
        <v>0</v>
      </c>
      <c r="L190" s="162">
        <v>0</v>
      </c>
      <c r="M190" s="162">
        <f t="shared" si="74"/>
        <v>0</v>
      </c>
      <c r="N190" s="162">
        <v>160000000</v>
      </c>
      <c r="O190" s="162">
        <f t="shared" si="75"/>
        <v>160000000</v>
      </c>
      <c r="P190" s="162">
        <f t="shared" si="76"/>
        <v>0</v>
      </c>
      <c r="Q190" s="162">
        <f t="shared" si="77"/>
        <v>0</v>
      </c>
      <c r="V190" s="149">
        <v>0</v>
      </c>
      <c r="X190" s="167"/>
      <c r="Y190" s="168"/>
      <c r="AA190" s="162"/>
      <c r="AC190" s="162"/>
      <c r="AE190" s="162"/>
    </row>
    <row r="191" spans="1:31" s="100" customFormat="1" ht="30" hidden="1" x14ac:dyDescent="0.25">
      <c r="A191" s="160">
        <v>212228</v>
      </c>
      <c r="B191" s="161" t="s">
        <v>84</v>
      </c>
      <c r="C191" s="162">
        <f>+C192+C194+C200+C204+C206+C213+C218</f>
        <v>2359300000</v>
      </c>
      <c r="D191" s="162">
        <f t="shared" ref="D191:N191" si="99">+D192+D194+D200+D204+D206+D213+D218</f>
        <v>1589513991</v>
      </c>
      <c r="E191" s="162">
        <f t="shared" si="99"/>
        <v>219312351</v>
      </c>
      <c r="F191" s="162">
        <f t="shared" si="99"/>
        <v>675500000</v>
      </c>
      <c r="G191" s="162">
        <f t="shared" si="99"/>
        <v>4405201640</v>
      </c>
      <c r="H191" s="162">
        <f t="shared" si="99"/>
        <v>150210067.38</v>
      </c>
      <c r="I191" s="162">
        <f t="shared" si="99"/>
        <v>3098367224.5699997</v>
      </c>
      <c r="J191" s="162">
        <f t="shared" si="73"/>
        <v>1306834415.4300003</v>
      </c>
      <c r="K191" s="162">
        <f t="shared" si="99"/>
        <v>484009237.27999997</v>
      </c>
      <c r="L191" s="162">
        <f t="shared" si="99"/>
        <v>1576040692.76</v>
      </c>
      <c r="M191" s="162">
        <f t="shared" si="74"/>
        <v>1522326531.8099997</v>
      </c>
      <c r="N191" s="162">
        <f t="shared" si="99"/>
        <v>3631525367.6999998</v>
      </c>
      <c r="O191" s="162">
        <f t="shared" si="75"/>
        <v>533158143.13000011</v>
      </c>
      <c r="P191" s="162">
        <f t="shared" si="76"/>
        <v>773676272.30000019</v>
      </c>
      <c r="Q191" s="162">
        <f t="shared" si="77"/>
        <v>1576040692.76</v>
      </c>
      <c r="V191" s="149">
        <v>773476272.30000019</v>
      </c>
      <c r="X191" s="167"/>
      <c r="Y191" s="168"/>
      <c r="AA191" s="162"/>
      <c r="AC191" s="162"/>
      <c r="AE191" s="162"/>
    </row>
    <row r="192" spans="1:31" hidden="1" x14ac:dyDescent="0.25">
      <c r="A192" s="160">
        <v>2122281</v>
      </c>
      <c r="B192" s="161" t="s">
        <v>85</v>
      </c>
      <c r="C192" s="162">
        <f>+C193</f>
        <v>250000000</v>
      </c>
      <c r="D192" s="162">
        <f t="shared" ref="D192:N192" si="100">+D193</f>
        <v>450196000</v>
      </c>
      <c r="E192" s="162">
        <f t="shared" si="100"/>
        <v>312351</v>
      </c>
      <c r="F192" s="162">
        <f t="shared" si="100"/>
        <v>68000000</v>
      </c>
      <c r="G192" s="162">
        <f t="shared" si="100"/>
        <v>767883649</v>
      </c>
      <c r="H192" s="162">
        <f t="shared" si="100"/>
        <v>24416666</v>
      </c>
      <c r="I192" s="162">
        <f t="shared" si="100"/>
        <v>736964359</v>
      </c>
      <c r="J192" s="162">
        <f t="shared" si="73"/>
        <v>30919290</v>
      </c>
      <c r="K192" s="162">
        <f t="shared" si="100"/>
        <v>177418934.03</v>
      </c>
      <c r="L192" s="162">
        <f t="shared" si="100"/>
        <v>309680678.14999998</v>
      </c>
      <c r="M192" s="162">
        <f t="shared" si="74"/>
        <v>427283680.85000002</v>
      </c>
      <c r="N192" s="162">
        <f t="shared" si="100"/>
        <v>767883649</v>
      </c>
      <c r="O192" s="162">
        <f t="shared" si="75"/>
        <v>30919290</v>
      </c>
      <c r="P192" s="162">
        <f t="shared" si="76"/>
        <v>0</v>
      </c>
      <c r="Q192" s="162">
        <f t="shared" si="77"/>
        <v>309680678.14999998</v>
      </c>
      <c r="V192" s="149">
        <v>0</v>
      </c>
      <c r="X192" s="167"/>
      <c r="Y192" s="168"/>
      <c r="AA192" s="162"/>
      <c r="AC192" s="162"/>
      <c r="AE192" s="162"/>
    </row>
    <row r="193" spans="1:31" s="100" customFormat="1" hidden="1" x14ac:dyDescent="0.25">
      <c r="A193" s="163">
        <v>21222811</v>
      </c>
      <c r="B193" s="164" t="s">
        <v>594</v>
      </c>
      <c r="C193" s="165">
        <v>250000000</v>
      </c>
      <c r="D193" s="165">
        <v>450196000</v>
      </c>
      <c r="E193" s="165">
        <v>312351</v>
      </c>
      <c r="F193" s="165">
        <v>68000000</v>
      </c>
      <c r="G193" s="165">
        <f t="shared" si="80"/>
        <v>767883649</v>
      </c>
      <c r="H193" s="165">
        <v>24416666</v>
      </c>
      <c r="I193" s="165">
        <v>736964359</v>
      </c>
      <c r="J193" s="165">
        <f t="shared" si="73"/>
        <v>30919290</v>
      </c>
      <c r="K193" s="165">
        <v>177418934.03</v>
      </c>
      <c r="L193" s="165">
        <v>309680678.14999998</v>
      </c>
      <c r="M193" s="165">
        <f t="shared" si="74"/>
        <v>427283680.85000002</v>
      </c>
      <c r="N193" s="165">
        <v>767883649</v>
      </c>
      <c r="O193" s="165">
        <f t="shared" si="75"/>
        <v>30919290</v>
      </c>
      <c r="P193" s="165">
        <f t="shared" si="76"/>
        <v>0</v>
      </c>
      <c r="Q193" s="165">
        <f t="shared" si="77"/>
        <v>309680678.14999998</v>
      </c>
      <c r="V193" s="149">
        <v>0</v>
      </c>
      <c r="X193" s="167"/>
      <c r="Y193" s="168"/>
      <c r="AA193" s="165"/>
      <c r="AC193" s="165"/>
      <c r="AE193" s="165"/>
    </row>
    <row r="194" spans="1:31" s="100" customFormat="1" ht="30" hidden="1" x14ac:dyDescent="0.25">
      <c r="A194" s="160">
        <v>2122282</v>
      </c>
      <c r="B194" s="161" t="s">
        <v>86</v>
      </c>
      <c r="C194" s="162">
        <f>+C195+C197+C198+C199</f>
        <v>880000000</v>
      </c>
      <c r="D194" s="162">
        <f t="shared" ref="D194:N194" si="101">+D195+D197+D198+D199</f>
        <v>405000000</v>
      </c>
      <c r="E194" s="162">
        <f t="shared" si="101"/>
        <v>100000000</v>
      </c>
      <c r="F194" s="162">
        <f t="shared" si="101"/>
        <v>607500000</v>
      </c>
      <c r="G194" s="162">
        <f t="shared" si="101"/>
        <v>1792500000</v>
      </c>
      <c r="H194" s="162">
        <f t="shared" si="101"/>
        <v>116493657</v>
      </c>
      <c r="I194" s="162">
        <f t="shared" si="101"/>
        <v>1102330130</v>
      </c>
      <c r="J194" s="162">
        <f t="shared" si="73"/>
        <v>690169870</v>
      </c>
      <c r="K194" s="162">
        <f t="shared" si="101"/>
        <v>120427385.38</v>
      </c>
      <c r="L194" s="162">
        <f t="shared" si="101"/>
        <v>750432416.89999998</v>
      </c>
      <c r="M194" s="162">
        <f t="shared" si="74"/>
        <v>351897713.10000002</v>
      </c>
      <c r="N194" s="162">
        <f t="shared" si="101"/>
        <v>1471329099</v>
      </c>
      <c r="O194" s="162">
        <f t="shared" si="75"/>
        <v>368998969</v>
      </c>
      <c r="P194" s="162">
        <f t="shared" si="76"/>
        <v>321170901</v>
      </c>
      <c r="Q194" s="162">
        <f t="shared" si="77"/>
        <v>750432416.89999998</v>
      </c>
      <c r="V194" s="149">
        <v>321170901</v>
      </c>
      <c r="X194" s="167"/>
      <c r="Y194" s="168"/>
      <c r="AA194" s="162"/>
      <c r="AC194" s="162"/>
      <c r="AE194" s="162"/>
    </row>
    <row r="195" spans="1:31" ht="45" hidden="1" x14ac:dyDescent="0.25">
      <c r="A195" s="160">
        <v>21222821</v>
      </c>
      <c r="B195" s="161" t="s">
        <v>87</v>
      </c>
      <c r="C195" s="162">
        <f>+C196</f>
        <v>100000000</v>
      </c>
      <c r="D195" s="162">
        <f t="shared" ref="D195:N195" si="102">+D196</f>
        <v>0</v>
      </c>
      <c r="E195" s="162">
        <f t="shared" si="102"/>
        <v>100000000</v>
      </c>
      <c r="F195" s="162">
        <f t="shared" si="102"/>
        <v>0</v>
      </c>
      <c r="G195" s="162">
        <f t="shared" si="102"/>
        <v>0</v>
      </c>
      <c r="H195" s="162">
        <f t="shared" si="102"/>
        <v>0</v>
      </c>
      <c r="I195" s="162">
        <f t="shared" si="102"/>
        <v>0</v>
      </c>
      <c r="J195" s="162">
        <f t="shared" si="73"/>
        <v>0</v>
      </c>
      <c r="K195" s="162">
        <f t="shared" si="102"/>
        <v>0</v>
      </c>
      <c r="L195" s="162">
        <f t="shared" si="102"/>
        <v>0</v>
      </c>
      <c r="M195" s="162">
        <f t="shared" si="74"/>
        <v>0</v>
      </c>
      <c r="N195" s="162">
        <f t="shared" si="102"/>
        <v>0</v>
      </c>
      <c r="O195" s="162">
        <f t="shared" si="75"/>
        <v>0</v>
      </c>
      <c r="P195" s="162">
        <f t="shared" si="76"/>
        <v>0</v>
      </c>
      <c r="Q195" s="162">
        <f t="shared" si="77"/>
        <v>0</v>
      </c>
      <c r="V195" s="149">
        <v>0</v>
      </c>
      <c r="X195" s="167"/>
      <c r="Y195" s="168"/>
      <c r="AA195" s="162"/>
      <c r="AC195" s="162"/>
      <c r="AE195" s="162"/>
    </row>
    <row r="196" spans="1:31" ht="30" hidden="1" x14ac:dyDescent="0.25">
      <c r="A196" s="163">
        <v>212228211</v>
      </c>
      <c r="B196" s="164" t="s">
        <v>642</v>
      </c>
      <c r="C196" s="165">
        <v>100000000</v>
      </c>
      <c r="D196" s="165">
        <v>0</v>
      </c>
      <c r="E196" s="165">
        <v>100000000</v>
      </c>
      <c r="F196" s="165">
        <v>0</v>
      </c>
      <c r="G196" s="165">
        <f t="shared" si="80"/>
        <v>0</v>
      </c>
      <c r="H196" s="165">
        <v>0</v>
      </c>
      <c r="I196" s="165">
        <v>0</v>
      </c>
      <c r="J196" s="165">
        <f t="shared" si="73"/>
        <v>0</v>
      </c>
      <c r="K196" s="165">
        <v>0</v>
      </c>
      <c r="L196" s="165">
        <v>0</v>
      </c>
      <c r="M196" s="165">
        <f t="shared" si="74"/>
        <v>0</v>
      </c>
      <c r="N196" s="165">
        <v>0</v>
      </c>
      <c r="O196" s="165">
        <f t="shared" si="75"/>
        <v>0</v>
      </c>
      <c r="P196" s="165">
        <f t="shared" si="76"/>
        <v>0</v>
      </c>
      <c r="Q196" s="165">
        <f t="shared" si="77"/>
        <v>0</v>
      </c>
      <c r="V196" s="149">
        <v>0</v>
      </c>
      <c r="X196" s="167"/>
      <c r="Y196" s="168"/>
      <c r="AA196" s="165"/>
      <c r="AC196" s="165"/>
      <c r="AE196" s="165"/>
    </row>
    <row r="197" spans="1:31" hidden="1" x14ac:dyDescent="0.25">
      <c r="A197" s="163">
        <v>21222822</v>
      </c>
      <c r="B197" s="164" t="s">
        <v>595</v>
      </c>
      <c r="C197" s="165">
        <v>480000000</v>
      </c>
      <c r="D197" s="165">
        <v>0</v>
      </c>
      <c r="E197" s="165">
        <v>0</v>
      </c>
      <c r="F197" s="165">
        <v>0</v>
      </c>
      <c r="G197" s="165">
        <f>+C197+D197-E197+F197</f>
        <v>480000000</v>
      </c>
      <c r="H197" s="165">
        <v>106493657</v>
      </c>
      <c r="I197" s="165">
        <v>279687314</v>
      </c>
      <c r="J197" s="165">
        <f t="shared" si="73"/>
        <v>200312686</v>
      </c>
      <c r="K197" s="165">
        <v>28658731.379999999</v>
      </c>
      <c r="L197" s="165">
        <v>140993656.90000001</v>
      </c>
      <c r="M197" s="165">
        <f t="shared" si="74"/>
        <v>138693657.09999999</v>
      </c>
      <c r="N197" s="165">
        <v>292793653</v>
      </c>
      <c r="O197" s="165">
        <f t="shared" si="75"/>
        <v>13106339</v>
      </c>
      <c r="P197" s="165">
        <f t="shared" si="76"/>
        <v>187206347</v>
      </c>
      <c r="Q197" s="165">
        <f t="shared" si="77"/>
        <v>140993656.90000001</v>
      </c>
      <c r="V197" s="149">
        <v>187206347</v>
      </c>
      <c r="X197" s="167"/>
      <c r="Y197" s="168"/>
      <c r="AA197" s="165"/>
      <c r="AC197" s="165"/>
      <c r="AE197" s="165"/>
    </row>
    <row r="198" spans="1:31" ht="30" hidden="1" x14ac:dyDescent="0.25">
      <c r="A198" s="163">
        <v>21222823</v>
      </c>
      <c r="B198" s="164" t="s">
        <v>596</v>
      </c>
      <c r="C198" s="165">
        <v>80000000</v>
      </c>
      <c r="D198" s="165">
        <v>0</v>
      </c>
      <c r="E198" s="165">
        <v>0</v>
      </c>
      <c r="F198" s="165">
        <v>0</v>
      </c>
      <c r="G198" s="165">
        <f t="shared" si="80"/>
        <v>80000000</v>
      </c>
      <c r="H198" s="165">
        <v>0</v>
      </c>
      <c r="I198" s="165">
        <v>755833</v>
      </c>
      <c r="J198" s="165">
        <f t="shared" si="73"/>
        <v>79244167</v>
      </c>
      <c r="K198" s="165">
        <v>0</v>
      </c>
      <c r="L198" s="165">
        <v>755833</v>
      </c>
      <c r="M198" s="165">
        <f t="shared" si="74"/>
        <v>0</v>
      </c>
      <c r="N198" s="165">
        <v>755833</v>
      </c>
      <c r="O198" s="165">
        <f t="shared" si="75"/>
        <v>0</v>
      </c>
      <c r="P198" s="165">
        <f t="shared" si="76"/>
        <v>79244167</v>
      </c>
      <c r="Q198" s="165">
        <f t="shared" si="77"/>
        <v>755833</v>
      </c>
      <c r="V198" s="149">
        <v>79244167</v>
      </c>
      <c r="X198" s="167"/>
      <c r="Y198" s="168"/>
      <c r="AA198" s="165"/>
      <c r="AC198" s="165"/>
      <c r="AE198" s="165"/>
    </row>
    <row r="199" spans="1:31" s="100" customFormat="1" ht="30" hidden="1" x14ac:dyDescent="0.25">
      <c r="A199" s="163">
        <v>21222824</v>
      </c>
      <c r="B199" s="164" t="s">
        <v>597</v>
      </c>
      <c r="C199" s="165">
        <v>220000000</v>
      </c>
      <c r="D199" s="165">
        <v>405000000</v>
      </c>
      <c r="E199" s="165">
        <v>0</v>
      </c>
      <c r="F199" s="165">
        <v>607500000</v>
      </c>
      <c r="G199" s="165">
        <f t="shared" si="80"/>
        <v>1232500000</v>
      </c>
      <c r="H199" s="165">
        <v>10000000</v>
      </c>
      <c r="I199" s="165">
        <v>821886983</v>
      </c>
      <c r="J199" s="165">
        <f t="shared" ref="J199:J262" si="103">+G199-I199</f>
        <v>410613017</v>
      </c>
      <c r="K199" s="165">
        <v>91768654</v>
      </c>
      <c r="L199" s="165">
        <v>608682927</v>
      </c>
      <c r="M199" s="165">
        <f t="shared" ref="M199:M262" si="104">+I199-L199</f>
        <v>213204056</v>
      </c>
      <c r="N199" s="165">
        <v>1177779613</v>
      </c>
      <c r="O199" s="165">
        <f t="shared" ref="O199:O262" si="105">+N199-I199</f>
        <v>355892630</v>
      </c>
      <c r="P199" s="165">
        <f t="shared" ref="P199:P262" si="106">+G199-N199</f>
        <v>54720387</v>
      </c>
      <c r="Q199" s="165">
        <f t="shared" ref="Q199:Q262" si="107">+L199</f>
        <v>608682927</v>
      </c>
      <c r="V199" s="149">
        <v>54720387</v>
      </c>
      <c r="X199" s="167"/>
      <c r="Y199" s="168"/>
      <c r="AA199" s="165"/>
      <c r="AC199" s="165"/>
      <c r="AE199" s="165"/>
    </row>
    <row r="200" spans="1:31" ht="45" hidden="1" x14ac:dyDescent="0.25">
      <c r="A200" s="160">
        <v>2122283</v>
      </c>
      <c r="B200" s="161" t="s">
        <v>88</v>
      </c>
      <c r="C200" s="162">
        <f>+C201+C202+C203</f>
        <v>379000000</v>
      </c>
      <c r="D200" s="162">
        <f t="shared" ref="D200:N200" si="108">+D201+D202+D203</f>
        <v>420117991</v>
      </c>
      <c r="E200" s="162">
        <f t="shared" si="108"/>
        <v>0</v>
      </c>
      <c r="F200" s="162">
        <f t="shared" si="108"/>
        <v>0</v>
      </c>
      <c r="G200" s="162">
        <f t="shared" si="108"/>
        <v>799317991</v>
      </c>
      <c r="H200" s="162">
        <f t="shared" si="108"/>
        <v>9299744.3800000008</v>
      </c>
      <c r="I200" s="162">
        <f t="shared" si="108"/>
        <v>535389892.51999998</v>
      </c>
      <c r="J200" s="162">
        <f t="shared" si="103"/>
        <v>263928098.48000002</v>
      </c>
      <c r="K200" s="162">
        <f t="shared" si="108"/>
        <v>12412163.380000001</v>
      </c>
      <c r="L200" s="162">
        <f t="shared" si="108"/>
        <v>282142717.51999998</v>
      </c>
      <c r="M200" s="162">
        <f t="shared" si="104"/>
        <v>253247175</v>
      </c>
      <c r="N200" s="162">
        <f t="shared" si="108"/>
        <v>547839211</v>
      </c>
      <c r="O200" s="162">
        <f t="shared" si="105"/>
        <v>12449318.480000019</v>
      </c>
      <c r="P200" s="162">
        <f t="shared" si="106"/>
        <v>251478780</v>
      </c>
      <c r="Q200" s="162">
        <f t="shared" si="107"/>
        <v>282142717.51999998</v>
      </c>
      <c r="V200" s="149">
        <v>251278780</v>
      </c>
      <c r="X200" s="167"/>
      <c r="Y200" s="168"/>
      <c r="AA200" s="162"/>
      <c r="AC200" s="162"/>
      <c r="AE200" s="162"/>
    </row>
    <row r="201" spans="1:31" ht="30" hidden="1" x14ac:dyDescent="0.25">
      <c r="A201" s="163">
        <v>21222831</v>
      </c>
      <c r="B201" s="164" t="s">
        <v>596</v>
      </c>
      <c r="C201" s="165">
        <v>2000000</v>
      </c>
      <c r="D201" s="165">
        <v>0</v>
      </c>
      <c r="E201" s="165">
        <v>0</v>
      </c>
      <c r="F201" s="165">
        <v>0</v>
      </c>
      <c r="G201" s="165">
        <f t="shared" si="80"/>
        <v>2000000</v>
      </c>
      <c r="H201" s="165">
        <v>0</v>
      </c>
      <c r="I201" s="165">
        <v>500000</v>
      </c>
      <c r="J201" s="165">
        <f t="shared" si="103"/>
        <v>1500000</v>
      </c>
      <c r="K201" s="165">
        <v>0</v>
      </c>
      <c r="L201" s="165">
        <v>500000</v>
      </c>
      <c r="M201" s="165">
        <f t="shared" si="104"/>
        <v>0</v>
      </c>
      <c r="N201" s="165">
        <v>500000</v>
      </c>
      <c r="O201" s="165">
        <f t="shared" si="105"/>
        <v>0</v>
      </c>
      <c r="P201" s="165">
        <f t="shared" si="106"/>
        <v>1500000</v>
      </c>
      <c r="Q201" s="165">
        <f t="shared" si="107"/>
        <v>500000</v>
      </c>
      <c r="V201" s="149">
        <v>1500000</v>
      </c>
      <c r="X201" s="167"/>
      <c r="Y201" s="168"/>
      <c r="AA201" s="165"/>
      <c r="AC201" s="165"/>
      <c r="AE201" s="165"/>
    </row>
    <row r="202" spans="1:31" ht="30" hidden="1" x14ac:dyDescent="0.25">
      <c r="A202" s="163">
        <v>21222832</v>
      </c>
      <c r="B202" s="164" t="s">
        <v>598</v>
      </c>
      <c r="C202" s="165">
        <v>337000000</v>
      </c>
      <c r="D202" s="165">
        <v>420117991</v>
      </c>
      <c r="E202" s="165">
        <v>0</v>
      </c>
      <c r="F202" s="165">
        <v>0</v>
      </c>
      <c r="G202" s="165">
        <f>+C202+D202-E202+F202+200000</f>
        <v>757317991</v>
      </c>
      <c r="H202" s="165">
        <v>9299744.3800000008</v>
      </c>
      <c r="I202" s="165">
        <v>534889892.51999998</v>
      </c>
      <c r="J202" s="165">
        <f t="shared" si="103"/>
        <v>222428098.48000002</v>
      </c>
      <c r="K202" s="165">
        <v>12412163.380000001</v>
      </c>
      <c r="L202" s="165">
        <v>281642717.51999998</v>
      </c>
      <c r="M202" s="165">
        <f t="shared" si="104"/>
        <v>253247175</v>
      </c>
      <c r="N202" s="165">
        <v>547339211</v>
      </c>
      <c r="O202" s="165">
        <f t="shared" si="105"/>
        <v>12449318.480000019</v>
      </c>
      <c r="P202" s="165">
        <f t="shared" si="106"/>
        <v>209978780</v>
      </c>
      <c r="Q202" s="165">
        <f t="shared" si="107"/>
        <v>281642717.51999998</v>
      </c>
      <c r="V202" s="149">
        <v>209778780</v>
      </c>
      <c r="X202" s="167"/>
      <c r="Y202" s="168"/>
      <c r="AA202" s="165"/>
      <c r="AC202" s="165"/>
      <c r="AE202" s="165"/>
    </row>
    <row r="203" spans="1:31" s="100" customFormat="1" hidden="1" x14ac:dyDescent="0.25">
      <c r="A203" s="163">
        <v>21222833</v>
      </c>
      <c r="B203" s="164" t="s">
        <v>599</v>
      </c>
      <c r="C203" s="165">
        <v>40000000</v>
      </c>
      <c r="D203" s="165">
        <v>0</v>
      </c>
      <c r="E203" s="165">
        <v>0</v>
      </c>
      <c r="F203" s="165">
        <v>0</v>
      </c>
      <c r="G203" s="165">
        <f t="shared" si="80"/>
        <v>40000000</v>
      </c>
      <c r="H203" s="165">
        <v>0</v>
      </c>
      <c r="I203" s="165">
        <v>0</v>
      </c>
      <c r="J203" s="165">
        <f t="shared" si="103"/>
        <v>40000000</v>
      </c>
      <c r="K203" s="165">
        <v>0</v>
      </c>
      <c r="L203" s="165">
        <v>0</v>
      </c>
      <c r="M203" s="165">
        <f t="shared" si="104"/>
        <v>0</v>
      </c>
      <c r="N203" s="165">
        <v>0</v>
      </c>
      <c r="O203" s="165">
        <f t="shared" si="105"/>
        <v>0</v>
      </c>
      <c r="P203" s="165">
        <f t="shared" si="106"/>
        <v>40000000</v>
      </c>
      <c r="Q203" s="165">
        <f t="shared" si="107"/>
        <v>0</v>
      </c>
      <c r="V203" s="149">
        <v>40000000</v>
      </c>
      <c r="X203" s="167"/>
      <c r="Y203" s="168"/>
      <c r="AA203" s="165"/>
      <c r="AC203" s="165"/>
      <c r="AE203" s="165"/>
    </row>
    <row r="204" spans="1:31" hidden="1" x14ac:dyDescent="0.25">
      <c r="A204" s="160">
        <v>2122284</v>
      </c>
      <c r="B204" s="161" t="s">
        <v>89</v>
      </c>
      <c r="C204" s="162">
        <f>+C205</f>
        <v>651800000</v>
      </c>
      <c r="D204" s="162">
        <f t="shared" ref="D204:N204" si="109">+D205</f>
        <v>0</v>
      </c>
      <c r="E204" s="162">
        <f t="shared" si="109"/>
        <v>0</v>
      </c>
      <c r="F204" s="162">
        <f t="shared" si="109"/>
        <v>0</v>
      </c>
      <c r="G204" s="162">
        <f t="shared" si="109"/>
        <v>651800000</v>
      </c>
      <c r="H204" s="162">
        <f t="shared" si="109"/>
        <v>0</v>
      </c>
      <c r="I204" s="162">
        <f t="shared" si="109"/>
        <v>593650709.04999995</v>
      </c>
      <c r="J204" s="162">
        <f t="shared" si="103"/>
        <v>58149290.950000048</v>
      </c>
      <c r="K204" s="162">
        <f t="shared" si="109"/>
        <v>170199254.49000001</v>
      </c>
      <c r="L204" s="162">
        <f t="shared" si="109"/>
        <v>196519115.19</v>
      </c>
      <c r="M204" s="162">
        <f t="shared" si="104"/>
        <v>397131593.85999995</v>
      </c>
      <c r="N204" s="162">
        <f t="shared" si="109"/>
        <v>594372408.70000005</v>
      </c>
      <c r="O204" s="162">
        <f t="shared" si="105"/>
        <v>721699.65000009537</v>
      </c>
      <c r="P204" s="162">
        <f t="shared" si="106"/>
        <v>57427591.299999952</v>
      </c>
      <c r="Q204" s="162">
        <f t="shared" si="107"/>
        <v>196519115.19</v>
      </c>
      <c r="V204" s="149">
        <v>57427591.299999952</v>
      </c>
      <c r="X204" s="167"/>
      <c r="Y204" s="168"/>
      <c r="AA204" s="162"/>
      <c r="AC204" s="162"/>
      <c r="AE204" s="162"/>
    </row>
    <row r="205" spans="1:31" s="100" customFormat="1" hidden="1" x14ac:dyDescent="0.25">
      <c r="A205" s="163">
        <v>21222841</v>
      </c>
      <c r="B205" s="164" t="s">
        <v>600</v>
      </c>
      <c r="C205" s="165">
        <v>651800000</v>
      </c>
      <c r="D205" s="165">
        <v>0</v>
      </c>
      <c r="E205" s="165">
        <v>0</v>
      </c>
      <c r="F205" s="165">
        <v>0</v>
      </c>
      <c r="G205" s="165">
        <f t="shared" si="80"/>
        <v>651800000</v>
      </c>
      <c r="H205" s="165">
        <v>0</v>
      </c>
      <c r="I205" s="165">
        <v>593650709.04999995</v>
      </c>
      <c r="J205" s="165">
        <f t="shared" si="103"/>
        <v>58149290.950000048</v>
      </c>
      <c r="K205" s="165">
        <v>170199254.49000001</v>
      </c>
      <c r="L205" s="165">
        <v>196519115.19</v>
      </c>
      <c r="M205" s="165">
        <f t="shared" si="104"/>
        <v>397131593.85999995</v>
      </c>
      <c r="N205" s="165">
        <v>594372408.70000005</v>
      </c>
      <c r="O205" s="165">
        <f t="shared" si="105"/>
        <v>721699.65000009537</v>
      </c>
      <c r="P205" s="165">
        <f t="shared" si="106"/>
        <v>57427591.299999952</v>
      </c>
      <c r="Q205" s="165">
        <f t="shared" si="107"/>
        <v>196519115.19</v>
      </c>
      <c r="V205" s="149">
        <v>57427591.299999952</v>
      </c>
      <c r="X205" s="167"/>
      <c r="Y205" s="168"/>
      <c r="AA205" s="165"/>
      <c r="AC205" s="165"/>
      <c r="AE205" s="165"/>
    </row>
    <row r="206" spans="1:31" s="100" customFormat="1" ht="45" hidden="1" x14ac:dyDescent="0.25">
      <c r="A206" s="160">
        <v>2122285</v>
      </c>
      <c r="B206" s="161" t="s">
        <v>90</v>
      </c>
      <c r="C206" s="162">
        <f>+C207+C210+C212</f>
        <v>119000000</v>
      </c>
      <c r="D206" s="162">
        <f t="shared" ref="D206:N206" si="110">+D207+D210+D212</f>
        <v>79200000</v>
      </c>
      <c r="E206" s="162">
        <f t="shared" si="110"/>
        <v>119000000</v>
      </c>
      <c r="F206" s="162">
        <f t="shared" si="110"/>
        <v>0</v>
      </c>
      <c r="G206" s="162">
        <f t="shared" si="110"/>
        <v>79200000</v>
      </c>
      <c r="H206" s="162">
        <f t="shared" si="110"/>
        <v>0</v>
      </c>
      <c r="I206" s="162">
        <f t="shared" si="110"/>
        <v>28291130</v>
      </c>
      <c r="J206" s="162">
        <f t="shared" si="103"/>
        <v>50908870</v>
      </c>
      <c r="K206" s="162">
        <f t="shared" si="110"/>
        <v>2174865</v>
      </c>
      <c r="L206" s="162">
        <f t="shared" si="110"/>
        <v>28291130</v>
      </c>
      <c r="M206" s="162">
        <f t="shared" si="104"/>
        <v>0</v>
      </c>
      <c r="N206" s="162">
        <f t="shared" si="110"/>
        <v>79200000</v>
      </c>
      <c r="O206" s="162">
        <f t="shared" si="105"/>
        <v>50908870</v>
      </c>
      <c r="P206" s="162">
        <f t="shared" si="106"/>
        <v>0</v>
      </c>
      <c r="Q206" s="162">
        <f t="shared" si="107"/>
        <v>28291130</v>
      </c>
      <c r="V206" s="149">
        <v>0</v>
      </c>
      <c r="X206" s="167"/>
      <c r="Y206" s="168"/>
      <c r="AA206" s="162"/>
      <c r="AC206" s="162"/>
      <c r="AE206" s="162"/>
    </row>
    <row r="207" spans="1:31" s="100" customFormat="1" ht="30" hidden="1" x14ac:dyDescent="0.25">
      <c r="A207" s="160">
        <v>212228502</v>
      </c>
      <c r="B207" s="161" t="s">
        <v>819</v>
      </c>
      <c r="C207" s="162">
        <f>+C208+C209</f>
        <v>0</v>
      </c>
      <c r="D207" s="162">
        <f t="shared" ref="D207:N207" si="111">+D208+D209</f>
        <v>10000000</v>
      </c>
      <c r="E207" s="162">
        <f t="shared" si="111"/>
        <v>0</v>
      </c>
      <c r="F207" s="162">
        <f t="shared" si="111"/>
        <v>0</v>
      </c>
      <c r="G207" s="162">
        <f t="shared" si="111"/>
        <v>10000000</v>
      </c>
      <c r="H207" s="162">
        <f t="shared" si="111"/>
        <v>0</v>
      </c>
      <c r="I207" s="162">
        <f t="shared" si="111"/>
        <v>0</v>
      </c>
      <c r="J207" s="162">
        <f t="shared" si="103"/>
        <v>10000000</v>
      </c>
      <c r="K207" s="162">
        <f t="shared" si="111"/>
        <v>0</v>
      </c>
      <c r="L207" s="162">
        <f t="shared" si="111"/>
        <v>0</v>
      </c>
      <c r="M207" s="162">
        <f t="shared" si="104"/>
        <v>0</v>
      </c>
      <c r="N207" s="162">
        <f t="shared" si="111"/>
        <v>10000000</v>
      </c>
      <c r="O207" s="162">
        <f t="shared" si="105"/>
        <v>10000000</v>
      </c>
      <c r="P207" s="162">
        <f t="shared" si="106"/>
        <v>0</v>
      </c>
      <c r="Q207" s="162">
        <f t="shared" si="107"/>
        <v>0</v>
      </c>
      <c r="V207" s="149">
        <v>0</v>
      </c>
      <c r="X207" s="167"/>
      <c r="Y207" s="168"/>
      <c r="AA207" s="162"/>
      <c r="AC207" s="162"/>
      <c r="AE207" s="162"/>
    </row>
    <row r="208" spans="1:31" s="100" customFormat="1" hidden="1" x14ac:dyDescent="0.25">
      <c r="A208" s="160">
        <v>21222850201</v>
      </c>
      <c r="B208" s="161" t="s">
        <v>820</v>
      </c>
      <c r="C208" s="162"/>
      <c r="D208" s="162">
        <v>5000000</v>
      </c>
      <c r="E208" s="162">
        <v>0</v>
      </c>
      <c r="F208" s="162">
        <v>0</v>
      </c>
      <c r="G208" s="162">
        <f t="shared" si="80"/>
        <v>5000000</v>
      </c>
      <c r="H208" s="162">
        <v>0</v>
      </c>
      <c r="I208" s="162">
        <v>0</v>
      </c>
      <c r="J208" s="162">
        <f t="shared" si="103"/>
        <v>5000000</v>
      </c>
      <c r="K208" s="162">
        <v>0</v>
      </c>
      <c r="L208" s="162">
        <v>0</v>
      </c>
      <c r="M208" s="162">
        <f t="shared" si="104"/>
        <v>0</v>
      </c>
      <c r="N208" s="162">
        <v>5000000</v>
      </c>
      <c r="O208" s="162">
        <f t="shared" si="105"/>
        <v>5000000</v>
      </c>
      <c r="P208" s="162">
        <f t="shared" si="106"/>
        <v>0</v>
      </c>
      <c r="Q208" s="162">
        <f t="shared" si="107"/>
        <v>0</v>
      </c>
      <c r="V208" s="149">
        <v>0</v>
      </c>
      <c r="X208" s="167"/>
      <c r="Y208" s="168"/>
      <c r="AA208" s="162"/>
      <c r="AC208" s="162"/>
      <c r="AE208" s="162"/>
    </row>
    <row r="209" spans="1:31" s="100" customFormat="1" ht="30" hidden="1" x14ac:dyDescent="0.25">
      <c r="A209" s="160">
        <v>21222850202</v>
      </c>
      <c r="B209" s="161" t="s">
        <v>821</v>
      </c>
      <c r="C209" s="162"/>
      <c r="D209" s="162">
        <v>5000000</v>
      </c>
      <c r="E209" s="162">
        <v>0</v>
      </c>
      <c r="F209" s="162">
        <v>0</v>
      </c>
      <c r="G209" s="162">
        <f t="shared" ref="G209:G273" si="112">+C209+D209-E209+F209</f>
        <v>5000000</v>
      </c>
      <c r="H209" s="162">
        <v>0</v>
      </c>
      <c r="I209" s="162">
        <v>0</v>
      </c>
      <c r="J209" s="162">
        <f t="shared" si="103"/>
        <v>5000000</v>
      </c>
      <c r="K209" s="162">
        <v>0</v>
      </c>
      <c r="L209" s="162">
        <v>0</v>
      </c>
      <c r="M209" s="162">
        <f t="shared" si="104"/>
        <v>0</v>
      </c>
      <c r="N209" s="162">
        <v>5000000</v>
      </c>
      <c r="O209" s="162">
        <f t="shared" si="105"/>
        <v>5000000</v>
      </c>
      <c r="P209" s="162">
        <f t="shared" si="106"/>
        <v>0</v>
      </c>
      <c r="Q209" s="162">
        <f t="shared" si="107"/>
        <v>0</v>
      </c>
      <c r="V209" s="149">
        <v>0</v>
      </c>
      <c r="X209" s="167"/>
      <c r="Y209" s="168"/>
      <c r="AA209" s="162"/>
      <c r="AC209" s="162"/>
      <c r="AE209" s="162"/>
    </row>
    <row r="210" spans="1:31" s="100" customFormat="1" hidden="1" x14ac:dyDescent="0.25">
      <c r="A210" s="160">
        <v>212228503</v>
      </c>
      <c r="B210" s="161" t="s">
        <v>822</v>
      </c>
      <c r="C210" s="162">
        <f>+C211</f>
        <v>0</v>
      </c>
      <c r="D210" s="162">
        <v>69200000</v>
      </c>
      <c r="E210" s="162">
        <v>0</v>
      </c>
      <c r="F210" s="162">
        <v>0</v>
      </c>
      <c r="G210" s="162">
        <f t="shared" si="112"/>
        <v>69200000</v>
      </c>
      <c r="H210" s="162">
        <v>0</v>
      </c>
      <c r="I210" s="162">
        <v>28291130</v>
      </c>
      <c r="J210" s="162">
        <f t="shared" si="103"/>
        <v>40908870</v>
      </c>
      <c r="K210" s="162">
        <v>2174865</v>
      </c>
      <c r="L210" s="162">
        <v>28291130</v>
      </c>
      <c r="M210" s="162">
        <f t="shared" si="104"/>
        <v>0</v>
      </c>
      <c r="N210" s="162">
        <v>69200000</v>
      </c>
      <c r="O210" s="162">
        <f t="shared" si="105"/>
        <v>40908870</v>
      </c>
      <c r="P210" s="162">
        <f t="shared" si="106"/>
        <v>0</v>
      </c>
      <c r="Q210" s="162">
        <f t="shared" si="107"/>
        <v>28291130</v>
      </c>
      <c r="V210" s="149">
        <v>0</v>
      </c>
      <c r="AA210" s="162"/>
      <c r="AC210" s="162"/>
      <c r="AE210" s="162"/>
    </row>
    <row r="211" spans="1:31" ht="30" hidden="1" x14ac:dyDescent="0.25">
      <c r="A211" s="160">
        <v>21222850301</v>
      </c>
      <c r="B211" s="161" t="s">
        <v>823</v>
      </c>
      <c r="C211" s="162"/>
      <c r="D211" s="162">
        <v>69200000</v>
      </c>
      <c r="E211" s="162">
        <v>0</v>
      </c>
      <c r="F211" s="162">
        <v>0</v>
      </c>
      <c r="G211" s="162">
        <f t="shared" si="112"/>
        <v>69200000</v>
      </c>
      <c r="H211" s="162">
        <v>0</v>
      </c>
      <c r="I211" s="162">
        <v>28291130</v>
      </c>
      <c r="J211" s="162">
        <f t="shared" si="103"/>
        <v>40908870</v>
      </c>
      <c r="K211" s="162">
        <v>2174865</v>
      </c>
      <c r="L211" s="162">
        <v>28291130</v>
      </c>
      <c r="M211" s="162">
        <f t="shared" si="104"/>
        <v>0</v>
      </c>
      <c r="N211" s="162">
        <v>69200000</v>
      </c>
      <c r="O211" s="162">
        <f t="shared" si="105"/>
        <v>40908870</v>
      </c>
      <c r="P211" s="162">
        <f t="shared" si="106"/>
        <v>0</v>
      </c>
      <c r="Q211" s="162">
        <f t="shared" si="107"/>
        <v>28291130</v>
      </c>
      <c r="V211" s="149">
        <v>0</v>
      </c>
      <c r="X211" s="20"/>
      <c r="Y211" s="127"/>
      <c r="AA211" s="162"/>
      <c r="AC211" s="162"/>
      <c r="AE211" s="162"/>
    </row>
    <row r="212" spans="1:31" s="100" customFormat="1" ht="30" hidden="1" x14ac:dyDescent="0.25">
      <c r="A212" s="163">
        <v>21222851</v>
      </c>
      <c r="B212" s="164" t="s">
        <v>601</v>
      </c>
      <c r="C212" s="165">
        <v>119000000</v>
      </c>
      <c r="D212" s="165">
        <v>0</v>
      </c>
      <c r="E212" s="165">
        <v>119000000</v>
      </c>
      <c r="F212" s="165">
        <v>0</v>
      </c>
      <c r="G212" s="165">
        <f t="shared" si="112"/>
        <v>0</v>
      </c>
      <c r="H212" s="165">
        <v>0</v>
      </c>
      <c r="I212" s="165">
        <v>0</v>
      </c>
      <c r="J212" s="165">
        <f t="shared" si="103"/>
        <v>0</v>
      </c>
      <c r="K212" s="165">
        <v>0</v>
      </c>
      <c r="L212" s="165">
        <v>0</v>
      </c>
      <c r="M212" s="165">
        <f t="shared" si="104"/>
        <v>0</v>
      </c>
      <c r="N212" s="165">
        <v>0</v>
      </c>
      <c r="O212" s="165">
        <f t="shared" si="105"/>
        <v>0</v>
      </c>
      <c r="P212" s="165">
        <f t="shared" si="106"/>
        <v>0</v>
      </c>
      <c r="Q212" s="165">
        <f t="shared" si="107"/>
        <v>0</v>
      </c>
      <c r="V212" s="149">
        <v>0</v>
      </c>
      <c r="X212" s="20"/>
      <c r="Y212" s="127"/>
      <c r="AA212" s="165"/>
      <c r="AC212" s="165"/>
      <c r="AE212" s="165"/>
    </row>
    <row r="213" spans="1:31" s="100" customFormat="1" ht="45" hidden="1" x14ac:dyDescent="0.25">
      <c r="A213" s="157">
        <v>2122286</v>
      </c>
      <c r="B213" s="158" t="s">
        <v>91</v>
      </c>
      <c r="C213" s="159">
        <f>+C214+C216+C217</f>
        <v>49500000</v>
      </c>
      <c r="D213" s="159">
        <f t="shared" ref="D213:N213" si="113">+D214+D216+D217</f>
        <v>35000000</v>
      </c>
      <c r="E213" s="159">
        <f t="shared" si="113"/>
        <v>0</v>
      </c>
      <c r="F213" s="159">
        <f t="shared" si="113"/>
        <v>0</v>
      </c>
      <c r="G213" s="159">
        <f t="shared" si="113"/>
        <v>84500000</v>
      </c>
      <c r="H213" s="159">
        <f t="shared" si="113"/>
        <v>0</v>
      </c>
      <c r="I213" s="159">
        <f t="shared" si="113"/>
        <v>11791004</v>
      </c>
      <c r="J213" s="159">
        <f t="shared" si="103"/>
        <v>72708996</v>
      </c>
      <c r="K213" s="159">
        <f t="shared" si="113"/>
        <v>1376635</v>
      </c>
      <c r="L213" s="159">
        <f t="shared" si="113"/>
        <v>6024635</v>
      </c>
      <c r="M213" s="159">
        <f t="shared" si="104"/>
        <v>5766369</v>
      </c>
      <c r="N213" s="159">
        <f t="shared" si="113"/>
        <v>17951000</v>
      </c>
      <c r="O213" s="159">
        <f t="shared" si="105"/>
        <v>6159996</v>
      </c>
      <c r="P213" s="159">
        <f t="shared" si="106"/>
        <v>66549000</v>
      </c>
      <c r="Q213" s="159">
        <f t="shared" si="107"/>
        <v>6024635</v>
      </c>
      <c r="V213" s="149">
        <v>30300000</v>
      </c>
      <c r="X213" s="20"/>
      <c r="Y213" s="127"/>
      <c r="AA213" s="159"/>
      <c r="AC213" s="159"/>
      <c r="AE213" s="159"/>
    </row>
    <row r="214" spans="1:31" ht="45" hidden="1" x14ac:dyDescent="0.25">
      <c r="A214" s="160">
        <v>21222861</v>
      </c>
      <c r="B214" s="161" t="s">
        <v>92</v>
      </c>
      <c r="C214" s="162">
        <f>+C215</f>
        <v>30000000</v>
      </c>
      <c r="D214" s="162">
        <f t="shared" ref="D214:N214" si="114">+D215</f>
        <v>0</v>
      </c>
      <c r="E214" s="162">
        <f t="shared" si="114"/>
        <v>0</v>
      </c>
      <c r="F214" s="162">
        <f t="shared" si="114"/>
        <v>0</v>
      </c>
      <c r="G214" s="162">
        <f t="shared" si="114"/>
        <v>30000000</v>
      </c>
      <c r="H214" s="162">
        <f t="shared" si="114"/>
        <v>0</v>
      </c>
      <c r="I214" s="162">
        <f t="shared" si="114"/>
        <v>500000</v>
      </c>
      <c r="J214" s="162">
        <f t="shared" si="103"/>
        <v>29500000</v>
      </c>
      <c r="K214" s="162">
        <f t="shared" si="114"/>
        <v>0</v>
      </c>
      <c r="L214" s="162">
        <f t="shared" si="114"/>
        <v>500000</v>
      </c>
      <c r="M214" s="162">
        <f t="shared" si="104"/>
        <v>0</v>
      </c>
      <c r="N214" s="162">
        <f t="shared" si="114"/>
        <v>500000</v>
      </c>
      <c r="O214" s="162">
        <f t="shared" si="105"/>
        <v>0</v>
      </c>
      <c r="P214" s="162">
        <f t="shared" si="106"/>
        <v>29500000</v>
      </c>
      <c r="Q214" s="162">
        <f t="shared" si="107"/>
        <v>500000</v>
      </c>
      <c r="V214" s="149">
        <v>29500000</v>
      </c>
      <c r="X214" s="20"/>
      <c r="Y214" s="127"/>
      <c r="AA214" s="162"/>
      <c r="AC214" s="162"/>
      <c r="AE214" s="162"/>
    </row>
    <row r="215" spans="1:31" ht="30" hidden="1" x14ac:dyDescent="0.25">
      <c r="A215" s="163">
        <v>212228611</v>
      </c>
      <c r="B215" s="164" t="s">
        <v>602</v>
      </c>
      <c r="C215" s="165">
        <v>30000000</v>
      </c>
      <c r="D215" s="165">
        <v>0</v>
      </c>
      <c r="E215" s="165">
        <v>0</v>
      </c>
      <c r="F215" s="165">
        <v>0</v>
      </c>
      <c r="G215" s="165">
        <f t="shared" si="112"/>
        <v>30000000</v>
      </c>
      <c r="H215" s="165">
        <v>0</v>
      </c>
      <c r="I215" s="165">
        <v>500000</v>
      </c>
      <c r="J215" s="165">
        <f t="shared" si="103"/>
        <v>29500000</v>
      </c>
      <c r="K215" s="165">
        <v>0</v>
      </c>
      <c r="L215" s="165">
        <v>500000</v>
      </c>
      <c r="M215" s="165">
        <f t="shared" si="104"/>
        <v>0</v>
      </c>
      <c r="N215" s="165">
        <v>500000</v>
      </c>
      <c r="O215" s="165">
        <f t="shared" si="105"/>
        <v>0</v>
      </c>
      <c r="P215" s="165">
        <f t="shared" si="106"/>
        <v>29500000</v>
      </c>
      <c r="Q215" s="165">
        <f t="shared" si="107"/>
        <v>500000</v>
      </c>
      <c r="V215" s="149">
        <v>29500000</v>
      </c>
      <c r="X215" s="20"/>
      <c r="Y215" s="127"/>
      <c r="AA215" s="165"/>
      <c r="AC215" s="165"/>
      <c r="AE215" s="165"/>
    </row>
    <row r="216" spans="1:31" ht="30" hidden="1" x14ac:dyDescent="0.25">
      <c r="A216" s="163">
        <v>21222862</v>
      </c>
      <c r="B216" s="164" t="s">
        <v>603</v>
      </c>
      <c r="C216" s="165">
        <v>1500000</v>
      </c>
      <c r="D216" s="165">
        <v>0</v>
      </c>
      <c r="E216" s="165">
        <v>0</v>
      </c>
      <c r="F216" s="165">
        <v>0</v>
      </c>
      <c r="G216" s="165">
        <f t="shared" si="112"/>
        <v>1500000</v>
      </c>
      <c r="H216" s="165">
        <v>0</v>
      </c>
      <c r="I216" s="165">
        <v>700000</v>
      </c>
      <c r="J216" s="165">
        <f t="shared" si="103"/>
        <v>800000</v>
      </c>
      <c r="K216" s="165">
        <v>0</v>
      </c>
      <c r="L216" s="165">
        <v>700000</v>
      </c>
      <c r="M216" s="165">
        <f t="shared" si="104"/>
        <v>0</v>
      </c>
      <c r="N216" s="165">
        <v>700000</v>
      </c>
      <c r="O216" s="165">
        <f t="shared" si="105"/>
        <v>0</v>
      </c>
      <c r="P216" s="165">
        <f t="shared" si="106"/>
        <v>800000</v>
      </c>
      <c r="Q216" s="165">
        <f t="shared" si="107"/>
        <v>700000</v>
      </c>
      <c r="V216" s="149">
        <v>800000</v>
      </c>
      <c r="X216" s="20"/>
      <c r="Y216" s="127"/>
      <c r="AA216" s="165"/>
      <c r="AC216" s="165"/>
      <c r="AE216" s="165"/>
    </row>
    <row r="217" spans="1:31" s="100" customFormat="1" ht="30" hidden="1" x14ac:dyDescent="0.25">
      <c r="A217" s="163">
        <v>21222863</v>
      </c>
      <c r="B217" s="164" t="s">
        <v>604</v>
      </c>
      <c r="C217" s="165">
        <v>18000000</v>
      </c>
      <c r="D217" s="165">
        <v>35000000</v>
      </c>
      <c r="E217" s="165">
        <v>0</v>
      </c>
      <c r="F217" s="165">
        <v>0</v>
      </c>
      <c r="G217" s="165">
        <f t="shared" si="112"/>
        <v>53000000</v>
      </c>
      <c r="H217" s="165">
        <v>0</v>
      </c>
      <c r="I217" s="165">
        <v>10591004</v>
      </c>
      <c r="J217" s="165">
        <f t="shared" si="103"/>
        <v>42408996</v>
      </c>
      <c r="K217" s="165">
        <v>1376635</v>
      </c>
      <c r="L217" s="165">
        <v>4824635</v>
      </c>
      <c r="M217" s="165">
        <f t="shared" si="104"/>
        <v>5766369</v>
      </c>
      <c r="N217" s="165">
        <v>16751000</v>
      </c>
      <c r="O217" s="165">
        <f t="shared" si="105"/>
        <v>6159996</v>
      </c>
      <c r="P217" s="165">
        <f t="shared" si="106"/>
        <v>36249000</v>
      </c>
      <c r="Q217" s="165">
        <f t="shared" si="107"/>
        <v>4824635</v>
      </c>
      <c r="V217" s="149">
        <v>36249000</v>
      </c>
      <c r="X217" s="167"/>
      <c r="Y217" s="168"/>
      <c r="AA217" s="165"/>
      <c r="AC217" s="165"/>
      <c r="AE217" s="165"/>
    </row>
    <row r="218" spans="1:31" ht="45" hidden="1" x14ac:dyDescent="0.25">
      <c r="A218" s="160">
        <v>2122287</v>
      </c>
      <c r="B218" s="161" t="s">
        <v>93</v>
      </c>
      <c r="C218" s="162">
        <f>+C219</f>
        <v>30000000</v>
      </c>
      <c r="D218" s="162">
        <f t="shared" ref="D218:N218" si="115">+D219</f>
        <v>200000000</v>
      </c>
      <c r="E218" s="162">
        <f t="shared" si="115"/>
        <v>0</v>
      </c>
      <c r="F218" s="162">
        <f t="shared" si="115"/>
        <v>0</v>
      </c>
      <c r="G218" s="162">
        <f t="shared" si="115"/>
        <v>230000000</v>
      </c>
      <c r="H218" s="162">
        <f t="shared" si="115"/>
        <v>0</v>
      </c>
      <c r="I218" s="162">
        <f t="shared" si="115"/>
        <v>89950000</v>
      </c>
      <c r="J218" s="162">
        <f t="shared" si="103"/>
        <v>140050000</v>
      </c>
      <c r="K218" s="162">
        <f t="shared" si="115"/>
        <v>0</v>
      </c>
      <c r="L218" s="162">
        <f t="shared" si="115"/>
        <v>2950000</v>
      </c>
      <c r="M218" s="162">
        <f t="shared" si="104"/>
        <v>87000000</v>
      </c>
      <c r="N218" s="162">
        <f t="shared" si="115"/>
        <v>152950000</v>
      </c>
      <c r="O218" s="162">
        <f t="shared" si="105"/>
        <v>63000000</v>
      </c>
      <c r="P218" s="162">
        <f t="shared" si="106"/>
        <v>77050000</v>
      </c>
      <c r="Q218" s="162">
        <f t="shared" si="107"/>
        <v>2950000</v>
      </c>
      <c r="V218" s="149">
        <v>77050000</v>
      </c>
      <c r="X218" s="167"/>
      <c r="Y218" s="168"/>
      <c r="AA218" s="162"/>
      <c r="AC218" s="162"/>
      <c r="AE218" s="162"/>
    </row>
    <row r="219" spans="1:31" s="100" customFormat="1" ht="30" hidden="1" x14ac:dyDescent="0.25">
      <c r="A219" s="163">
        <v>21222871</v>
      </c>
      <c r="B219" s="164" t="s">
        <v>605</v>
      </c>
      <c r="C219" s="165">
        <v>30000000</v>
      </c>
      <c r="D219" s="165">
        <v>200000000</v>
      </c>
      <c r="E219" s="165">
        <v>0</v>
      </c>
      <c r="F219" s="165">
        <v>0</v>
      </c>
      <c r="G219" s="165">
        <f t="shared" si="112"/>
        <v>230000000</v>
      </c>
      <c r="H219" s="165">
        <v>0</v>
      </c>
      <c r="I219" s="165">
        <v>89950000</v>
      </c>
      <c r="J219" s="165">
        <f t="shared" si="103"/>
        <v>140050000</v>
      </c>
      <c r="K219" s="165">
        <v>0</v>
      </c>
      <c r="L219" s="165">
        <v>2950000</v>
      </c>
      <c r="M219" s="165">
        <f t="shared" si="104"/>
        <v>87000000</v>
      </c>
      <c r="N219" s="165">
        <v>152950000</v>
      </c>
      <c r="O219" s="165">
        <f t="shared" si="105"/>
        <v>63000000</v>
      </c>
      <c r="P219" s="165">
        <f t="shared" si="106"/>
        <v>77050000</v>
      </c>
      <c r="Q219" s="165">
        <f t="shared" si="107"/>
        <v>2950000</v>
      </c>
      <c r="V219" s="149">
        <v>77050000</v>
      </c>
      <c r="X219" s="167"/>
      <c r="Y219" s="168"/>
      <c r="AA219" s="165"/>
      <c r="AC219" s="165"/>
      <c r="AE219" s="165"/>
    </row>
    <row r="220" spans="1:31" s="100" customFormat="1" ht="30" hidden="1" x14ac:dyDescent="0.25">
      <c r="A220" s="157">
        <v>212229</v>
      </c>
      <c r="B220" s="158" t="s">
        <v>94</v>
      </c>
      <c r="C220" s="159">
        <f>+C221+C224+C227+C230</f>
        <v>725000000</v>
      </c>
      <c r="D220" s="159">
        <f t="shared" ref="D220:N220" si="116">+D221+D224+D227+D230</f>
        <v>0</v>
      </c>
      <c r="E220" s="159">
        <f t="shared" si="116"/>
        <v>150000000</v>
      </c>
      <c r="F220" s="159">
        <f t="shared" si="116"/>
        <v>150000000</v>
      </c>
      <c r="G220" s="159">
        <f t="shared" si="116"/>
        <v>725000000</v>
      </c>
      <c r="H220" s="159">
        <f t="shared" si="116"/>
        <v>23371350</v>
      </c>
      <c r="I220" s="159">
        <f t="shared" si="116"/>
        <v>400906802</v>
      </c>
      <c r="J220" s="159">
        <f t="shared" si="103"/>
        <v>324093198</v>
      </c>
      <c r="K220" s="159">
        <f t="shared" si="116"/>
        <v>41945668</v>
      </c>
      <c r="L220" s="159">
        <f t="shared" si="116"/>
        <v>298241787</v>
      </c>
      <c r="M220" s="159">
        <f t="shared" si="104"/>
        <v>102665015</v>
      </c>
      <c r="N220" s="159">
        <f t="shared" si="116"/>
        <v>480916356</v>
      </c>
      <c r="O220" s="159">
        <f t="shared" si="105"/>
        <v>80009554</v>
      </c>
      <c r="P220" s="159">
        <f t="shared" si="106"/>
        <v>244083644</v>
      </c>
      <c r="Q220" s="159">
        <f t="shared" si="107"/>
        <v>298241787</v>
      </c>
      <c r="V220" s="149">
        <v>244083644</v>
      </c>
      <c r="X220" s="84"/>
      <c r="Y220" s="84"/>
      <c r="AA220" s="159"/>
      <c r="AC220" s="159"/>
      <c r="AE220" s="159"/>
    </row>
    <row r="221" spans="1:31" hidden="1" x14ac:dyDescent="0.25">
      <c r="A221" s="160">
        <v>2122291</v>
      </c>
      <c r="B221" s="161" t="s">
        <v>95</v>
      </c>
      <c r="C221" s="162">
        <f>+C222+C223</f>
        <v>440000000</v>
      </c>
      <c r="D221" s="162">
        <f t="shared" ref="D221:N221" si="117">+D222+D223</f>
        <v>0</v>
      </c>
      <c r="E221" s="162">
        <f t="shared" si="117"/>
        <v>150000000</v>
      </c>
      <c r="F221" s="162">
        <f t="shared" si="117"/>
        <v>150000000</v>
      </c>
      <c r="G221" s="162">
        <f t="shared" si="117"/>
        <v>440000000</v>
      </c>
      <c r="H221" s="162">
        <f t="shared" si="117"/>
        <v>23080000</v>
      </c>
      <c r="I221" s="162">
        <f t="shared" si="117"/>
        <v>212935597</v>
      </c>
      <c r="J221" s="162">
        <f t="shared" si="103"/>
        <v>227064403</v>
      </c>
      <c r="K221" s="162">
        <f t="shared" si="117"/>
        <v>23913261</v>
      </c>
      <c r="L221" s="162">
        <f t="shared" si="117"/>
        <v>153575977</v>
      </c>
      <c r="M221" s="162">
        <f t="shared" si="104"/>
        <v>59359620</v>
      </c>
      <c r="N221" s="162">
        <f t="shared" si="117"/>
        <v>291809293</v>
      </c>
      <c r="O221" s="162">
        <f t="shared" si="105"/>
        <v>78873696</v>
      </c>
      <c r="P221" s="162">
        <f t="shared" si="106"/>
        <v>148190707</v>
      </c>
      <c r="Q221" s="162">
        <f t="shared" si="107"/>
        <v>153575977</v>
      </c>
      <c r="V221" s="149">
        <v>148190707</v>
      </c>
      <c r="AA221" s="162"/>
      <c r="AC221" s="162"/>
      <c r="AE221" s="162"/>
    </row>
    <row r="222" spans="1:31" hidden="1" x14ac:dyDescent="0.25">
      <c r="A222" s="163">
        <v>21222911</v>
      </c>
      <c r="B222" s="164" t="s">
        <v>606</v>
      </c>
      <c r="C222" s="165">
        <v>190000000</v>
      </c>
      <c r="D222" s="165">
        <v>0</v>
      </c>
      <c r="E222" s="165">
        <v>150000000</v>
      </c>
      <c r="F222" s="165">
        <v>0</v>
      </c>
      <c r="G222" s="165">
        <f t="shared" si="112"/>
        <v>40000000</v>
      </c>
      <c r="H222" s="165">
        <v>0</v>
      </c>
      <c r="I222" s="165">
        <v>40000000</v>
      </c>
      <c r="J222" s="165">
        <f t="shared" si="103"/>
        <v>0</v>
      </c>
      <c r="K222" s="165">
        <v>19400000</v>
      </c>
      <c r="L222" s="165">
        <v>40000000</v>
      </c>
      <c r="M222" s="165">
        <f t="shared" si="104"/>
        <v>0</v>
      </c>
      <c r="N222" s="165">
        <v>40000000</v>
      </c>
      <c r="O222" s="165">
        <f t="shared" si="105"/>
        <v>0</v>
      </c>
      <c r="P222" s="165">
        <f t="shared" si="106"/>
        <v>0</v>
      </c>
      <c r="Q222" s="165">
        <f t="shared" si="107"/>
        <v>40000000</v>
      </c>
      <c r="V222" s="149">
        <v>0</v>
      </c>
      <c r="X222" s="100"/>
      <c r="Y222" s="100"/>
      <c r="AA222" s="165"/>
      <c r="AC222" s="165"/>
      <c r="AE222" s="165"/>
    </row>
    <row r="223" spans="1:31" s="100" customFormat="1" ht="30" hidden="1" x14ac:dyDescent="0.25">
      <c r="A223" s="163">
        <v>21222912</v>
      </c>
      <c r="B223" s="164" t="s">
        <v>607</v>
      </c>
      <c r="C223" s="165">
        <v>250000000</v>
      </c>
      <c r="D223" s="165">
        <v>0</v>
      </c>
      <c r="E223" s="165">
        <v>0</v>
      </c>
      <c r="F223" s="165">
        <v>150000000</v>
      </c>
      <c r="G223" s="165">
        <f t="shared" si="112"/>
        <v>400000000</v>
      </c>
      <c r="H223" s="165">
        <v>23080000</v>
      </c>
      <c r="I223" s="165">
        <v>172935597</v>
      </c>
      <c r="J223" s="165">
        <f t="shared" si="103"/>
        <v>227064403</v>
      </c>
      <c r="K223" s="165">
        <v>4513261</v>
      </c>
      <c r="L223" s="165">
        <v>113575977</v>
      </c>
      <c r="M223" s="165">
        <f t="shared" si="104"/>
        <v>59359620</v>
      </c>
      <c r="N223" s="165">
        <v>251809293</v>
      </c>
      <c r="O223" s="165">
        <f t="shared" si="105"/>
        <v>78873696</v>
      </c>
      <c r="P223" s="165">
        <f t="shared" si="106"/>
        <v>148190707</v>
      </c>
      <c r="Q223" s="165">
        <f t="shared" si="107"/>
        <v>113575977</v>
      </c>
      <c r="V223" s="149">
        <v>148190707</v>
      </c>
      <c r="AA223" s="165"/>
      <c r="AC223" s="165"/>
      <c r="AE223" s="165"/>
    </row>
    <row r="224" spans="1:31" ht="45" hidden="1" x14ac:dyDescent="0.25">
      <c r="A224" s="160">
        <v>2122293</v>
      </c>
      <c r="B224" s="161" t="s">
        <v>96</v>
      </c>
      <c r="C224" s="162">
        <f>+C225+C226</f>
        <v>93000000</v>
      </c>
      <c r="D224" s="162">
        <f t="shared" ref="D224:N224" si="118">+D225+D226</f>
        <v>0</v>
      </c>
      <c r="E224" s="162">
        <f t="shared" si="118"/>
        <v>0</v>
      </c>
      <c r="F224" s="162">
        <f t="shared" si="118"/>
        <v>0</v>
      </c>
      <c r="G224" s="162">
        <f t="shared" si="118"/>
        <v>93000000</v>
      </c>
      <c r="H224" s="162">
        <f t="shared" si="118"/>
        <v>291350</v>
      </c>
      <c r="I224" s="162">
        <f t="shared" si="118"/>
        <v>52175480</v>
      </c>
      <c r="J224" s="162">
        <f t="shared" si="103"/>
        <v>40824520</v>
      </c>
      <c r="K224" s="162">
        <f t="shared" si="118"/>
        <v>1093850</v>
      </c>
      <c r="L224" s="162">
        <f t="shared" si="118"/>
        <v>25760430</v>
      </c>
      <c r="M224" s="162">
        <f t="shared" si="104"/>
        <v>26415050</v>
      </c>
      <c r="N224" s="162">
        <f t="shared" si="118"/>
        <v>53291280</v>
      </c>
      <c r="O224" s="162">
        <f t="shared" si="105"/>
        <v>1115800</v>
      </c>
      <c r="P224" s="162">
        <f t="shared" si="106"/>
        <v>39708720</v>
      </c>
      <c r="Q224" s="162">
        <f t="shared" si="107"/>
        <v>25760430</v>
      </c>
      <c r="V224" s="149">
        <v>39708720</v>
      </c>
      <c r="AA224" s="162"/>
      <c r="AC224" s="162"/>
      <c r="AE224" s="162"/>
    </row>
    <row r="225" spans="1:31" ht="45" hidden="1" x14ac:dyDescent="0.25">
      <c r="A225" s="163">
        <v>21222931</v>
      </c>
      <c r="B225" s="164" t="s">
        <v>608</v>
      </c>
      <c r="C225" s="165">
        <v>57000000</v>
      </c>
      <c r="D225" s="165">
        <v>0</v>
      </c>
      <c r="E225" s="165">
        <v>0</v>
      </c>
      <c r="F225" s="165">
        <v>0</v>
      </c>
      <c r="G225" s="165">
        <f t="shared" si="112"/>
        <v>57000000</v>
      </c>
      <c r="H225" s="165">
        <v>291350</v>
      </c>
      <c r="I225" s="165">
        <v>16175480</v>
      </c>
      <c r="J225" s="165">
        <f t="shared" si="103"/>
        <v>40824520</v>
      </c>
      <c r="K225" s="165">
        <v>291350</v>
      </c>
      <c r="L225" s="165">
        <v>19007530</v>
      </c>
      <c r="M225" s="165">
        <f t="shared" si="104"/>
        <v>-2832050</v>
      </c>
      <c r="N225" s="165">
        <v>17291280</v>
      </c>
      <c r="O225" s="165">
        <f t="shared" si="105"/>
        <v>1115800</v>
      </c>
      <c r="P225" s="165">
        <f t="shared" si="106"/>
        <v>39708720</v>
      </c>
      <c r="Q225" s="165">
        <f t="shared" si="107"/>
        <v>19007530</v>
      </c>
      <c r="V225" s="149">
        <v>39708720</v>
      </c>
      <c r="X225" s="100"/>
      <c r="Y225" s="100"/>
      <c r="AA225" s="165"/>
      <c r="AC225" s="165"/>
      <c r="AE225" s="165"/>
    </row>
    <row r="226" spans="1:31" s="100" customFormat="1" ht="30" hidden="1" x14ac:dyDescent="0.25">
      <c r="A226" s="163">
        <v>21222936</v>
      </c>
      <c r="B226" s="164" t="s">
        <v>609</v>
      </c>
      <c r="C226" s="165">
        <v>36000000</v>
      </c>
      <c r="D226" s="165">
        <v>0</v>
      </c>
      <c r="E226" s="165">
        <v>0</v>
      </c>
      <c r="F226" s="165">
        <v>0</v>
      </c>
      <c r="G226" s="165">
        <f t="shared" si="112"/>
        <v>36000000</v>
      </c>
      <c r="H226" s="165">
        <v>0</v>
      </c>
      <c r="I226" s="165">
        <v>36000000</v>
      </c>
      <c r="J226" s="165">
        <f t="shared" si="103"/>
        <v>0</v>
      </c>
      <c r="K226" s="165">
        <v>802500</v>
      </c>
      <c r="L226" s="165">
        <v>6752900</v>
      </c>
      <c r="M226" s="165">
        <f t="shared" si="104"/>
        <v>29247100</v>
      </c>
      <c r="N226" s="165">
        <v>36000000</v>
      </c>
      <c r="O226" s="165">
        <f t="shared" si="105"/>
        <v>0</v>
      </c>
      <c r="P226" s="165">
        <f t="shared" si="106"/>
        <v>0</v>
      </c>
      <c r="Q226" s="165">
        <f t="shared" si="107"/>
        <v>6752900</v>
      </c>
      <c r="V226" s="149">
        <v>0</v>
      </c>
      <c r="X226" s="84"/>
      <c r="Y226" s="84"/>
      <c r="AA226" s="165"/>
      <c r="AC226" s="165"/>
      <c r="AE226" s="165"/>
    </row>
    <row r="227" spans="1:31" hidden="1" x14ac:dyDescent="0.25">
      <c r="A227" s="160">
        <v>2122294</v>
      </c>
      <c r="B227" s="161" t="s">
        <v>97</v>
      </c>
      <c r="C227" s="162">
        <f>+C228+C229</f>
        <v>115000000</v>
      </c>
      <c r="D227" s="162">
        <f t="shared" ref="D227:N227" si="119">+D228+D229</f>
        <v>0</v>
      </c>
      <c r="E227" s="162">
        <f t="shared" si="119"/>
        <v>0</v>
      </c>
      <c r="F227" s="162">
        <f t="shared" si="119"/>
        <v>0</v>
      </c>
      <c r="G227" s="162">
        <f t="shared" si="119"/>
        <v>115000000</v>
      </c>
      <c r="H227" s="162">
        <f t="shared" si="119"/>
        <v>0</v>
      </c>
      <c r="I227" s="162">
        <f t="shared" si="119"/>
        <v>85000000</v>
      </c>
      <c r="J227" s="162">
        <f t="shared" si="103"/>
        <v>30000000</v>
      </c>
      <c r="K227" s="162">
        <f t="shared" si="119"/>
        <v>0</v>
      </c>
      <c r="L227" s="162">
        <f t="shared" si="119"/>
        <v>85000000</v>
      </c>
      <c r="M227" s="162">
        <f t="shared" si="104"/>
        <v>0</v>
      </c>
      <c r="N227" s="162">
        <f t="shared" si="119"/>
        <v>85000000</v>
      </c>
      <c r="O227" s="162">
        <f t="shared" si="105"/>
        <v>0</v>
      </c>
      <c r="P227" s="162">
        <f t="shared" si="106"/>
        <v>30000000</v>
      </c>
      <c r="Q227" s="162">
        <f t="shared" si="107"/>
        <v>85000000</v>
      </c>
      <c r="V227" s="149">
        <v>30000000</v>
      </c>
      <c r="AA227" s="162"/>
      <c r="AC227" s="162"/>
      <c r="AE227" s="162"/>
    </row>
    <row r="228" spans="1:31" ht="45" hidden="1" x14ac:dyDescent="0.25">
      <c r="A228" s="163">
        <v>21222941</v>
      </c>
      <c r="B228" s="164" t="s">
        <v>643</v>
      </c>
      <c r="C228" s="165">
        <v>30000000</v>
      </c>
      <c r="D228" s="165">
        <v>0</v>
      </c>
      <c r="E228" s="165">
        <v>0</v>
      </c>
      <c r="F228" s="165">
        <v>0</v>
      </c>
      <c r="G228" s="165">
        <f t="shared" si="112"/>
        <v>30000000</v>
      </c>
      <c r="H228" s="165">
        <v>0</v>
      </c>
      <c r="I228" s="165">
        <v>0</v>
      </c>
      <c r="J228" s="165">
        <f t="shared" si="103"/>
        <v>30000000</v>
      </c>
      <c r="K228" s="165">
        <v>0</v>
      </c>
      <c r="L228" s="165">
        <v>0</v>
      </c>
      <c r="M228" s="165">
        <f t="shared" si="104"/>
        <v>0</v>
      </c>
      <c r="N228" s="165">
        <v>0</v>
      </c>
      <c r="O228" s="165">
        <f t="shared" si="105"/>
        <v>0</v>
      </c>
      <c r="P228" s="165">
        <f t="shared" si="106"/>
        <v>30000000</v>
      </c>
      <c r="Q228" s="165">
        <f t="shared" si="107"/>
        <v>0</v>
      </c>
      <c r="V228" s="149">
        <v>30000000</v>
      </c>
      <c r="AA228" s="165"/>
      <c r="AC228" s="165"/>
      <c r="AE228" s="165"/>
    </row>
    <row r="229" spans="1:31" s="100" customFormat="1" ht="30" hidden="1" x14ac:dyDescent="0.25">
      <c r="A229" s="163">
        <v>21222942</v>
      </c>
      <c r="B229" s="164" t="s">
        <v>610</v>
      </c>
      <c r="C229" s="165">
        <v>85000000</v>
      </c>
      <c r="D229" s="165">
        <v>0</v>
      </c>
      <c r="E229" s="165">
        <v>0</v>
      </c>
      <c r="F229" s="165">
        <v>0</v>
      </c>
      <c r="G229" s="165">
        <f t="shared" si="112"/>
        <v>85000000</v>
      </c>
      <c r="H229" s="165">
        <v>0</v>
      </c>
      <c r="I229" s="165">
        <v>85000000</v>
      </c>
      <c r="J229" s="165">
        <f t="shared" si="103"/>
        <v>0</v>
      </c>
      <c r="K229" s="165">
        <v>0</v>
      </c>
      <c r="L229" s="165">
        <v>85000000</v>
      </c>
      <c r="M229" s="165">
        <f t="shared" si="104"/>
        <v>0</v>
      </c>
      <c r="N229" s="165">
        <v>85000000</v>
      </c>
      <c r="O229" s="165">
        <f t="shared" si="105"/>
        <v>0</v>
      </c>
      <c r="P229" s="165">
        <f t="shared" si="106"/>
        <v>0</v>
      </c>
      <c r="Q229" s="165">
        <f t="shared" si="107"/>
        <v>85000000</v>
      </c>
      <c r="V229" s="149">
        <v>0</v>
      </c>
      <c r="X229" s="84"/>
      <c r="Y229" s="84"/>
      <c r="AA229" s="165"/>
      <c r="AC229" s="165"/>
      <c r="AE229" s="165"/>
    </row>
    <row r="230" spans="1:31" hidden="1" x14ac:dyDescent="0.25">
      <c r="A230" s="160">
        <v>2122296</v>
      </c>
      <c r="B230" s="161" t="s">
        <v>98</v>
      </c>
      <c r="C230" s="162">
        <f>+C231+C232+C233+C234</f>
        <v>77000000</v>
      </c>
      <c r="D230" s="162">
        <f t="shared" ref="D230:N230" si="120">+D231+D232+D233+D234</f>
        <v>0</v>
      </c>
      <c r="E230" s="162">
        <f t="shared" si="120"/>
        <v>0</v>
      </c>
      <c r="F230" s="162">
        <f t="shared" si="120"/>
        <v>0</v>
      </c>
      <c r="G230" s="162">
        <f t="shared" si="120"/>
        <v>77000000</v>
      </c>
      <c r="H230" s="162">
        <f t="shared" si="120"/>
        <v>0</v>
      </c>
      <c r="I230" s="162">
        <f t="shared" si="120"/>
        <v>50795725</v>
      </c>
      <c r="J230" s="162">
        <f t="shared" si="103"/>
        <v>26204275</v>
      </c>
      <c r="K230" s="162">
        <f t="shared" si="120"/>
        <v>16938557</v>
      </c>
      <c r="L230" s="162">
        <f t="shared" si="120"/>
        <v>33905380</v>
      </c>
      <c r="M230" s="162">
        <f t="shared" si="104"/>
        <v>16890345</v>
      </c>
      <c r="N230" s="162">
        <f t="shared" si="120"/>
        <v>50815783</v>
      </c>
      <c r="O230" s="162">
        <f t="shared" si="105"/>
        <v>20058</v>
      </c>
      <c r="P230" s="162">
        <f t="shared" si="106"/>
        <v>26184217</v>
      </c>
      <c r="Q230" s="162">
        <f t="shared" si="107"/>
        <v>33905380</v>
      </c>
      <c r="V230" s="149">
        <v>26184217</v>
      </c>
      <c r="X230" s="100"/>
      <c r="Y230" s="100"/>
      <c r="AA230" s="162"/>
      <c r="AC230" s="162"/>
      <c r="AE230" s="162"/>
    </row>
    <row r="231" spans="1:31" hidden="1" x14ac:dyDescent="0.25">
      <c r="A231" s="163">
        <v>21222961</v>
      </c>
      <c r="B231" s="164" t="s">
        <v>611</v>
      </c>
      <c r="C231" s="165">
        <v>50000000</v>
      </c>
      <c r="D231" s="165">
        <v>0</v>
      </c>
      <c r="E231" s="165">
        <v>0</v>
      </c>
      <c r="F231" s="165">
        <v>0</v>
      </c>
      <c r="G231" s="165">
        <f t="shared" si="112"/>
        <v>50000000</v>
      </c>
      <c r="H231" s="165">
        <v>0</v>
      </c>
      <c r="I231" s="165">
        <v>40502942</v>
      </c>
      <c r="J231" s="165">
        <f t="shared" si="103"/>
        <v>9497058</v>
      </c>
      <c r="K231" s="165">
        <v>16938557</v>
      </c>
      <c r="L231" s="165">
        <v>33499470</v>
      </c>
      <c r="M231" s="165">
        <f t="shared" si="104"/>
        <v>7003472</v>
      </c>
      <c r="N231" s="165">
        <v>40515783</v>
      </c>
      <c r="O231" s="165">
        <f t="shared" si="105"/>
        <v>12841</v>
      </c>
      <c r="P231" s="165">
        <f t="shared" si="106"/>
        <v>9484217</v>
      </c>
      <c r="Q231" s="165">
        <f t="shared" si="107"/>
        <v>33499470</v>
      </c>
      <c r="V231" s="149">
        <v>9484217</v>
      </c>
      <c r="AA231" s="165"/>
      <c r="AC231" s="165"/>
      <c r="AE231" s="165"/>
    </row>
    <row r="232" spans="1:31" ht="30" hidden="1" x14ac:dyDescent="0.25">
      <c r="A232" s="163">
        <v>21222962</v>
      </c>
      <c r="B232" s="164" t="s">
        <v>612</v>
      </c>
      <c r="C232" s="165">
        <v>9000000</v>
      </c>
      <c r="D232" s="165">
        <v>0</v>
      </c>
      <c r="E232" s="165">
        <v>0</v>
      </c>
      <c r="F232" s="165">
        <v>0</v>
      </c>
      <c r="G232" s="165">
        <f t="shared" si="112"/>
        <v>9000000</v>
      </c>
      <c r="H232" s="165">
        <v>0</v>
      </c>
      <c r="I232" s="165">
        <v>0</v>
      </c>
      <c r="J232" s="165">
        <f t="shared" si="103"/>
        <v>9000000</v>
      </c>
      <c r="K232" s="165">
        <v>0</v>
      </c>
      <c r="L232" s="165">
        <v>0</v>
      </c>
      <c r="M232" s="165">
        <f t="shared" si="104"/>
        <v>0</v>
      </c>
      <c r="N232" s="165">
        <v>0</v>
      </c>
      <c r="O232" s="165">
        <f t="shared" si="105"/>
        <v>0</v>
      </c>
      <c r="P232" s="165">
        <f t="shared" si="106"/>
        <v>9000000</v>
      </c>
      <c r="Q232" s="165">
        <f t="shared" si="107"/>
        <v>0</v>
      </c>
      <c r="V232" s="149">
        <v>9000000</v>
      </c>
      <c r="X232" s="100"/>
      <c r="Y232" s="100"/>
      <c r="AA232" s="165"/>
      <c r="AC232" s="165"/>
      <c r="AE232" s="165"/>
    </row>
    <row r="233" spans="1:31" ht="30" hidden="1" x14ac:dyDescent="0.25">
      <c r="A233" s="163">
        <v>21222963</v>
      </c>
      <c r="B233" s="164" t="s">
        <v>613</v>
      </c>
      <c r="C233" s="165">
        <v>8000000</v>
      </c>
      <c r="D233" s="165">
        <v>0</v>
      </c>
      <c r="E233" s="165">
        <v>0</v>
      </c>
      <c r="F233" s="165">
        <v>0</v>
      </c>
      <c r="G233" s="165">
        <f t="shared" si="112"/>
        <v>8000000</v>
      </c>
      <c r="H233" s="165">
        <v>0</v>
      </c>
      <c r="I233" s="165">
        <v>300000</v>
      </c>
      <c r="J233" s="165">
        <f t="shared" si="103"/>
        <v>7700000</v>
      </c>
      <c r="K233" s="165">
        <v>0</v>
      </c>
      <c r="L233" s="165">
        <v>300000</v>
      </c>
      <c r="M233" s="165">
        <f t="shared" si="104"/>
        <v>0</v>
      </c>
      <c r="N233" s="165">
        <v>300000</v>
      </c>
      <c r="O233" s="165">
        <f t="shared" si="105"/>
        <v>0</v>
      </c>
      <c r="P233" s="165">
        <f t="shared" si="106"/>
        <v>7700000</v>
      </c>
      <c r="Q233" s="165">
        <f t="shared" si="107"/>
        <v>300000</v>
      </c>
      <c r="V233" s="149">
        <v>7700000</v>
      </c>
      <c r="X233" s="100"/>
      <c r="Y233" s="100"/>
      <c r="AA233" s="165"/>
      <c r="AC233" s="165"/>
      <c r="AE233" s="165"/>
    </row>
    <row r="234" spans="1:31" s="100" customFormat="1" hidden="1" x14ac:dyDescent="0.25">
      <c r="A234" s="163">
        <v>21222964</v>
      </c>
      <c r="B234" s="164" t="s">
        <v>614</v>
      </c>
      <c r="C234" s="165">
        <v>10000000</v>
      </c>
      <c r="D234" s="165">
        <v>0</v>
      </c>
      <c r="E234" s="165">
        <v>0</v>
      </c>
      <c r="F234" s="165">
        <v>0</v>
      </c>
      <c r="G234" s="165">
        <f t="shared" si="112"/>
        <v>10000000</v>
      </c>
      <c r="H234" s="165">
        <v>0</v>
      </c>
      <c r="I234" s="165">
        <v>9992783</v>
      </c>
      <c r="J234" s="165">
        <f t="shared" si="103"/>
        <v>7217</v>
      </c>
      <c r="K234" s="165">
        <v>0</v>
      </c>
      <c r="L234" s="165">
        <v>105910</v>
      </c>
      <c r="M234" s="165">
        <f t="shared" si="104"/>
        <v>9886873</v>
      </c>
      <c r="N234" s="165">
        <v>10000000</v>
      </c>
      <c r="O234" s="165">
        <f t="shared" si="105"/>
        <v>7217</v>
      </c>
      <c r="P234" s="165">
        <f t="shared" si="106"/>
        <v>0</v>
      </c>
      <c r="Q234" s="165">
        <f t="shared" si="107"/>
        <v>105910</v>
      </c>
      <c r="V234" s="149">
        <v>0</v>
      </c>
      <c r="X234" s="84"/>
      <c r="Y234" s="84"/>
      <c r="AA234" s="165"/>
      <c r="AC234" s="165"/>
      <c r="AE234" s="165"/>
    </row>
    <row r="235" spans="1:31" s="100" customFormat="1" hidden="1" x14ac:dyDescent="0.25">
      <c r="A235" s="151">
        <v>214</v>
      </c>
      <c r="B235" s="152" t="s">
        <v>824</v>
      </c>
      <c r="C235" s="153">
        <f>+C236</f>
        <v>0</v>
      </c>
      <c r="D235" s="153">
        <f t="shared" ref="D235:N237" si="121">+D236</f>
        <v>0</v>
      </c>
      <c r="E235" s="153">
        <f t="shared" si="121"/>
        <v>0</v>
      </c>
      <c r="F235" s="153">
        <f t="shared" si="121"/>
        <v>81466480.730000004</v>
      </c>
      <c r="G235" s="153">
        <f t="shared" si="121"/>
        <v>81466480.730000004</v>
      </c>
      <c r="H235" s="153">
        <f t="shared" si="121"/>
        <v>0</v>
      </c>
      <c r="I235" s="153">
        <f t="shared" si="121"/>
        <v>24093096</v>
      </c>
      <c r="J235" s="153">
        <f t="shared" si="103"/>
        <v>57373384.730000004</v>
      </c>
      <c r="K235" s="153">
        <f t="shared" si="121"/>
        <v>0</v>
      </c>
      <c r="L235" s="153">
        <f t="shared" si="121"/>
        <v>0</v>
      </c>
      <c r="M235" s="153">
        <f t="shared" si="104"/>
        <v>24093096</v>
      </c>
      <c r="N235" s="153">
        <f t="shared" si="121"/>
        <v>58190000</v>
      </c>
      <c r="O235" s="153">
        <f t="shared" si="105"/>
        <v>34096904</v>
      </c>
      <c r="P235" s="153">
        <f t="shared" si="106"/>
        <v>23276480.730000004</v>
      </c>
      <c r="Q235" s="153">
        <f t="shared" si="107"/>
        <v>0</v>
      </c>
      <c r="V235" s="149">
        <v>23276480.730000004</v>
      </c>
      <c r="X235" s="84"/>
      <c r="Y235" s="84"/>
      <c r="AA235" s="153"/>
      <c r="AC235" s="153"/>
      <c r="AE235" s="153"/>
    </row>
    <row r="236" spans="1:31" s="100" customFormat="1" hidden="1" x14ac:dyDescent="0.25">
      <c r="A236" s="151">
        <v>2143</v>
      </c>
      <c r="B236" s="152" t="s">
        <v>825</v>
      </c>
      <c r="C236" s="153">
        <f>+C237</f>
        <v>0</v>
      </c>
      <c r="D236" s="153">
        <f t="shared" si="121"/>
        <v>0</v>
      </c>
      <c r="E236" s="153">
        <f t="shared" si="121"/>
        <v>0</v>
      </c>
      <c r="F236" s="153">
        <f t="shared" si="121"/>
        <v>81466480.730000004</v>
      </c>
      <c r="G236" s="153">
        <f t="shared" si="121"/>
        <v>81466480.730000004</v>
      </c>
      <c r="H236" s="153">
        <f t="shared" si="121"/>
        <v>0</v>
      </c>
      <c r="I236" s="153">
        <f t="shared" si="121"/>
        <v>24093096</v>
      </c>
      <c r="J236" s="153">
        <f t="shared" si="103"/>
        <v>57373384.730000004</v>
      </c>
      <c r="K236" s="153">
        <f t="shared" si="121"/>
        <v>0</v>
      </c>
      <c r="L236" s="153">
        <f t="shared" si="121"/>
        <v>0</v>
      </c>
      <c r="M236" s="153">
        <f t="shared" si="104"/>
        <v>24093096</v>
      </c>
      <c r="N236" s="153">
        <f t="shared" si="121"/>
        <v>58190000</v>
      </c>
      <c r="O236" s="153">
        <f t="shared" si="105"/>
        <v>34096904</v>
      </c>
      <c r="P236" s="153">
        <f t="shared" si="106"/>
        <v>23276480.730000004</v>
      </c>
      <c r="Q236" s="153">
        <f t="shared" si="107"/>
        <v>0</v>
      </c>
      <c r="V236" s="149">
        <v>23276480.730000004</v>
      </c>
      <c r="AA236" s="153"/>
      <c r="AC236" s="153"/>
      <c r="AE236" s="153"/>
    </row>
    <row r="237" spans="1:31" hidden="1" x14ac:dyDescent="0.25">
      <c r="A237" s="160">
        <v>21431</v>
      </c>
      <c r="B237" s="161" t="s">
        <v>826</v>
      </c>
      <c r="C237" s="162">
        <f>+C238</f>
        <v>0</v>
      </c>
      <c r="D237" s="162">
        <f t="shared" si="121"/>
        <v>0</v>
      </c>
      <c r="E237" s="162">
        <f t="shared" si="121"/>
        <v>0</v>
      </c>
      <c r="F237" s="162">
        <f t="shared" si="121"/>
        <v>81466480.730000004</v>
      </c>
      <c r="G237" s="162">
        <f t="shared" si="121"/>
        <v>81466480.730000004</v>
      </c>
      <c r="H237" s="162">
        <f t="shared" si="121"/>
        <v>0</v>
      </c>
      <c r="I237" s="162">
        <f t="shared" si="121"/>
        <v>24093096</v>
      </c>
      <c r="J237" s="162">
        <f t="shared" si="103"/>
        <v>57373384.730000004</v>
      </c>
      <c r="K237" s="162">
        <f t="shared" si="121"/>
        <v>0</v>
      </c>
      <c r="L237" s="162">
        <f t="shared" si="121"/>
        <v>0</v>
      </c>
      <c r="M237" s="162">
        <f t="shared" si="104"/>
        <v>24093096</v>
      </c>
      <c r="N237" s="162">
        <f t="shared" si="121"/>
        <v>58190000</v>
      </c>
      <c r="O237" s="162">
        <f t="shared" si="105"/>
        <v>34096904</v>
      </c>
      <c r="P237" s="162">
        <f t="shared" si="106"/>
        <v>23276480.730000004</v>
      </c>
      <c r="Q237" s="162">
        <f t="shared" si="107"/>
        <v>0</v>
      </c>
      <c r="V237" s="149">
        <v>23276480.730000004</v>
      </c>
      <c r="AA237" s="162"/>
      <c r="AC237" s="162"/>
      <c r="AE237" s="162"/>
    </row>
    <row r="238" spans="1:31" s="100" customFormat="1" hidden="1" x14ac:dyDescent="0.25">
      <c r="A238" s="163">
        <v>2143101</v>
      </c>
      <c r="B238" s="164" t="s">
        <v>827</v>
      </c>
      <c r="C238" s="165"/>
      <c r="D238" s="165">
        <v>0</v>
      </c>
      <c r="E238" s="165">
        <v>0</v>
      </c>
      <c r="F238" s="165">
        <f>81466420.73+60</f>
        <v>81466480.730000004</v>
      </c>
      <c r="G238" s="165">
        <f t="shared" si="112"/>
        <v>81466480.730000004</v>
      </c>
      <c r="H238" s="165">
        <v>0</v>
      </c>
      <c r="I238" s="165">
        <v>24093096</v>
      </c>
      <c r="J238" s="165">
        <f t="shared" si="103"/>
        <v>57373384.730000004</v>
      </c>
      <c r="K238" s="165">
        <v>0</v>
      </c>
      <c r="L238" s="165">
        <v>0</v>
      </c>
      <c r="M238" s="165">
        <f t="shared" si="104"/>
        <v>24093096</v>
      </c>
      <c r="N238" s="165">
        <v>58190000</v>
      </c>
      <c r="O238" s="165">
        <f t="shared" si="105"/>
        <v>34096904</v>
      </c>
      <c r="P238" s="165">
        <f t="shared" si="106"/>
        <v>23276480.730000004</v>
      </c>
      <c r="Q238" s="165">
        <f t="shared" si="107"/>
        <v>0</v>
      </c>
      <c r="V238" s="149">
        <v>23276480.730000004</v>
      </c>
      <c r="AA238" s="165"/>
      <c r="AC238" s="165"/>
      <c r="AE238" s="165"/>
    </row>
    <row r="239" spans="1:31" hidden="1" x14ac:dyDescent="0.25">
      <c r="A239" s="151">
        <v>217</v>
      </c>
      <c r="B239" s="152" t="s">
        <v>99</v>
      </c>
      <c r="C239" s="153">
        <f>+C240</f>
        <v>4366488983</v>
      </c>
      <c r="D239" s="153">
        <f t="shared" ref="D239:G239" si="122">+D240</f>
        <v>0</v>
      </c>
      <c r="E239" s="153">
        <f t="shared" si="122"/>
        <v>0</v>
      </c>
      <c r="F239" s="153">
        <f t="shared" si="122"/>
        <v>0</v>
      </c>
      <c r="G239" s="153">
        <f t="shared" si="122"/>
        <v>4366488983</v>
      </c>
      <c r="H239" s="153">
        <v>1749701</v>
      </c>
      <c r="I239" s="153">
        <v>4147693696</v>
      </c>
      <c r="J239" s="153">
        <f t="shared" si="103"/>
        <v>218795287</v>
      </c>
      <c r="K239" s="153">
        <v>1749701</v>
      </c>
      <c r="L239" s="153">
        <v>4147693696</v>
      </c>
      <c r="M239" s="153">
        <f t="shared" si="104"/>
        <v>0</v>
      </c>
      <c r="N239" s="153">
        <v>4147693696</v>
      </c>
      <c r="O239" s="153">
        <f t="shared" si="105"/>
        <v>0</v>
      </c>
      <c r="P239" s="153">
        <f t="shared" si="106"/>
        <v>218795287</v>
      </c>
      <c r="Q239" s="153">
        <f t="shared" si="107"/>
        <v>4147693696</v>
      </c>
      <c r="V239" s="149">
        <v>218795287</v>
      </c>
      <c r="X239" s="100"/>
      <c r="Y239" s="100"/>
      <c r="AA239" s="153"/>
      <c r="AC239" s="153"/>
      <c r="AE239" s="153"/>
    </row>
    <row r="240" spans="1:31" s="100" customFormat="1" hidden="1" x14ac:dyDescent="0.25">
      <c r="A240" s="163">
        <v>2171</v>
      </c>
      <c r="B240" s="164" t="s">
        <v>615</v>
      </c>
      <c r="C240" s="165">
        <v>4366488983</v>
      </c>
      <c r="D240" s="165">
        <v>0</v>
      </c>
      <c r="E240" s="165">
        <v>0</v>
      </c>
      <c r="F240" s="165">
        <v>0</v>
      </c>
      <c r="G240" s="165">
        <f t="shared" si="112"/>
        <v>4366488983</v>
      </c>
      <c r="H240" s="165">
        <v>1749701</v>
      </c>
      <c r="I240" s="165">
        <v>4147693696</v>
      </c>
      <c r="J240" s="165">
        <f t="shared" si="103"/>
        <v>218795287</v>
      </c>
      <c r="K240" s="165">
        <v>1749701</v>
      </c>
      <c r="L240" s="165">
        <v>4147693696</v>
      </c>
      <c r="M240" s="165">
        <f t="shared" si="104"/>
        <v>0</v>
      </c>
      <c r="N240" s="165">
        <v>4147693696</v>
      </c>
      <c r="O240" s="165">
        <f t="shared" si="105"/>
        <v>0</v>
      </c>
      <c r="P240" s="165">
        <f t="shared" si="106"/>
        <v>218795287</v>
      </c>
      <c r="Q240" s="165">
        <f t="shared" si="107"/>
        <v>4147693696</v>
      </c>
      <c r="V240" s="149">
        <v>218795287</v>
      </c>
      <c r="AA240" s="165"/>
      <c r="AC240" s="165"/>
      <c r="AE240" s="165"/>
    </row>
    <row r="241" spans="1:31" s="100" customFormat="1" ht="30" hidden="1" x14ac:dyDescent="0.25">
      <c r="A241" s="151">
        <v>218</v>
      </c>
      <c r="B241" s="152" t="s">
        <v>100</v>
      </c>
      <c r="C241" s="153">
        <f>+C242</f>
        <v>748133878</v>
      </c>
      <c r="D241" s="153">
        <f t="shared" ref="D241:G241" si="123">+D242</f>
        <v>20312351</v>
      </c>
      <c r="E241" s="153">
        <f t="shared" si="123"/>
        <v>275000000</v>
      </c>
      <c r="F241" s="153">
        <f t="shared" si="123"/>
        <v>0</v>
      </c>
      <c r="G241" s="153">
        <f t="shared" si="123"/>
        <v>493446229</v>
      </c>
      <c r="H241" s="153">
        <v>122524708</v>
      </c>
      <c r="I241" s="153">
        <v>390724167</v>
      </c>
      <c r="J241" s="153">
        <f t="shared" si="103"/>
        <v>102722062</v>
      </c>
      <c r="K241" s="153">
        <v>122524708</v>
      </c>
      <c r="L241" s="153">
        <v>390724167</v>
      </c>
      <c r="M241" s="153">
        <f t="shared" si="104"/>
        <v>0</v>
      </c>
      <c r="N241" s="153">
        <v>390724167</v>
      </c>
      <c r="O241" s="153">
        <f t="shared" si="105"/>
        <v>0</v>
      </c>
      <c r="P241" s="153">
        <f t="shared" si="106"/>
        <v>102722062</v>
      </c>
      <c r="Q241" s="153">
        <f t="shared" si="107"/>
        <v>390724167</v>
      </c>
      <c r="V241" s="149">
        <v>102722062</v>
      </c>
      <c r="AA241" s="153"/>
      <c r="AC241" s="153"/>
      <c r="AE241" s="153"/>
    </row>
    <row r="242" spans="1:31" s="100" customFormat="1" ht="30" hidden="1" x14ac:dyDescent="0.25">
      <c r="A242" s="151">
        <v>2181</v>
      </c>
      <c r="B242" s="152" t="s">
        <v>962</v>
      </c>
      <c r="C242" s="153">
        <f>+C243+C245+C248</f>
        <v>748133878</v>
      </c>
      <c r="D242" s="153">
        <f t="shared" ref="D242:G242" si="124">+D243+D245+D248</f>
        <v>20312351</v>
      </c>
      <c r="E242" s="153">
        <f t="shared" si="124"/>
        <v>275000000</v>
      </c>
      <c r="F242" s="153">
        <f t="shared" si="124"/>
        <v>0</v>
      </c>
      <c r="G242" s="153">
        <f t="shared" si="124"/>
        <v>493446229</v>
      </c>
      <c r="H242" s="153">
        <v>122524708</v>
      </c>
      <c r="I242" s="153">
        <v>390724167</v>
      </c>
      <c r="J242" s="153">
        <f t="shared" si="103"/>
        <v>102722062</v>
      </c>
      <c r="K242" s="153">
        <v>122524708</v>
      </c>
      <c r="L242" s="153">
        <v>390724167</v>
      </c>
      <c r="M242" s="153">
        <f t="shared" si="104"/>
        <v>0</v>
      </c>
      <c r="N242" s="153">
        <v>390724167</v>
      </c>
      <c r="O242" s="153">
        <f t="shared" si="105"/>
        <v>0</v>
      </c>
      <c r="P242" s="153">
        <f t="shared" si="106"/>
        <v>102722062</v>
      </c>
      <c r="Q242" s="153">
        <f t="shared" si="107"/>
        <v>390724167</v>
      </c>
      <c r="V242" s="149">
        <v>102722062</v>
      </c>
      <c r="AA242" s="153"/>
      <c r="AC242" s="153"/>
      <c r="AE242" s="153"/>
    </row>
    <row r="243" spans="1:31" hidden="1" x14ac:dyDescent="0.25">
      <c r="A243" s="160">
        <v>21811</v>
      </c>
      <c r="B243" s="161" t="s">
        <v>102</v>
      </c>
      <c r="C243" s="162">
        <f>+C244</f>
        <v>384000000</v>
      </c>
      <c r="D243" s="162">
        <f t="shared" ref="D243:G243" si="125">+D244</f>
        <v>0</v>
      </c>
      <c r="E243" s="162">
        <f t="shared" si="125"/>
        <v>275000000</v>
      </c>
      <c r="F243" s="162">
        <f t="shared" si="125"/>
        <v>0</v>
      </c>
      <c r="G243" s="162">
        <f t="shared" si="125"/>
        <v>109000000</v>
      </c>
      <c r="H243" s="162">
        <v>0</v>
      </c>
      <c r="I243" s="162">
        <v>25224200</v>
      </c>
      <c r="J243" s="162">
        <f t="shared" si="103"/>
        <v>83775800</v>
      </c>
      <c r="K243" s="162">
        <v>0</v>
      </c>
      <c r="L243" s="162">
        <v>25224200</v>
      </c>
      <c r="M243" s="162">
        <f t="shared" si="104"/>
        <v>0</v>
      </c>
      <c r="N243" s="162">
        <v>25224200</v>
      </c>
      <c r="O243" s="162">
        <f t="shared" si="105"/>
        <v>0</v>
      </c>
      <c r="P243" s="162">
        <f t="shared" si="106"/>
        <v>83775800</v>
      </c>
      <c r="Q243" s="162">
        <f t="shared" si="107"/>
        <v>25224200</v>
      </c>
      <c r="V243" s="149">
        <v>83775800</v>
      </c>
      <c r="AA243" s="162"/>
      <c r="AC243" s="162"/>
      <c r="AE243" s="162"/>
    </row>
    <row r="244" spans="1:31" s="100" customFormat="1" hidden="1" x14ac:dyDescent="0.25">
      <c r="A244" s="163">
        <v>218111</v>
      </c>
      <c r="B244" s="164" t="s">
        <v>616</v>
      </c>
      <c r="C244" s="165">
        <v>384000000</v>
      </c>
      <c r="D244" s="165">
        <v>0</v>
      </c>
      <c r="E244" s="165">
        <v>275000000</v>
      </c>
      <c r="F244" s="165">
        <v>0</v>
      </c>
      <c r="G244" s="165">
        <f t="shared" si="112"/>
        <v>109000000</v>
      </c>
      <c r="H244" s="165">
        <v>0</v>
      </c>
      <c r="I244" s="165">
        <v>25224200</v>
      </c>
      <c r="J244" s="165">
        <f t="shared" si="103"/>
        <v>83775800</v>
      </c>
      <c r="K244" s="165">
        <v>0</v>
      </c>
      <c r="L244" s="165">
        <v>25224200</v>
      </c>
      <c r="M244" s="165">
        <f t="shared" si="104"/>
        <v>0</v>
      </c>
      <c r="N244" s="165">
        <v>25224200</v>
      </c>
      <c r="O244" s="165">
        <f t="shared" si="105"/>
        <v>0</v>
      </c>
      <c r="P244" s="165">
        <f t="shared" si="106"/>
        <v>83775800</v>
      </c>
      <c r="Q244" s="165">
        <f t="shared" si="107"/>
        <v>25224200</v>
      </c>
      <c r="V244" s="149">
        <v>83775800</v>
      </c>
      <c r="AA244" s="165"/>
      <c r="AC244" s="165"/>
      <c r="AE244" s="165"/>
    </row>
    <row r="245" spans="1:31" hidden="1" x14ac:dyDescent="0.25">
      <c r="A245" s="160">
        <v>21812</v>
      </c>
      <c r="B245" s="161" t="s">
        <v>103</v>
      </c>
      <c r="C245" s="162">
        <f>+C246+C247</f>
        <v>364133878</v>
      </c>
      <c r="D245" s="162">
        <f t="shared" ref="D245:G245" si="126">+D246+D247</f>
        <v>20000000</v>
      </c>
      <c r="E245" s="162">
        <f t="shared" si="126"/>
        <v>0</v>
      </c>
      <c r="F245" s="162">
        <f t="shared" si="126"/>
        <v>0</v>
      </c>
      <c r="G245" s="162">
        <f t="shared" si="126"/>
        <v>384133878</v>
      </c>
      <c r="H245" s="162">
        <v>122524708</v>
      </c>
      <c r="I245" s="162">
        <v>365187616</v>
      </c>
      <c r="J245" s="162">
        <f t="shared" si="103"/>
        <v>18946262</v>
      </c>
      <c r="K245" s="162">
        <v>122524708</v>
      </c>
      <c r="L245" s="162">
        <v>365187616</v>
      </c>
      <c r="M245" s="162">
        <f t="shared" si="104"/>
        <v>0</v>
      </c>
      <c r="N245" s="162">
        <v>365187616</v>
      </c>
      <c r="O245" s="162">
        <f t="shared" si="105"/>
        <v>0</v>
      </c>
      <c r="P245" s="162">
        <f t="shared" si="106"/>
        <v>18946262</v>
      </c>
      <c r="Q245" s="162">
        <f t="shared" si="107"/>
        <v>365187616</v>
      </c>
      <c r="V245" s="149">
        <v>18946262</v>
      </c>
      <c r="X245" s="100"/>
      <c r="Y245" s="100"/>
      <c r="AA245" s="162"/>
      <c r="AC245" s="162"/>
      <c r="AE245" s="162"/>
    </row>
    <row r="246" spans="1:31" hidden="1" x14ac:dyDescent="0.25">
      <c r="A246" s="163">
        <v>2181202</v>
      </c>
      <c r="B246" s="164" t="s">
        <v>828</v>
      </c>
      <c r="C246" s="165"/>
      <c r="D246" s="165">
        <v>20000000</v>
      </c>
      <c r="E246" s="165">
        <v>0</v>
      </c>
      <c r="F246" s="165">
        <v>0</v>
      </c>
      <c r="G246" s="165">
        <f t="shared" si="112"/>
        <v>20000000</v>
      </c>
      <c r="H246" s="165">
        <v>1674000</v>
      </c>
      <c r="I246" s="165">
        <v>2563500</v>
      </c>
      <c r="J246" s="165">
        <f t="shared" si="103"/>
        <v>17436500</v>
      </c>
      <c r="K246" s="165">
        <v>1674000</v>
      </c>
      <c r="L246" s="165">
        <v>2563500</v>
      </c>
      <c r="M246" s="165">
        <f t="shared" si="104"/>
        <v>0</v>
      </c>
      <c r="N246" s="165">
        <v>2563500</v>
      </c>
      <c r="O246" s="165">
        <f t="shared" si="105"/>
        <v>0</v>
      </c>
      <c r="P246" s="165">
        <f t="shared" si="106"/>
        <v>17436500</v>
      </c>
      <c r="Q246" s="165">
        <f t="shared" si="107"/>
        <v>2563500</v>
      </c>
      <c r="V246" s="149">
        <v>17436500</v>
      </c>
      <c r="X246" s="167"/>
      <c r="Y246" s="168"/>
      <c r="AA246" s="165"/>
      <c r="AC246" s="165"/>
      <c r="AE246" s="165"/>
    </row>
    <row r="247" spans="1:31" s="100" customFormat="1" hidden="1" x14ac:dyDescent="0.25">
      <c r="A247" s="163">
        <v>218121</v>
      </c>
      <c r="B247" s="164" t="s">
        <v>617</v>
      </c>
      <c r="C247" s="165">
        <v>364133878</v>
      </c>
      <c r="D247" s="165">
        <v>0</v>
      </c>
      <c r="E247" s="165">
        <v>0</v>
      </c>
      <c r="F247" s="165">
        <v>0</v>
      </c>
      <c r="G247" s="165">
        <f t="shared" si="112"/>
        <v>364133878</v>
      </c>
      <c r="H247" s="165">
        <v>120850708</v>
      </c>
      <c r="I247" s="165">
        <v>362624116</v>
      </c>
      <c r="J247" s="165">
        <f t="shared" si="103"/>
        <v>1509762</v>
      </c>
      <c r="K247" s="165">
        <v>120850708</v>
      </c>
      <c r="L247" s="165">
        <v>362624116</v>
      </c>
      <c r="M247" s="165">
        <f t="shared" si="104"/>
        <v>0</v>
      </c>
      <c r="N247" s="165">
        <v>362624116</v>
      </c>
      <c r="O247" s="165">
        <f t="shared" si="105"/>
        <v>0</v>
      </c>
      <c r="P247" s="165">
        <f t="shared" si="106"/>
        <v>1509762</v>
      </c>
      <c r="Q247" s="165">
        <f t="shared" si="107"/>
        <v>362624116</v>
      </c>
      <c r="V247" s="149">
        <v>1509762</v>
      </c>
      <c r="X247" s="167"/>
      <c r="Y247" s="168"/>
      <c r="AA247" s="165"/>
      <c r="AC247" s="165"/>
      <c r="AE247" s="165"/>
    </row>
    <row r="248" spans="1:31" s="100" customFormat="1" hidden="1" x14ac:dyDescent="0.25">
      <c r="A248" s="163">
        <v>21813</v>
      </c>
      <c r="B248" s="164" t="s">
        <v>856</v>
      </c>
      <c r="C248" s="165"/>
      <c r="D248" s="165">
        <v>312351</v>
      </c>
      <c r="E248" s="165">
        <v>0</v>
      </c>
      <c r="F248" s="165">
        <v>0</v>
      </c>
      <c r="G248" s="165">
        <f t="shared" si="112"/>
        <v>312351</v>
      </c>
      <c r="H248" s="165">
        <v>0</v>
      </c>
      <c r="I248" s="165">
        <v>312351</v>
      </c>
      <c r="J248" s="165">
        <f t="shared" si="103"/>
        <v>0</v>
      </c>
      <c r="K248" s="165">
        <v>0</v>
      </c>
      <c r="L248" s="165">
        <v>312351</v>
      </c>
      <c r="M248" s="165">
        <f t="shared" si="104"/>
        <v>0</v>
      </c>
      <c r="N248" s="165">
        <v>312351</v>
      </c>
      <c r="O248" s="165">
        <f t="shared" si="105"/>
        <v>0</v>
      </c>
      <c r="P248" s="165">
        <f t="shared" si="106"/>
        <v>0</v>
      </c>
      <c r="Q248" s="165">
        <f t="shared" si="107"/>
        <v>312351</v>
      </c>
      <c r="V248" s="149">
        <v>0</v>
      </c>
      <c r="X248" s="167"/>
      <c r="Y248" s="168"/>
      <c r="AA248" s="165"/>
      <c r="AC248" s="165"/>
      <c r="AE248" s="165"/>
    </row>
    <row r="249" spans="1:31" s="100" customFormat="1" hidden="1" x14ac:dyDescent="0.25">
      <c r="A249" s="151">
        <v>23</v>
      </c>
      <c r="B249" s="152" t="s">
        <v>104</v>
      </c>
      <c r="C249" s="153">
        <f>+C250+C279+C317+C322+C334</f>
        <v>10950809240</v>
      </c>
      <c r="D249" s="153">
        <f>+D250+D279+D317+D322+D334</f>
        <v>6720804320</v>
      </c>
      <c r="E249" s="153">
        <f>+E250+E279+E317+E322+E334</f>
        <v>6720804320</v>
      </c>
      <c r="F249" s="153">
        <f>+F250+F279+F317+F322+F334</f>
        <v>20509040858.509998</v>
      </c>
      <c r="G249" s="153">
        <f>+G250+G279+G317+G322+G334</f>
        <v>31459850098.510002</v>
      </c>
      <c r="H249" s="153">
        <v>1217855612.0700002</v>
      </c>
      <c r="I249" s="153">
        <v>8622236698.8999996</v>
      </c>
      <c r="J249" s="153">
        <f t="shared" si="103"/>
        <v>22837613399.610001</v>
      </c>
      <c r="K249" s="153">
        <v>1339449811.5799999</v>
      </c>
      <c r="L249" s="153">
        <v>3989100764.27</v>
      </c>
      <c r="M249" s="153">
        <f t="shared" si="104"/>
        <v>4633135934.6299992</v>
      </c>
      <c r="N249" s="153">
        <v>11967831794.340002</v>
      </c>
      <c r="O249" s="153">
        <f t="shared" si="105"/>
        <v>3345595095.4400024</v>
      </c>
      <c r="P249" s="153">
        <f t="shared" si="106"/>
        <v>19492018304.169998</v>
      </c>
      <c r="Q249" s="153">
        <f t="shared" si="107"/>
        <v>3989100764.27</v>
      </c>
      <c r="V249" s="149">
        <v>17276990215.169998</v>
      </c>
      <c r="X249" s="167"/>
      <c r="Y249" s="168"/>
      <c r="AA249" s="153"/>
      <c r="AC249" s="153"/>
      <c r="AE249" s="153"/>
    </row>
    <row r="250" spans="1:31" hidden="1" x14ac:dyDescent="0.25">
      <c r="A250" s="151">
        <v>231</v>
      </c>
      <c r="B250" s="152" t="s">
        <v>105</v>
      </c>
      <c r="C250" s="153">
        <f>+C251+C254+C258+C274+C277</f>
        <v>4085000000</v>
      </c>
      <c r="D250" s="153">
        <f t="shared" ref="D250:G250" si="127">+D251+D254+D258+D274+D277</f>
        <v>123452900</v>
      </c>
      <c r="E250" s="153">
        <f t="shared" si="127"/>
        <v>400000000</v>
      </c>
      <c r="F250" s="153">
        <f t="shared" si="127"/>
        <v>6440302256</v>
      </c>
      <c r="G250" s="153">
        <f t="shared" si="127"/>
        <v>10248755156</v>
      </c>
      <c r="H250" s="153">
        <v>263378342</v>
      </c>
      <c r="I250" s="153">
        <v>3206677065.8899999</v>
      </c>
      <c r="J250" s="153">
        <f t="shared" si="103"/>
        <v>7042078090.1100006</v>
      </c>
      <c r="K250" s="153">
        <v>384003072</v>
      </c>
      <c r="L250" s="153">
        <v>1565037907.8899999</v>
      </c>
      <c r="M250" s="153">
        <f t="shared" si="104"/>
        <v>1641639158</v>
      </c>
      <c r="N250" s="153">
        <v>4620662597.8899994</v>
      </c>
      <c r="O250" s="153">
        <f t="shared" si="105"/>
        <v>1413985531.9999995</v>
      </c>
      <c r="P250" s="153">
        <f t="shared" si="106"/>
        <v>5628092558.1100006</v>
      </c>
      <c r="Q250" s="153">
        <f t="shared" si="107"/>
        <v>1565037907.8899999</v>
      </c>
      <c r="V250" s="149">
        <v>5628092558.1100006</v>
      </c>
      <c r="X250" s="167"/>
      <c r="Y250" s="168"/>
      <c r="AA250" s="153"/>
      <c r="AC250" s="153"/>
      <c r="AE250" s="153"/>
    </row>
    <row r="251" spans="1:31" ht="30" hidden="1" x14ac:dyDescent="0.25">
      <c r="A251" s="151">
        <v>2311</v>
      </c>
      <c r="B251" s="152" t="s">
        <v>106</v>
      </c>
      <c r="C251" s="153">
        <f>+C252+C253</f>
        <v>515000000</v>
      </c>
      <c r="D251" s="153">
        <f t="shared" ref="D251:G251" si="128">+D252+D253</f>
        <v>0</v>
      </c>
      <c r="E251" s="153">
        <f t="shared" si="128"/>
        <v>0</v>
      </c>
      <c r="F251" s="153">
        <f t="shared" si="128"/>
        <v>0</v>
      </c>
      <c r="G251" s="153">
        <f t="shared" si="128"/>
        <v>515000000</v>
      </c>
      <c r="H251" s="153">
        <v>12581740</v>
      </c>
      <c r="I251" s="153">
        <v>62132906</v>
      </c>
      <c r="J251" s="153">
        <f t="shared" si="103"/>
        <v>452867094</v>
      </c>
      <c r="K251" s="153">
        <v>12581740</v>
      </c>
      <c r="L251" s="153">
        <v>57187087</v>
      </c>
      <c r="M251" s="153">
        <f t="shared" si="104"/>
        <v>4945819</v>
      </c>
      <c r="N251" s="153">
        <v>122132906</v>
      </c>
      <c r="O251" s="153">
        <f t="shared" si="105"/>
        <v>60000000</v>
      </c>
      <c r="P251" s="153">
        <f t="shared" si="106"/>
        <v>392867094</v>
      </c>
      <c r="Q251" s="153">
        <f t="shared" si="107"/>
        <v>57187087</v>
      </c>
      <c r="V251" s="149">
        <v>392867094</v>
      </c>
      <c r="X251" s="167"/>
      <c r="Y251" s="168"/>
      <c r="AA251" s="153"/>
      <c r="AC251" s="153"/>
      <c r="AE251" s="153"/>
    </row>
    <row r="252" spans="1:31" s="100" customFormat="1" hidden="1" x14ac:dyDescent="0.25">
      <c r="A252" s="163">
        <v>23112</v>
      </c>
      <c r="B252" s="164" t="s">
        <v>618</v>
      </c>
      <c r="C252" s="165">
        <v>190000000</v>
      </c>
      <c r="D252" s="165">
        <v>0</v>
      </c>
      <c r="E252" s="165">
        <v>0</v>
      </c>
      <c r="F252" s="165">
        <v>0</v>
      </c>
      <c r="G252" s="165">
        <f t="shared" si="112"/>
        <v>190000000</v>
      </c>
      <c r="H252" s="165">
        <v>0</v>
      </c>
      <c r="I252" s="165">
        <v>0</v>
      </c>
      <c r="J252" s="165">
        <f t="shared" si="103"/>
        <v>190000000</v>
      </c>
      <c r="K252" s="165">
        <v>0</v>
      </c>
      <c r="L252" s="165">
        <v>0</v>
      </c>
      <c r="M252" s="165">
        <f t="shared" si="104"/>
        <v>0</v>
      </c>
      <c r="N252" s="165">
        <v>0</v>
      </c>
      <c r="O252" s="165">
        <f t="shared" si="105"/>
        <v>0</v>
      </c>
      <c r="P252" s="165">
        <f t="shared" si="106"/>
        <v>190000000</v>
      </c>
      <c r="Q252" s="165">
        <f t="shared" si="107"/>
        <v>0</v>
      </c>
      <c r="V252" s="149">
        <v>190000000</v>
      </c>
      <c r="X252" s="167"/>
      <c r="Y252" s="168"/>
      <c r="AA252" s="165"/>
      <c r="AC252" s="165"/>
      <c r="AE252" s="165"/>
    </row>
    <row r="253" spans="1:31" s="100" customFormat="1" hidden="1" x14ac:dyDescent="0.25">
      <c r="A253" s="163">
        <v>23113</v>
      </c>
      <c r="B253" s="164" t="s">
        <v>644</v>
      </c>
      <c r="C253" s="165">
        <v>325000000</v>
      </c>
      <c r="D253" s="165">
        <v>0</v>
      </c>
      <c r="E253" s="165">
        <v>0</v>
      </c>
      <c r="F253" s="165">
        <v>0</v>
      </c>
      <c r="G253" s="165">
        <f t="shared" si="112"/>
        <v>325000000</v>
      </c>
      <c r="H253" s="165">
        <v>12581740</v>
      </c>
      <c r="I253" s="165">
        <v>62132906</v>
      </c>
      <c r="J253" s="165">
        <f t="shared" si="103"/>
        <v>262867094</v>
      </c>
      <c r="K253" s="165">
        <v>12581740</v>
      </c>
      <c r="L253" s="165">
        <v>57187087</v>
      </c>
      <c r="M253" s="165">
        <f t="shared" si="104"/>
        <v>4945819</v>
      </c>
      <c r="N253" s="165">
        <v>122132906</v>
      </c>
      <c r="O253" s="165">
        <f t="shared" si="105"/>
        <v>60000000</v>
      </c>
      <c r="P253" s="165">
        <f t="shared" si="106"/>
        <v>202867094</v>
      </c>
      <c r="Q253" s="165">
        <f t="shared" si="107"/>
        <v>57187087</v>
      </c>
      <c r="V253" s="149">
        <v>202867094</v>
      </c>
      <c r="X253" s="167"/>
      <c r="Y253" s="168"/>
      <c r="AA253" s="165"/>
      <c r="AC253" s="165"/>
      <c r="AE253" s="165"/>
    </row>
    <row r="254" spans="1:31" hidden="1" x14ac:dyDescent="0.25">
      <c r="A254" s="151">
        <v>2312</v>
      </c>
      <c r="B254" s="152" t="s">
        <v>107</v>
      </c>
      <c r="C254" s="153">
        <f>+C255+C257</f>
        <v>1850000000</v>
      </c>
      <c r="D254" s="153">
        <f t="shared" ref="D254:G254" si="129">+D255+D257</f>
        <v>0</v>
      </c>
      <c r="E254" s="153">
        <f t="shared" si="129"/>
        <v>400000000</v>
      </c>
      <c r="F254" s="153">
        <f t="shared" si="129"/>
        <v>400000000</v>
      </c>
      <c r="G254" s="153">
        <f t="shared" si="129"/>
        <v>1850000000</v>
      </c>
      <c r="H254" s="153">
        <v>0</v>
      </c>
      <c r="I254" s="153">
        <v>366605245</v>
      </c>
      <c r="J254" s="153">
        <f t="shared" si="103"/>
        <v>1483394755</v>
      </c>
      <c r="K254" s="153">
        <v>0</v>
      </c>
      <c r="L254" s="153">
        <v>31283406</v>
      </c>
      <c r="M254" s="153">
        <f t="shared" si="104"/>
        <v>335321839</v>
      </c>
      <c r="N254" s="153">
        <v>372705245</v>
      </c>
      <c r="O254" s="153">
        <f t="shared" si="105"/>
        <v>6100000</v>
      </c>
      <c r="P254" s="153">
        <f t="shared" si="106"/>
        <v>1477294755</v>
      </c>
      <c r="Q254" s="153">
        <f t="shared" si="107"/>
        <v>31283406</v>
      </c>
      <c r="V254" s="149">
        <v>1477294755</v>
      </c>
      <c r="X254" s="167"/>
      <c r="Y254" s="168"/>
      <c r="AA254" s="153"/>
      <c r="AC254" s="153"/>
      <c r="AE254" s="153"/>
    </row>
    <row r="255" spans="1:31" hidden="1" x14ac:dyDescent="0.25">
      <c r="A255" s="160">
        <v>23122</v>
      </c>
      <c r="B255" s="161" t="s">
        <v>108</v>
      </c>
      <c r="C255" s="162">
        <f>+C256</f>
        <v>1400000000</v>
      </c>
      <c r="D255" s="162">
        <f t="shared" ref="D255:G255" si="130">+D256</f>
        <v>0</v>
      </c>
      <c r="E255" s="162">
        <f t="shared" si="130"/>
        <v>400000000</v>
      </c>
      <c r="F255" s="162">
        <f t="shared" si="130"/>
        <v>400000000</v>
      </c>
      <c r="G255" s="162">
        <f t="shared" si="130"/>
        <v>1400000000</v>
      </c>
      <c r="H255" s="162">
        <v>0</v>
      </c>
      <c r="I255" s="162">
        <v>365593745</v>
      </c>
      <c r="J255" s="162">
        <f t="shared" si="103"/>
        <v>1034406255</v>
      </c>
      <c r="K255" s="162">
        <v>0</v>
      </c>
      <c r="L255" s="162">
        <v>30271906</v>
      </c>
      <c r="M255" s="162">
        <f t="shared" si="104"/>
        <v>335321839</v>
      </c>
      <c r="N255" s="162">
        <v>365593745</v>
      </c>
      <c r="O255" s="162">
        <f t="shared" si="105"/>
        <v>0</v>
      </c>
      <c r="P255" s="162">
        <f t="shared" si="106"/>
        <v>1034406255</v>
      </c>
      <c r="Q255" s="162">
        <f t="shared" si="107"/>
        <v>30271906</v>
      </c>
      <c r="V255" s="149">
        <v>1034406255</v>
      </c>
      <c r="X255" s="167"/>
      <c r="Y255" s="168"/>
      <c r="AA255" s="162"/>
      <c r="AC255" s="162"/>
      <c r="AE255" s="162"/>
    </row>
    <row r="256" spans="1:31" s="100" customFormat="1" hidden="1" x14ac:dyDescent="0.25">
      <c r="A256" s="163">
        <v>231221</v>
      </c>
      <c r="B256" s="164" t="s">
        <v>109</v>
      </c>
      <c r="C256" s="165">
        <v>1400000000</v>
      </c>
      <c r="D256" s="165">
        <v>0</v>
      </c>
      <c r="E256" s="165">
        <v>400000000</v>
      </c>
      <c r="F256" s="165">
        <v>400000000</v>
      </c>
      <c r="G256" s="165">
        <f t="shared" si="112"/>
        <v>1400000000</v>
      </c>
      <c r="H256" s="165">
        <v>0</v>
      </c>
      <c r="I256" s="165">
        <v>365593745</v>
      </c>
      <c r="J256" s="165">
        <f t="shared" si="103"/>
        <v>1034406255</v>
      </c>
      <c r="K256" s="165">
        <v>0</v>
      </c>
      <c r="L256" s="165">
        <v>30271906</v>
      </c>
      <c r="M256" s="165">
        <f t="shared" si="104"/>
        <v>335321839</v>
      </c>
      <c r="N256" s="165">
        <v>365593745</v>
      </c>
      <c r="O256" s="165">
        <f t="shared" si="105"/>
        <v>0</v>
      </c>
      <c r="P256" s="165">
        <f t="shared" si="106"/>
        <v>1034406255</v>
      </c>
      <c r="Q256" s="165">
        <f t="shared" si="107"/>
        <v>30271906</v>
      </c>
      <c r="V256" s="149">
        <v>1034406255</v>
      </c>
      <c r="X256" s="167"/>
      <c r="Y256" s="168"/>
      <c r="AA256" s="165"/>
      <c r="AC256" s="165"/>
      <c r="AE256" s="165"/>
    </row>
    <row r="257" spans="1:31" s="100" customFormat="1" ht="30" hidden="1" x14ac:dyDescent="0.25">
      <c r="A257" s="163">
        <v>23123</v>
      </c>
      <c r="B257" s="164" t="s">
        <v>619</v>
      </c>
      <c r="C257" s="165">
        <v>450000000</v>
      </c>
      <c r="D257" s="165">
        <v>0</v>
      </c>
      <c r="E257" s="165">
        <v>0</v>
      </c>
      <c r="F257" s="165">
        <v>0</v>
      </c>
      <c r="G257" s="165">
        <f t="shared" si="112"/>
        <v>450000000</v>
      </c>
      <c r="H257" s="165">
        <v>0</v>
      </c>
      <c r="I257" s="165">
        <v>1011500</v>
      </c>
      <c r="J257" s="165">
        <f t="shared" si="103"/>
        <v>448988500</v>
      </c>
      <c r="K257" s="165">
        <v>0</v>
      </c>
      <c r="L257" s="165">
        <v>1011500</v>
      </c>
      <c r="M257" s="165">
        <f t="shared" si="104"/>
        <v>0</v>
      </c>
      <c r="N257" s="165">
        <v>7111500</v>
      </c>
      <c r="O257" s="165">
        <f t="shared" si="105"/>
        <v>6100000</v>
      </c>
      <c r="P257" s="165">
        <f t="shared" si="106"/>
        <v>442888500</v>
      </c>
      <c r="Q257" s="165">
        <f t="shared" si="107"/>
        <v>1011500</v>
      </c>
      <c r="V257" s="149">
        <v>442888500</v>
      </c>
      <c r="X257" s="167"/>
      <c r="Y257" s="168"/>
      <c r="AA257" s="165"/>
      <c r="AC257" s="165"/>
      <c r="AE257" s="165"/>
    </row>
    <row r="258" spans="1:31" hidden="1" x14ac:dyDescent="0.25">
      <c r="A258" s="151">
        <v>2315</v>
      </c>
      <c r="B258" s="152" t="s">
        <v>774</v>
      </c>
      <c r="C258" s="153">
        <f>SUM(C259:C273)</f>
        <v>650000000</v>
      </c>
      <c r="D258" s="153">
        <f t="shared" ref="D258:E258" si="131">SUM(D259:D273)</f>
        <v>0</v>
      </c>
      <c r="E258" s="153">
        <f t="shared" si="131"/>
        <v>0</v>
      </c>
      <c r="F258" s="153">
        <f>+F259</f>
        <v>6040302256</v>
      </c>
      <c r="G258" s="153">
        <f t="shared" ref="G258" si="132">+G259</f>
        <v>6690302256</v>
      </c>
      <c r="H258" s="153">
        <v>117708002</v>
      </c>
      <c r="I258" s="153">
        <v>1963596913.8899999</v>
      </c>
      <c r="J258" s="153">
        <f t="shared" si="103"/>
        <v>4726705342.1100006</v>
      </c>
      <c r="K258" s="153">
        <v>227745287</v>
      </c>
      <c r="L258" s="153">
        <v>865800693.88999999</v>
      </c>
      <c r="M258" s="153">
        <f t="shared" si="104"/>
        <v>1097796220</v>
      </c>
      <c r="N258" s="153">
        <v>3197229262.8899999</v>
      </c>
      <c r="O258" s="153">
        <f t="shared" si="105"/>
        <v>1233632349</v>
      </c>
      <c r="P258" s="153">
        <f t="shared" si="106"/>
        <v>3493072993.1100001</v>
      </c>
      <c r="Q258" s="153">
        <f t="shared" si="107"/>
        <v>865800693.88999999</v>
      </c>
      <c r="V258" s="149">
        <v>3493072993.1100001</v>
      </c>
      <c r="X258" s="167"/>
      <c r="Y258" s="168"/>
      <c r="AA258" s="153"/>
      <c r="AC258" s="153"/>
      <c r="AE258" s="153"/>
    </row>
    <row r="259" spans="1:31" ht="45" hidden="1" x14ac:dyDescent="0.25">
      <c r="A259" s="160">
        <v>23152</v>
      </c>
      <c r="B259" s="161" t="s">
        <v>110</v>
      </c>
      <c r="C259" s="162">
        <v>650000000</v>
      </c>
      <c r="D259" s="162">
        <v>0</v>
      </c>
      <c r="E259" s="162">
        <v>0</v>
      </c>
      <c r="F259" s="162">
        <f>SUM(F260:F273)</f>
        <v>6040302256</v>
      </c>
      <c r="G259" s="162">
        <f t="shared" si="112"/>
        <v>6690302256</v>
      </c>
      <c r="H259" s="162">
        <v>117708002</v>
      </c>
      <c r="I259" s="162">
        <v>1963596913.8899999</v>
      </c>
      <c r="J259" s="162">
        <f t="shared" si="103"/>
        <v>4726705342.1100006</v>
      </c>
      <c r="K259" s="162">
        <v>227745287</v>
      </c>
      <c r="L259" s="162">
        <v>865800693.88999999</v>
      </c>
      <c r="M259" s="162">
        <f t="shared" si="104"/>
        <v>1097796220</v>
      </c>
      <c r="N259" s="162">
        <v>3197229262.8899999</v>
      </c>
      <c r="O259" s="162">
        <f t="shared" si="105"/>
        <v>1233632349</v>
      </c>
      <c r="P259" s="162">
        <f t="shared" si="106"/>
        <v>3493072993.1100001</v>
      </c>
      <c r="Q259" s="162">
        <f t="shared" si="107"/>
        <v>865800693.88999999</v>
      </c>
      <c r="V259" s="149">
        <v>3493072993.1100001</v>
      </c>
      <c r="X259" s="167"/>
      <c r="Y259" s="168"/>
      <c r="AA259" s="162"/>
      <c r="AC259" s="162"/>
      <c r="AE259" s="162"/>
    </row>
    <row r="260" spans="1:31" hidden="1" x14ac:dyDescent="0.25">
      <c r="A260" s="163">
        <v>2315201</v>
      </c>
      <c r="B260" s="164" t="s">
        <v>111</v>
      </c>
      <c r="C260" s="165">
        <v>0</v>
      </c>
      <c r="D260" s="165">
        <v>0</v>
      </c>
      <c r="E260" s="165">
        <v>0</v>
      </c>
      <c r="F260" s="165">
        <v>455453475</v>
      </c>
      <c r="G260" s="165">
        <f t="shared" si="112"/>
        <v>455453475</v>
      </c>
      <c r="H260" s="165">
        <v>0</v>
      </c>
      <c r="I260" s="165">
        <v>61037631</v>
      </c>
      <c r="J260" s="165">
        <f t="shared" si="103"/>
        <v>394415844</v>
      </c>
      <c r="K260" s="165">
        <v>0</v>
      </c>
      <c r="L260" s="165">
        <v>11882000</v>
      </c>
      <c r="M260" s="165">
        <f t="shared" si="104"/>
        <v>49155631</v>
      </c>
      <c r="N260" s="165">
        <v>119254502</v>
      </c>
      <c r="O260" s="165">
        <f t="shared" si="105"/>
        <v>58216871</v>
      </c>
      <c r="P260" s="165">
        <f t="shared" si="106"/>
        <v>336198973</v>
      </c>
      <c r="Q260" s="165">
        <f t="shared" si="107"/>
        <v>11882000</v>
      </c>
      <c r="V260" s="149">
        <v>336198973</v>
      </c>
      <c r="X260" s="167"/>
      <c r="Y260" s="168"/>
      <c r="AA260" s="165"/>
      <c r="AC260" s="165"/>
      <c r="AE260" s="165"/>
    </row>
    <row r="261" spans="1:31" hidden="1" x14ac:dyDescent="0.25">
      <c r="A261" s="163">
        <v>2315202</v>
      </c>
      <c r="B261" s="164" t="s">
        <v>620</v>
      </c>
      <c r="C261" s="165">
        <v>0</v>
      </c>
      <c r="D261" s="165">
        <v>0</v>
      </c>
      <c r="E261" s="165">
        <v>0</v>
      </c>
      <c r="F261" s="165">
        <v>493234219</v>
      </c>
      <c r="G261" s="165">
        <f t="shared" si="112"/>
        <v>493234219</v>
      </c>
      <c r="H261" s="165">
        <v>0</v>
      </c>
      <c r="I261" s="165">
        <v>94508048</v>
      </c>
      <c r="J261" s="165">
        <f t="shared" si="103"/>
        <v>398726171</v>
      </c>
      <c r="K261" s="165">
        <v>0</v>
      </c>
      <c r="L261" s="165">
        <v>13351708</v>
      </c>
      <c r="M261" s="165">
        <f t="shared" si="104"/>
        <v>81156340</v>
      </c>
      <c r="N261" s="165">
        <v>342610708</v>
      </c>
      <c r="O261" s="165">
        <f t="shared" si="105"/>
        <v>248102660</v>
      </c>
      <c r="P261" s="165">
        <f t="shared" si="106"/>
        <v>150623511</v>
      </c>
      <c r="Q261" s="165">
        <f t="shared" si="107"/>
        <v>13351708</v>
      </c>
      <c r="V261" s="149">
        <v>150623511</v>
      </c>
      <c r="X261" s="167"/>
      <c r="Y261" s="168"/>
      <c r="AA261" s="165"/>
      <c r="AC261" s="165"/>
      <c r="AE261" s="165"/>
    </row>
    <row r="262" spans="1:31" hidden="1" x14ac:dyDescent="0.25">
      <c r="A262" s="163">
        <v>2315203</v>
      </c>
      <c r="B262" s="164" t="s">
        <v>112</v>
      </c>
      <c r="C262" s="165">
        <v>0</v>
      </c>
      <c r="D262" s="165">
        <v>0</v>
      </c>
      <c r="E262" s="165">
        <v>0</v>
      </c>
      <c r="F262" s="165">
        <v>550361096</v>
      </c>
      <c r="G262" s="165">
        <f t="shared" si="112"/>
        <v>550361096</v>
      </c>
      <c r="H262" s="165">
        <v>0</v>
      </c>
      <c r="I262" s="165">
        <v>396000000</v>
      </c>
      <c r="J262" s="165">
        <f t="shared" si="103"/>
        <v>154361096</v>
      </c>
      <c r="K262" s="165">
        <v>35854158</v>
      </c>
      <c r="L262" s="165">
        <v>69708316</v>
      </c>
      <c r="M262" s="165">
        <f t="shared" si="104"/>
        <v>326291684</v>
      </c>
      <c r="N262" s="165">
        <v>414151261</v>
      </c>
      <c r="O262" s="165">
        <f t="shared" si="105"/>
        <v>18151261</v>
      </c>
      <c r="P262" s="165">
        <f t="shared" si="106"/>
        <v>136209835</v>
      </c>
      <c r="Q262" s="165">
        <f t="shared" si="107"/>
        <v>69708316</v>
      </c>
      <c r="V262" s="149">
        <v>136209835</v>
      </c>
      <c r="X262" s="167"/>
      <c r="Y262" s="168"/>
      <c r="AA262" s="165"/>
      <c r="AC262" s="165"/>
      <c r="AE262" s="165"/>
    </row>
    <row r="263" spans="1:31" hidden="1" x14ac:dyDescent="0.25">
      <c r="A263" s="163">
        <v>2315204</v>
      </c>
      <c r="B263" s="164" t="s">
        <v>621</v>
      </c>
      <c r="C263" s="165">
        <v>0</v>
      </c>
      <c r="D263" s="165">
        <v>0</v>
      </c>
      <c r="E263" s="165">
        <v>0</v>
      </c>
      <c r="F263" s="165">
        <v>1493910033</v>
      </c>
      <c r="G263" s="165">
        <f t="shared" si="112"/>
        <v>1493910033</v>
      </c>
      <c r="H263" s="165">
        <v>46870459</v>
      </c>
      <c r="I263" s="165">
        <v>463722227.88999999</v>
      </c>
      <c r="J263" s="165">
        <f t="shared" ref="J263:J326" si="133">+G263-I263</f>
        <v>1030187805.11</v>
      </c>
      <c r="K263" s="165">
        <v>109380246</v>
      </c>
      <c r="L263" s="165">
        <v>242403581.88999999</v>
      </c>
      <c r="M263" s="165">
        <f t="shared" ref="M263:M326" si="134">+I263-L263</f>
        <v>221318646</v>
      </c>
      <c r="N263" s="165">
        <v>735449115.88999999</v>
      </c>
      <c r="O263" s="165">
        <f t="shared" ref="O263:O326" si="135">+N263-I263</f>
        <v>271726888</v>
      </c>
      <c r="P263" s="165">
        <f t="shared" ref="P263:P326" si="136">+G263-N263</f>
        <v>758460917.11000001</v>
      </c>
      <c r="Q263" s="165">
        <f t="shared" ref="Q263:Q326" si="137">+L263</f>
        <v>242403581.88999999</v>
      </c>
      <c r="V263" s="149">
        <v>758460917.11000001</v>
      </c>
      <c r="X263" s="167"/>
      <c r="Y263" s="168"/>
      <c r="AA263" s="165"/>
      <c r="AC263" s="165"/>
      <c r="AE263" s="165"/>
    </row>
    <row r="264" spans="1:31" hidden="1" x14ac:dyDescent="0.25">
      <c r="A264" s="163">
        <v>2315205</v>
      </c>
      <c r="B264" s="164" t="s">
        <v>622</v>
      </c>
      <c r="C264" s="165">
        <v>0</v>
      </c>
      <c r="D264" s="165">
        <v>0</v>
      </c>
      <c r="E264" s="165">
        <v>0</v>
      </c>
      <c r="F264" s="165">
        <v>283032384</v>
      </c>
      <c r="G264" s="165">
        <f t="shared" si="112"/>
        <v>283032384</v>
      </c>
      <c r="H264" s="165">
        <v>26004671</v>
      </c>
      <c r="I264" s="165">
        <v>60257594</v>
      </c>
      <c r="J264" s="165">
        <f t="shared" si="133"/>
        <v>222774790</v>
      </c>
      <c r="K264" s="165">
        <v>6705300</v>
      </c>
      <c r="L264" s="165">
        <v>17416174</v>
      </c>
      <c r="M264" s="165">
        <f t="shared" si="134"/>
        <v>42841420</v>
      </c>
      <c r="N264" s="165">
        <v>97213433</v>
      </c>
      <c r="O264" s="165">
        <f t="shared" si="135"/>
        <v>36955839</v>
      </c>
      <c r="P264" s="165">
        <f t="shared" si="136"/>
        <v>185818951</v>
      </c>
      <c r="Q264" s="165">
        <f t="shared" si="137"/>
        <v>17416174</v>
      </c>
      <c r="V264" s="149">
        <v>185818951</v>
      </c>
      <c r="X264" s="167"/>
      <c r="Y264" s="168"/>
      <c r="AA264" s="165"/>
      <c r="AC264" s="165"/>
      <c r="AE264" s="165"/>
    </row>
    <row r="265" spans="1:31" hidden="1" x14ac:dyDescent="0.25">
      <c r="A265" s="163">
        <v>2315206</v>
      </c>
      <c r="B265" s="164" t="s">
        <v>623</v>
      </c>
      <c r="C265" s="165">
        <v>0</v>
      </c>
      <c r="D265" s="165">
        <v>0</v>
      </c>
      <c r="E265" s="165">
        <v>0</v>
      </c>
      <c r="F265" s="165">
        <v>90482087</v>
      </c>
      <c r="G265" s="165">
        <f t="shared" si="112"/>
        <v>90482087</v>
      </c>
      <c r="H265" s="165">
        <v>540000</v>
      </c>
      <c r="I265" s="165">
        <v>540000</v>
      </c>
      <c r="J265" s="165">
        <f t="shared" si="133"/>
        <v>89942087</v>
      </c>
      <c r="K265" s="165">
        <v>0</v>
      </c>
      <c r="L265" s="165">
        <v>0</v>
      </c>
      <c r="M265" s="165">
        <f t="shared" si="134"/>
        <v>540000</v>
      </c>
      <c r="N265" s="165">
        <v>540000</v>
      </c>
      <c r="O265" s="165">
        <f t="shared" si="135"/>
        <v>0</v>
      </c>
      <c r="P265" s="165">
        <f t="shared" si="136"/>
        <v>89942087</v>
      </c>
      <c r="Q265" s="165">
        <f t="shared" si="137"/>
        <v>0</v>
      </c>
      <c r="V265" s="149">
        <v>89942087</v>
      </c>
      <c r="X265" s="167"/>
      <c r="Y265" s="168"/>
      <c r="AA265" s="165"/>
      <c r="AC265" s="165"/>
      <c r="AE265" s="165"/>
    </row>
    <row r="266" spans="1:31" ht="30" hidden="1" x14ac:dyDescent="0.25">
      <c r="A266" s="163">
        <v>2315207</v>
      </c>
      <c r="B266" s="164" t="s">
        <v>624</v>
      </c>
      <c r="C266" s="165">
        <v>0</v>
      </c>
      <c r="D266" s="165">
        <v>0</v>
      </c>
      <c r="E266" s="165">
        <v>0</v>
      </c>
      <c r="F266" s="165">
        <v>995546166</v>
      </c>
      <c r="G266" s="165">
        <f t="shared" si="112"/>
        <v>995546166</v>
      </c>
      <c r="H266" s="165">
        <v>14564688</v>
      </c>
      <c r="I266" s="165">
        <v>315165099</v>
      </c>
      <c r="J266" s="165">
        <f t="shared" si="133"/>
        <v>680381067</v>
      </c>
      <c r="K266" s="165">
        <v>28931557</v>
      </c>
      <c r="L266" s="165">
        <v>90337445</v>
      </c>
      <c r="M266" s="165">
        <f t="shared" si="134"/>
        <v>224827654</v>
      </c>
      <c r="N266" s="165">
        <v>536714784</v>
      </c>
      <c r="O266" s="165">
        <f t="shared" si="135"/>
        <v>221549685</v>
      </c>
      <c r="P266" s="165">
        <f t="shared" si="136"/>
        <v>458831382</v>
      </c>
      <c r="Q266" s="165">
        <f t="shared" si="137"/>
        <v>90337445</v>
      </c>
      <c r="V266" s="149">
        <v>458831382</v>
      </c>
      <c r="X266" s="167"/>
      <c r="Y266" s="168"/>
      <c r="AA266" s="165"/>
      <c r="AC266" s="165"/>
      <c r="AE266" s="165"/>
    </row>
    <row r="267" spans="1:31" hidden="1" x14ac:dyDescent="0.25">
      <c r="A267" s="163">
        <v>2315208</v>
      </c>
      <c r="B267" s="164" t="s">
        <v>645</v>
      </c>
      <c r="C267" s="165">
        <v>0</v>
      </c>
      <c r="D267" s="165">
        <v>0</v>
      </c>
      <c r="E267" s="165">
        <v>0</v>
      </c>
      <c r="F267" s="165">
        <v>811381400</v>
      </c>
      <c r="G267" s="165">
        <f t="shared" si="112"/>
        <v>811381400</v>
      </c>
      <c r="H267" s="165">
        <v>9613469</v>
      </c>
      <c r="I267" s="165">
        <v>51432709</v>
      </c>
      <c r="J267" s="165">
        <f t="shared" si="133"/>
        <v>759948691</v>
      </c>
      <c r="K267" s="165">
        <v>864001</v>
      </c>
      <c r="L267" s="165">
        <v>12724280</v>
      </c>
      <c r="M267" s="165">
        <f t="shared" si="134"/>
        <v>38708429</v>
      </c>
      <c r="N267" s="165">
        <v>339322077</v>
      </c>
      <c r="O267" s="165">
        <f t="shared" si="135"/>
        <v>287889368</v>
      </c>
      <c r="P267" s="165">
        <f t="shared" si="136"/>
        <v>472059323</v>
      </c>
      <c r="Q267" s="165">
        <f t="shared" si="137"/>
        <v>12724280</v>
      </c>
      <c r="V267" s="149">
        <v>472059323</v>
      </c>
      <c r="X267" s="167"/>
      <c r="Y267" s="168"/>
      <c r="AA267" s="165"/>
      <c r="AC267" s="165"/>
      <c r="AE267" s="165"/>
    </row>
    <row r="268" spans="1:31" hidden="1" x14ac:dyDescent="0.25">
      <c r="A268" s="163">
        <v>2315209</v>
      </c>
      <c r="B268" s="164" t="s">
        <v>646</v>
      </c>
      <c r="C268" s="165">
        <v>0</v>
      </c>
      <c r="D268" s="165">
        <v>0</v>
      </c>
      <c r="E268" s="165">
        <v>0</v>
      </c>
      <c r="F268" s="165">
        <v>56198830</v>
      </c>
      <c r="G268" s="165">
        <f t="shared" si="112"/>
        <v>56198830</v>
      </c>
      <c r="H268" s="165">
        <v>786176</v>
      </c>
      <c r="I268" s="165">
        <v>5648482</v>
      </c>
      <c r="J268" s="165">
        <f t="shared" si="133"/>
        <v>50550348</v>
      </c>
      <c r="K268" s="165">
        <v>786176</v>
      </c>
      <c r="L268" s="165">
        <v>5377581</v>
      </c>
      <c r="M268" s="165">
        <f t="shared" si="134"/>
        <v>270901</v>
      </c>
      <c r="N268" s="165">
        <v>5648482</v>
      </c>
      <c r="O268" s="165">
        <f t="shared" si="135"/>
        <v>0</v>
      </c>
      <c r="P268" s="165">
        <f t="shared" si="136"/>
        <v>50550348</v>
      </c>
      <c r="Q268" s="165">
        <f t="shared" si="137"/>
        <v>5377581</v>
      </c>
      <c r="V268" s="149">
        <v>50550348</v>
      </c>
      <c r="X268" s="167"/>
      <c r="Y268" s="168"/>
      <c r="AA268" s="165"/>
      <c r="AC268" s="165"/>
      <c r="AE268" s="165"/>
    </row>
    <row r="269" spans="1:31" hidden="1" x14ac:dyDescent="0.25">
      <c r="A269" s="163">
        <v>2315210</v>
      </c>
      <c r="B269" s="164" t="s">
        <v>647</v>
      </c>
      <c r="C269" s="165">
        <v>0</v>
      </c>
      <c r="D269" s="165">
        <v>0</v>
      </c>
      <c r="E269" s="165">
        <v>0</v>
      </c>
      <c r="F269" s="165">
        <v>268721099</v>
      </c>
      <c r="G269" s="165">
        <f t="shared" si="112"/>
        <v>268721099</v>
      </c>
      <c r="H269" s="165">
        <v>19328539</v>
      </c>
      <c r="I269" s="165">
        <v>117519516</v>
      </c>
      <c r="J269" s="165">
        <f t="shared" si="133"/>
        <v>151201583</v>
      </c>
      <c r="K269" s="165">
        <v>32912060</v>
      </c>
      <c r="L269" s="165">
        <v>91256437</v>
      </c>
      <c r="M269" s="165">
        <f t="shared" si="134"/>
        <v>26263079</v>
      </c>
      <c r="N269" s="165">
        <v>181102890</v>
      </c>
      <c r="O269" s="165">
        <f t="shared" si="135"/>
        <v>63583374</v>
      </c>
      <c r="P269" s="165">
        <f t="shared" si="136"/>
        <v>87618209</v>
      </c>
      <c r="Q269" s="165">
        <f t="shared" si="137"/>
        <v>91256437</v>
      </c>
      <c r="V269" s="149">
        <v>87618209</v>
      </c>
      <c r="X269" s="167"/>
      <c r="Y269" s="168"/>
      <c r="AA269" s="165"/>
      <c r="AC269" s="165"/>
      <c r="AE269" s="165"/>
    </row>
    <row r="270" spans="1:31" ht="30" hidden="1" x14ac:dyDescent="0.25">
      <c r="A270" s="163">
        <v>2315211</v>
      </c>
      <c r="B270" s="164" t="s">
        <v>648</v>
      </c>
      <c r="C270" s="165">
        <v>0</v>
      </c>
      <c r="D270" s="165">
        <v>0</v>
      </c>
      <c r="E270" s="165">
        <v>0</v>
      </c>
      <c r="F270" s="165">
        <v>142901583</v>
      </c>
      <c r="G270" s="165">
        <f t="shared" si="112"/>
        <v>142901583</v>
      </c>
      <c r="H270" s="165">
        <v>0</v>
      </c>
      <c r="I270" s="165">
        <v>30066025</v>
      </c>
      <c r="J270" s="165">
        <f t="shared" si="133"/>
        <v>112835558</v>
      </c>
      <c r="K270" s="165">
        <v>0</v>
      </c>
      <c r="L270" s="165">
        <v>70014</v>
      </c>
      <c r="M270" s="165">
        <f t="shared" si="134"/>
        <v>29996011</v>
      </c>
      <c r="N270" s="165">
        <v>30070014</v>
      </c>
      <c r="O270" s="165">
        <f t="shared" si="135"/>
        <v>3989</v>
      </c>
      <c r="P270" s="165">
        <f t="shared" si="136"/>
        <v>112831569</v>
      </c>
      <c r="Q270" s="165">
        <f t="shared" si="137"/>
        <v>70014</v>
      </c>
      <c r="V270" s="149">
        <v>112831569</v>
      </c>
      <c r="X270" s="167"/>
      <c r="Y270" s="168"/>
      <c r="AA270" s="165"/>
      <c r="AC270" s="165"/>
      <c r="AE270" s="165"/>
    </row>
    <row r="271" spans="1:31" hidden="1" x14ac:dyDescent="0.25">
      <c r="A271" s="163">
        <v>2315212</v>
      </c>
      <c r="B271" s="164" t="s">
        <v>113</v>
      </c>
      <c r="C271" s="165">
        <v>0</v>
      </c>
      <c r="D271" s="165">
        <v>0</v>
      </c>
      <c r="E271" s="165">
        <v>0</v>
      </c>
      <c r="F271" s="165">
        <v>269516545</v>
      </c>
      <c r="G271" s="165">
        <f t="shared" si="112"/>
        <v>269516545</v>
      </c>
      <c r="H271" s="165">
        <v>0</v>
      </c>
      <c r="I271" s="165">
        <v>86980836</v>
      </c>
      <c r="J271" s="165">
        <f t="shared" si="133"/>
        <v>182535709</v>
      </c>
      <c r="K271" s="165">
        <v>4811789</v>
      </c>
      <c r="L271" s="165">
        <v>53211708</v>
      </c>
      <c r="M271" s="165">
        <f t="shared" si="134"/>
        <v>33769128</v>
      </c>
      <c r="N271" s="165">
        <v>114433250</v>
      </c>
      <c r="O271" s="165">
        <f t="shared" si="135"/>
        <v>27452414</v>
      </c>
      <c r="P271" s="165">
        <f t="shared" si="136"/>
        <v>155083295</v>
      </c>
      <c r="Q271" s="165">
        <f t="shared" si="137"/>
        <v>53211708</v>
      </c>
      <c r="V271" s="149">
        <v>155083295</v>
      </c>
      <c r="X271" s="167"/>
      <c r="Y271" s="168"/>
      <c r="AA271" s="165"/>
      <c r="AC271" s="165"/>
      <c r="AE271" s="165"/>
    </row>
    <row r="272" spans="1:31" s="100" customFormat="1" hidden="1" x14ac:dyDescent="0.25">
      <c r="A272" s="163">
        <v>2315213</v>
      </c>
      <c r="B272" s="164" t="s">
        <v>649</v>
      </c>
      <c r="C272" s="165">
        <v>0</v>
      </c>
      <c r="D272" s="165">
        <v>0</v>
      </c>
      <c r="E272" s="165">
        <v>0</v>
      </c>
      <c r="F272" s="165">
        <v>108357039</v>
      </c>
      <c r="G272" s="165">
        <f t="shared" si="112"/>
        <v>108357039</v>
      </c>
      <c r="H272" s="165">
        <v>0</v>
      </c>
      <c r="I272" s="165">
        <v>30718746</v>
      </c>
      <c r="J272" s="165">
        <f t="shared" si="133"/>
        <v>77638293</v>
      </c>
      <c r="K272" s="165">
        <v>7500000</v>
      </c>
      <c r="L272" s="165">
        <v>8061449</v>
      </c>
      <c r="M272" s="165">
        <f t="shared" si="134"/>
        <v>22657297</v>
      </c>
      <c r="N272" s="165">
        <v>30718746</v>
      </c>
      <c r="O272" s="165">
        <f t="shared" si="135"/>
        <v>0</v>
      </c>
      <c r="P272" s="165">
        <f t="shared" si="136"/>
        <v>77638293</v>
      </c>
      <c r="Q272" s="165">
        <f t="shared" si="137"/>
        <v>8061449</v>
      </c>
      <c r="V272" s="149">
        <v>77638293</v>
      </c>
      <c r="X272" s="167"/>
      <c r="Y272" s="168"/>
      <c r="AA272" s="165"/>
      <c r="AC272" s="165"/>
      <c r="AE272" s="165"/>
    </row>
    <row r="273" spans="1:31" s="100" customFormat="1" hidden="1" x14ac:dyDescent="0.25">
      <c r="A273" s="163">
        <v>2315214</v>
      </c>
      <c r="B273" s="164" t="s">
        <v>114</v>
      </c>
      <c r="C273" s="165">
        <v>0</v>
      </c>
      <c r="D273" s="165">
        <v>0</v>
      </c>
      <c r="E273" s="165">
        <v>0</v>
      </c>
      <c r="F273" s="165">
        <v>21206300</v>
      </c>
      <c r="G273" s="165">
        <f t="shared" si="112"/>
        <v>21206300</v>
      </c>
      <c r="H273" s="165">
        <v>0</v>
      </c>
      <c r="I273" s="165">
        <v>0</v>
      </c>
      <c r="J273" s="165">
        <f t="shared" si="133"/>
        <v>21206300</v>
      </c>
      <c r="K273" s="165">
        <v>0</v>
      </c>
      <c r="L273" s="165">
        <v>0</v>
      </c>
      <c r="M273" s="165">
        <f t="shared" si="134"/>
        <v>0</v>
      </c>
      <c r="N273" s="165">
        <v>0</v>
      </c>
      <c r="O273" s="165">
        <f t="shared" si="135"/>
        <v>0</v>
      </c>
      <c r="P273" s="165">
        <f t="shared" si="136"/>
        <v>21206300</v>
      </c>
      <c r="Q273" s="165">
        <f t="shared" si="137"/>
        <v>0</v>
      </c>
      <c r="V273" s="149">
        <v>21206300</v>
      </c>
      <c r="X273" s="167"/>
      <c r="Y273" s="168"/>
      <c r="AA273" s="165"/>
      <c r="AC273" s="165"/>
      <c r="AE273" s="165"/>
    </row>
    <row r="274" spans="1:31" ht="45" hidden="1" x14ac:dyDescent="0.25">
      <c r="A274" s="151">
        <v>2316</v>
      </c>
      <c r="B274" s="152" t="s">
        <v>115</v>
      </c>
      <c r="C274" s="153">
        <f>+C275</f>
        <v>670000000</v>
      </c>
      <c r="D274" s="153">
        <f t="shared" ref="D274:G275" si="138">+D275</f>
        <v>123452900</v>
      </c>
      <c r="E274" s="153">
        <f t="shared" si="138"/>
        <v>0</v>
      </c>
      <c r="F274" s="153">
        <f t="shared" si="138"/>
        <v>0</v>
      </c>
      <c r="G274" s="153">
        <f t="shared" si="138"/>
        <v>793452900</v>
      </c>
      <c r="H274" s="153">
        <v>128088600</v>
      </c>
      <c r="I274" s="153">
        <v>748059261</v>
      </c>
      <c r="J274" s="153">
        <f t="shared" si="133"/>
        <v>45393639</v>
      </c>
      <c r="K274" s="153">
        <v>139426045</v>
      </c>
      <c r="L274" s="153">
        <v>555533981</v>
      </c>
      <c r="M274" s="153">
        <f t="shared" si="134"/>
        <v>192525280</v>
      </c>
      <c r="N274" s="153">
        <v>788044211</v>
      </c>
      <c r="O274" s="153">
        <f t="shared" si="135"/>
        <v>39984950</v>
      </c>
      <c r="P274" s="153">
        <f t="shared" si="136"/>
        <v>5408689</v>
      </c>
      <c r="Q274" s="153">
        <f t="shared" si="137"/>
        <v>555533981</v>
      </c>
      <c r="V274" s="149">
        <v>5408689</v>
      </c>
      <c r="X274" s="167"/>
      <c r="Y274" s="168"/>
      <c r="AA274" s="153"/>
      <c r="AC274" s="153"/>
      <c r="AE274" s="153"/>
    </row>
    <row r="275" spans="1:31" s="100" customFormat="1" hidden="1" x14ac:dyDescent="0.25">
      <c r="A275" s="160">
        <v>23161</v>
      </c>
      <c r="B275" s="161" t="s">
        <v>116</v>
      </c>
      <c r="C275" s="162">
        <f>+C276</f>
        <v>670000000</v>
      </c>
      <c r="D275" s="162">
        <f t="shared" si="138"/>
        <v>123452900</v>
      </c>
      <c r="E275" s="162">
        <f t="shared" si="138"/>
        <v>0</v>
      </c>
      <c r="F275" s="162">
        <f t="shared" si="138"/>
        <v>0</v>
      </c>
      <c r="G275" s="162">
        <f t="shared" si="138"/>
        <v>793452900</v>
      </c>
      <c r="H275" s="162">
        <v>128088600</v>
      </c>
      <c r="I275" s="162">
        <v>748059261</v>
      </c>
      <c r="J275" s="162">
        <f t="shared" si="133"/>
        <v>45393639</v>
      </c>
      <c r="K275" s="162">
        <v>139426045</v>
      </c>
      <c r="L275" s="162">
        <v>555533981</v>
      </c>
      <c r="M275" s="162">
        <f t="shared" si="134"/>
        <v>192525280</v>
      </c>
      <c r="N275" s="162">
        <v>788044211</v>
      </c>
      <c r="O275" s="162">
        <f t="shared" si="135"/>
        <v>39984950</v>
      </c>
      <c r="P275" s="162">
        <f t="shared" si="136"/>
        <v>5408689</v>
      </c>
      <c r="Q275" s="162">
        <f t="shared" si="137"/>
        <v>555533981</v>
      </c>
      <c r="V275" s="149">
        <v>5408689</v>
      </c>
      <c r="X275" s="167"/>
      <c r="Y275" s="168"/>
      <c r="AA275" s="162"/>
      <c r="AC275" s="162"/>
      <c r="AE275" s="162"/>
    </row>
    <row r="276" spans="1:31" ht="30" hidden="1" x14ac:dyDescent="0.25">
      <c r="A276" s="163">
        <v>231614</v>
      </c>
      <c r="B276" s="164" t="s">
        <v>117</v>
      </c>
      <c r="C276" s="165">
        <v>670000000</v>
      </c>
      <c r="D276" s="165">
        <v>123452900</v>
      </c>
      <c r="E276" s="165">
        <v>0</v>
      </c>
      <c r="F276" s="165">
        <v>0</v>
      </c>
      <c r="G276" s="165">
        <f t="shared" ref="G276:G344" si="139">+C276+D276-E276+F276</f>
        <v>793452900</v>
      </c>
      <c r="H276" s="165">
        <v>128088600</v>
      </c>
      <c r="I276" s="165">
        <v>748059261</v>
      </c>
      <c r="J276" s="165">
        <f t="shared" si="133"/>
        <v>45393639</v>
      </c>
      <c r="K276" s="165">
        <v>139426045</v>
      </c>
      <c r="L276" s="165">
        <v>555533981</v>
      </c>
      <c r="M276" s="165">
        <f t="shared" si="134"/>
        <v>192525280</v>
      </c>
      <c r="N276" s="165">
        <v>788044211</v>
      </c>
      <c r="O276" s="165">
        <f t="shared" si="135"/>
        <v>39984950</v>
      </c>
      <c r="P276" s="165">
        <f t="shared" si="136"/>
        <v>5408689</v>
      </c>
      <c r="Q276" s="165">
        <f t="shared" si="137"/>
        <v>555533981</v>
      </c>
      <c r="V276" s="149">
        <v>5408689</v>
      </c>
      <c r="X276" s="167"/>
      <c r="Y276" s="168"/>
      <c r="AA276" s="165"/>
      <c r="AC276" s="165"/>
      <c r="AE276" s="165"/>
    </row>
    <row r="277" spans="1:31" s="100" customFormat="1" hidden="1" x14ac:dyDescent="0.25">
      <c r="A277" s="151">
        <v>2319</v>
      </c>
      <c r="B277" s="152" t="s">
        <v>118</v>
      </c>
      <c r="C277" s="153">
        <f>+C278</f>
        <v>400000000</v>
      </c>
      <c r="D277" s="153">
        <f t="shared" ref="D277:G277" si="140">+D278</f>
        <v>0</v>
      </c>
      <c r="E277" s="153">
        <f t="shared" si="140"/>
        <v>0</v>
      </c>
      <c r="F277" s="153">
        <f t="shared" si="140"/>
        <v>0</v>
      </c>
      <c r="G277" s="153">
        <f t="shared" si="140"/>
        <v>400000000</v>
      </c>
      <c r="H277" s="153">
        <v>5000000</v>
      </c>
      <c r="I277" s="153">
        <v>66282740</v>
      </c>
      <c r="J277" s="153">
        <f t="shared" si="133"/>
        <v>333717260</v>
      </c>
      <c r="K277" s="153">
        <v>4250000</v>
      </c>
      <c r="L277" s="153">
        <v>55232740</v>
      </c>
      <c r="M277" s="153">
        <f t="shared" si="134"/>
        <v>11050000</v>
      </c>
      <c r="N277" s="153">
        <v>140550973</v>
      </c>
      <c r="O277" s="153">
        <f t="shared" si="135"/>
        <v>74268233</v>
      </c>
      <c r="P277" s="153">
        <f t="shared" si="136"/>
        <v>259449027</v>
      </c>
      <c r="Q277" s="153">
        <f t="shared" si="137"/>
        <v>55232740</v>
      </c>
      <c r="V277" s="149">
        <v>259449027</v>
      </c>
      <c r="X277" s="167"/>
      <c r="Y277" s="168"/>
      <c r="AA277" s="153"/>
      <c r="AC277" s="153"/>
      <c r="AE277" s="153"/>
    </row>
    <row r="278" spans="1:31" s="100" customFormat="1" hidden="1" x14ac:dyDescent="0.25">
      <c r="A278" s="163">
        <v>23191</v>
      </c>
      <c r="B278" s="164" t="s">
        <v>625</v>
      </c>
      <c r="C278" s="165">
        <v>400000000</v>
      </c>
      <c r="D278" s="165">
        <v>0</v>
      </c>
      <c r="E278" s="165">
        <v>0</v>
      </c>
      <c r="F278" s="165">
        <v>0</v>
      </c>
      <c r="G278" s="165">
        <f t="shared" si="139"/>
        <v>400000000</v>
      </c>
      <c r="H278" s="165">
        <v>5000000</v>
      </c>
      <c r="I278" s="165">
        <v>66282740</v>
      </c>
      <c r="J278" s="165">
        <f t="shared" si="133"/>
        <v>333717260</v>
      </c>
      <c r="K278" s="165">
        <v>4250000</v>
      </c>
      <c r="L278" s="165">
        <v>55232740</v>
      </c>
      <c r="M278" s="165">
        <f t="shared" si="134"/>
        <v>11050000</v>
      </c>
      <c r="N278" s="165">
        <v>140550973</v>
      </c>
      <c r="O278" s="165">
        <f t="shared" si="135"/>
        <v>74268233</v>
      </c>
      <c r="P278" s="165">
        <f t="shared" si="136"/>
        <v>259449027</v>
      </c>
      <c r="Q278" s="165">
        <f t="shared" si="137"/>
        <v>55232740</v>
      </c>
      <c r="V278" s="149">
        <v>259449027</v>
      </c>
      <c r="X278" s="167"/>
      <c r="Y278" s="168"/>
      <c r="AA278" s="165"/>
      <c r="AC278" s="165"/>
      <c r="AE278" s="165"/>
    </row>
    <row r="279" spans="1:31" s="100" customFormat="1" hidden="1" x14ac:dyDescent="0.25">
      <c r="A279" s="151">
        <v>232</v>
      </c>
      <c r="B279" s="152" t="s">
        <v>119</v>
      </c>
      <c r="C279" s="153">
        <f>+C280+C312+C315</f>
        <v>4651804202</v>
      </c>
      <c r="D279" s="153">
        <f t="shared" ref="D279:G279" si="141">+D280+D312+D315</f>
        <v>1000000000</v>
      </c>
      <c r="E279" s="153">
        <f t="shared" si="141"/>
        <v>723452900</v>
      </c>
      <c r="F279" s="153">
        <f t="shared" si="141"/>
        <v>754000000</v>
      </c>
      <c r="G279" s="153">
        <f t="shared" si="141"/>
        <v>5682351302</v>
      </c>
      <c r="H279" s="153">
        <v>255784355.86000001</v>
      </c>
      <c r="I279" s="153">
        <v>2413146751.8599997</v>
      </c>
      <c r="J279" s="153">
        <f t="shared" si="133"/>
        <v>3269204550.1400003</v>
      </c>
      <c r="K279" s="153">
        <v>219226596</v>
      </c>
      <c r="L279" s="153">
        <v>1080195066</v>
      </c>
      <c r="M279" s="153">
        <f t="shared" si="134"/>
        <v>1332951685.8599997</v>
      </c>
      <c r="N279" s="153">
        <v>3109368280.8099999</v>
      </c>
      <c r="O279" s="153">
        <f t="shared" si="135"/>
        <v>696221528.95000029</v>
      </c>
      <c r="P279" s="153">
        <f t="shared" si="136"/>
        <v>2572983021.1900001</v>
      </c>
      <c r="Q279" s="153">
        <f t="shared" si="137"/>
        <v>1080195066</v>
      </c>
      <c r="V279" s="149">
        <v>2572983021.1900001</v>
      </c>
      <c r="X279" s="167"/>
      <c r="Y279" s="168"/>
      <c r="AA279" s="153"/>
      <c r="AC279" s="153"/>
      <c r="AE279" s="153"/>
    </row>
    <row r="280" spans="1:31" hidden="1" x14ac:dyDescent="0.25">
      <c r="A280" s="151">
        <v>2321</v>
      </c>
      <c r="B280" s="152" t="s">
        <v>120</v>
      </c>
      <c r="C280" s="153">
        <f>+C281+C294+C298+C303+C308</f>
        <v>4431804202</v>
      </c>
      <c r="D280" s="153">
        <f t="shared" ref="D280:G280" si="142">+D281+D294+D298+D303+D308</f>
        <v>1000000000</v>
      </c>
      <c r="E280" s="153">
        <f t="shared" si="142"/>
        <v>723452900</v>
      </c>
      <c r="F280" s="153">
        <f t="shared" si="142"/>
        <v>754000000</v>
      </c>
      <c r="G280" s="153">
        <f t="shared" si="142"/>
        <v>5462351302</v>
      </c>
      <c r="H280" s="153">
        <v>255349365.86000001</v>
      </c>
      <c r="I280" s="153">
        <v>2409608840.8599997</v>
      </c>
      <c r="J280" s="153">
        <f t="shared" si="133"/>
        <v>3052742461.1400003</v>
      </c>
      <c r="K280" s="153">
        <v>219226596</v>
      </c>
      <c r="L280" s="153">
        <v>1079861933</v>
      </c>
      <c r="M280" s="153">
        <f t="shared" si="134"/>
        <v>1329746907.8599997</v>
      </c>
      <c r="N280" s="153">
        <v>3079538011.8099999</v>
      </c>
      <c r="O280" s="153">
        <f t="shared" si="135"/>
        <v>669929170.95000029</v>
      </c>
      <c r="P280" s="153">
        <f t="shared" si="136"/>
        <v>2382813290.1900001</v>
      </c>
      <c r="Q280" s="153">
        <f t="shared" si="137"/>
        <v>1079861933</v>
      </c>
      <c r="V280" s="149">
        <v>2382813290.1900001</v>
      </c>
      <c r="X280" s="167"/>
      <c r="Y280" s="168"/>
      <c r="AA280" s="153"/>
      <c r="AC280" s="153"/>
      <c r="AE280" s="153"/>
    </row>
    <row r="281" spans="1:31" hidden="1" x14ac:dyDescent="0.25">
      <c r="A281" s="160">
        <v>23211</v>
      </c>
      <c r="B281" s="161" t="s">
        <v>121</v>
      </c>
      <c r="C281" s="162">
        <f>SUM(C282:C293)</f>
        <v>3603810000</v>
      </c>
      <c r="D281" s="162">
        <f t="shared" ref="D281:G281" si="143">SUM(D282:D293)</f>
        <v>0</v>
      </c>
      <c r="E281" s="162">
        <f t="shared" si="143"/>
        <v>579824440</v>
      </c>
      <c r="F281" s="162">
        <f t="shared" si="143"/>
        <v>581000000</v>
      </c>
      <c r="G281" s="162">
        <f t="shared" si="143"/>
        <v>3604985560</v>
      </c>
      <c r="H281" s="162">
        <v>43798463.809999995</v>
      </c>
      <c r="I281" s="162">
        <v>1210917812.8099999</v>
      </c>
      <c r="J281" s="162">
        <f t="shared" si="133"/>
        <v>2394067747.1900001</v>
      </c>
      <c r="K281" s="162">
        <v>199129176</v>
      </c>
      <c r="L281" s="162">
        <v>528888158</v>
      </c>
      <c r="M281" s="162">
        <f t="shared" si="134"/>
        <v>682029654.80999994</v>
      </c>
      <c r="N281" s="162">
        <v>1670014632.8099999</v>
      </c>
      <c r="O281" s="162">
        <f t="shared" si="135"/>
        <v>459096820</v>
      </c>
      <c r="P281" s="162">
        <f t="shared" si="136"/>
        <v>1934970927.1900001</v>
      </c>
      <c r="Q281" s="162">
        <f t="shared" si="137"/>
        <v>528888158</v>
      </c>
      <c r="V281" s="149">
        <v>1934970927.1900001</v>
      </c>
      <c r="X281" s="167"/>
      <c r="Y281" s="168"/>
      <c r="AA281" s="162"/>
      <c r="AC281" s="162"/>
      <c r="AE281" s="162"/>
    </row>
    <row r="282" spans="1:31" hidden="1" x14ac:dyDescent="0.25">
      <c r="A282" s="163">
        <v>2321101</v>
      </c>
      <c r="B282" s="164" t="s">
        <v>122</v>
      </c>
      <c r="C282" s="165">
        <v>90000000</v>
      </c>
      <c r="D282" s="165">
        <v>0</v>
      </c>
      <c r="E282" s="165">
        <v>0</v>
      </c>
      <c r="F282" s="165">
        <v>0</v>
      </c>
      <c r="G282" s="165">
        <f t="shared" si="139"/>
        <v>90000000</v>
      </c>
      <c r="H282" s="165">
        <v>0</v>
      </c>
      <c r="I282" s="165">
        <v>61858770</v>
      </c>
      <c r="J282" s="165">
        <f t="shared" si="133"/>
        <v>28141230</v>
      </c>
      <c r="K282" s="165">
        <v>0</v>
      </c>
      <c r="L282" s="165">
        <v>61858770</v>
      </c>
      <c r="M282" s="165">
        <f t="shared" si="134"/>
        <v>0</v>
      </c>
      <c r="N282" s="165">
        <v>62059178</v>
      </c>
      <c r="O282" s="165">
        <f t="shared" si="135"/>
        <v>200408</v>
      </c>
      <c r="P282" s="165">
        <f t="shared" si="136"/>
        <v>27940822</v>
      </c>
      <c r="Q282" s="165">
        <f t="shared" si="137"/>
        <v>61858770</v>
      </c>
      <c r="V282" s="149">
        <v>27940822</v>
      </c>
      <c r="X282" s="167"/>
      <c r="Y282" s="168"/>
      <c r="AA282" s="165"/>
      <c r="AC282" s="165"/>
      <c r="AE282" s="165"/>
    </row>
    <row r="283" spans="1:31" hidden="1" x14ac:dyDescent="0.25">
      <c r="A283" s="163">
        <v>2321102</v>
      </c>
      <c r="B283" s="164" t="s">
        <v>123</v>
      </c>
      <c r="C283" s="165">
        <v>190000000</v>
      </c>
      <c r="D283" s="165">
        <v>0</v>
      </c>
      <c r="E283" s="165">
        <v>0</v>
      </c>
      <c r="F283" s="165">
        <v>50000000</v>
      </c>
      <c r="G283" s="165">
        <f t="shared" si="139"/>
        <v>240000000</v>
      </c>
      <c r="H283" s="165">
        <v>0</v>
      </c>
      <c r="I283" s="165">
        <v>180880000</v>
      </c>
      <c r="J283" s="165">
        <f t="shared" si="133"/>
        <v>59120000</v>
      </c>
      <c r="K283" s="165">
        <v>69274000</v>
      </c>
      <c r="L283" s="165">
        <v>136876000</v>
      </c>
      <c r="M283" s="165">
        <f t="shared" si="134"/>
        <v>44004000</v>
      </c>
      <c r="N283" s="165">
        <v>203756000</v>
      </c>
      <c r="O283" s="165">
        <f t="shared" si="135"/>
        <v>22876000</v>
      </c>
      <c r="P283" s="165">
        <f t="shared" si="136"/>
        <v>36244000</v>
      </c>
      <c r="Q283" s="165">
        <f t="shared" si="137"/>
        <v>136876000</v>
      </c>
      <c r="V283" s="149">
        <v>36244000</v>
      </c>
      <c r="X283" s="167"/>
      <c r="Y283" s="168"/>
      <c r="AA283" s="165"/>
      <c r="AC283" s="165"/>
      <c r="AE283" s="165"/>
    </row>
    <row r="284" spans="1:31" hidden="1" x14ac:dyDescent="0.25">
      <c r="A284" s="163">
        <v>2321103</v>
      </c>
      <c r="B284" s="164" t="s">
        <v>124</v>
      </c>
      <c r="C284" s="165">
        <v>1780000000</v>
      </c>
      <c r="D284" s="165">
        <v>0</v>
      </c>
      <c r="E284" s="165">
        <v>300000000</v>
      </c>
      <c r="F284" s="165">
        <v>120000000</v>
      </c>
      <c r="G284" s="165">
        <f t="shared" si="139"/>
        <v>1600000000</v>
      </c>
      <c r="H284" s="165">
        <v>9310855</v>
      </c>
      <c r="I284" s="165">
        <v>442580519</v>
      </c>
      <c r="J284" s="165">
        <f t="shared" si="133"/>
        <v>1157419481</v>
      </c>
      <c r="K284" s="165">
        <v>62822050</v>
      </c>
      <c r="L284" s="165">
        <v>201733253</v>
      </c>
      <c r="M284" s="165">
        <f t="shared" si="134"/>
        <v>240847266</v>
      </c>
      <c r="N284" s="165">
        <v>488270659</v>
      </c>
      <c r="O284" s="165">
        <f t="shared" si="135"/>
        <v>45690140</v>
      </c>
      <c r="P284" s="165">
        <f t="shared" si="136"/>
        <v>1111729341</v>
      </c>
      <c r="Q284" s="165">
        <f t="shared" si="137"/>
        <v>201733253</v>
      </c>
      <c r="V284" s="149">
        <v>1111729341</v>
      </c>
      <c r="X284" s="167"/>
      <c r="Y284" s="168"/>
      <c r="AA284" s="165"/>
      <c r="AC284" s="165"/>
      <c r="AE284" s="165"/>
    </row>
    <row r="285" spans="1:31" hidden="1" x14ac:dyDescent="0.25">
      <c r="A285" s="163">
        <v>2321104</v>
      </c>
      <c r="B285" s="164" t="s">
        <v>125</v>
      </c>
      <c r="C285" s="165">
        <v>30000000</v>
      </c>
      <c r="D285" s="165">
        <v>0</v>
      </c>
      <c r="E285" s="165">
        <v>0</v>
      </c>
      <c r="F285" s="165">
        <v>45000000</v>
      </c>
      <c r="G285" s="165">
        <f t="shared" si="139"/>
        <v>75000000</v>
      </c>
      <c r="H285" s="165">
        <v>424409</v>
      </c>
      <c r="I285" s="165">
        <v>13099442</v>
      </c>
      <c r="J285" s="165">
        <f t="shared" si="133"/>
        <v>61900558</v>
      </c>
      <c r="K285" s="165">
        <v>0</v>
      </c>
      <c r="L285" s="165">
        <v>12675001</v>
      </c>
      <c r="M285" s="165">
        <f t="shared" si="134"/>
        <v>424441</v>
      </c>
      <c r="N285" s="165">
        <v>13099442</v>
      </c>
      <c r="O285" s="165">
        <f t="shared" si="135"/>
        <v>0</v>
      </c>
      <c r="P285" s="165">
        <f t="shared" si="136"/>
        <v>61900558</v>
      </c>
      <c r="Q285" s="165">
        <f t="shared" si="137"/>
        <v>12675001</v>
      </c>
      <c r="V285" s="149">
        <v>61900558</v>
      </c>
      <c r="X285" s="167"/>
      <c r="Y285" s="168"/>
      <c r="AA285" s="165"/>
      <c r="AC285" s="165"/>
      <c r="AE285" s="165"/>
    </row>
    <row r="286" spans="1:31" hidden="1" x14ac:dyDescent="0.25">
      <c r="A286" s="163">
        <v>2321105</v>
      </c>
      <c r="B286" s="164" t="s">
        <v>126</v>
      </c>
      <c r="C286" s="165">
        <v>128000000</v>
      </c>
      <c r="D286" s="165">
        <v>0</v>
      </c>
      <c r="E286" s="165">
        <v>0</v>
      </c>
      <c r="F286" s="165">
        <v>0</v>
      </c>
      <c r="G286" s="165">
        <f t="shared" si="139"/>
        <v>128000000</v>
      </c>
      <c r="H286" s="165">
        <v>0</v>
      </c>
      <c r="I286" s="165">
        <v>0</v>
      </c>
      <c r="J286" s="165">
        <f t="shared" si="133"/>
        <v>128000000</v>
      </c>
      <c r="K286" s="165">
        <v>0</v>
      </c>
      <c r="L286" s="165">
        <v>0</v>
      </c>
      <c r="M286" s="165">
        <f t="shared" si="134"/>
        <v>0</v>
      </c>
      <c r="N286" s="165">
        <v>0</v>
      </c>
      <c r="O286" s="165">
        <f t="shared" si="135"/>
        <v>0</v>
      </c>
      <c r="P286" s="165">
        <f t="shared" si="136"/>
        <v>128000000</v>
      </c>
      <c r="Q286" s="165">
        <f t="shared" si="137"/>
        <v>0</v>
      </c>
      <c r="V286" s="149">
        <v>128000000</v>
      </c>
      <c r="X286" s="167"/>
      <c r="Y286" s="168"/>
      <c r="AA286" s="165"/>
      <c r="AC286" s="165"/>
      <c r="AE286" s="165"/>
    </row>
    <row r="287" spans="1:31" ht="30" hidden="1" x14ac:dyDescent="0.25">
      <c r="A287" s="163">
        <v>2321106</v>
      </c>
      <c r="B287" s="164" t="s">
        <v>127</v>
      </c>
      <c r="C287" s="165">
        <v>90000000</v>
      </c>
      <c r="D287" s="165">
        <v>0</v>
      </c>
      <c r="E287" s="165">
        <v>54824440</v>
      </c>
      <c r="F287" s="165">
        <v>20000000</v>
      </c>
      <c r="G287" s="165">
        <f t="shared" si="139"/>
        <v>55175560</v>
      </c>
      <c r="H287" s="165">
        <v>0</v>
      </c>
      <c r="I287" s="165">
        <v>351120</v>
      </c>
      <c r="J287" s="165">
        <f t="shared" si="133"/>
        <v>54824440</v>
      </c>
      <c r="K287" s="165">
        <v>0</v>
      </c>
      <c r="L287" s="165">
        <v>351120</v>
      </c>
      <c r="M287" s="165">
        <f t="shared" si="134"/>
        <v>0</v>
      </c>
      <c r="N287" s="165">
        <v>351120</v>
      </c>
      <c r="O287" s="165">
        <f t="shared" si="135"/>
        <v>0</v>
      </c>
      <c r="P287" s="165">
        <f t="shared" si="136"/>
        <v>54824440</v>
      </c>
      <c r="Q287" s="165">
        <f t="shared" si="137"/>
        <v>351120</v>
      </c>
      <c r="V287" s="149">
        <v>54824440</v>
      </c>
      <c r="X287" s="167"/>
      <c r="Y287" s="168"/>
      <c r="AA287" s="165"/>
      <c r="AC287" s="165"/>
      <c r="AE287" s="165"/>
    </row>
    <row r="288" spans="1:31" hidden="1" x14ac:dyDescent="0.25">
      <c r="A288" s="163">
        <v>2321107</v>
      </c>
      <c r="B288" s="164" t="s">
        <v>128</v>
      </c>
      <c r="C288" s="165">
        <v>320000000</v>
      </c>
      <c r="D288" s="165">
        <v>0</v>
      </c>
      <c r="E288" s="165">
        <v>0</v>
      </c>
      <c r="F288" s="165">
        <v>150000000</v>
      </c>
      <c r="G288" s="165">
        <f t="shared" si="139"/>
        <v>470000000</v>
      </c>
      <c r="H288" s="165">
        <v>0</v>
      </c>
      <c r="I288" s="165">
        <v>286887795</v>
      </c>
      <c r="J288" s="165">
        <f t="shared" si="133"/>
        <v>183112205</v>
      </c>
      <c r="K288" s="165">
        <v>0</v>
      </c>
      <c r="L288" s="165">
        <v>0</v>
      </c>
      <c r="M288" s="165">
        <f t="shared" si="134"/>
        <v>286887795</v>
      </c>
      <c r="N288" s="165">
        <v>286887795</v>
      </c>
      <c r="O288" s="165">
        <f t="shared" si="135"/>
        <v>0</v>
      </c>
      <c r="P288" s="165">
        <f t="shared" si="136"/>
        <v>183112205</v>
      </c>
      <c r="Q288" s="165">
        <f t="shared" si="137"/>
        <v>0</v>
      </c>
      <c r="V288" s="149">
        <v>183112205</v>
      </c>
      <c r="X288" s="167"/>
      <c r="Y288" s="168"/>
      <c r="AA288" s="165"/>
      <c r="AC288" s="165"/>
      <c r="AE288" s="165"/>
    </row>
    <row r="289" spans="1:31" hidden="1" x14ac:dyDescent="0.25">
      <c r="A289" s="163">
        <v>2321108</v>
      </c>
      <c r="B289" s="164" t="s">
        <v>129</v>
      </c>
      <c r="C289" s="165">
        <v>16588404</v>
      </c>
      <c r="D289" s="165">
        <v>0</v>
      </c>
      <c r="E289" s="165">
        <v>0</v>
      </c>
      <c r="F289" s="165">
        <v>0</v>
      </c>
      <c r="G289" s="165">
        <f t="shared" si="139"/>
        <v>16588404</v>
      </c>
      <c r="H289" s="165">
        <v>0</v>
      </c>
      <c r="I289" s="165">
        <v>0</v>
      </c>
      <c r="J289" s="165">
        <f t="shared" si="133"/>
        <v>16588404</v>
      </c>
      <c r="K289" s="165">
        <v>0</v>
      </c>
      <c r="L289" s="165">
        <v>0</v>
      </c>
      <c r="M289" s="165">
        <f t="shared" si="134"/>
        <v>0</v>
      </c>
      <c r="N289" s="165">
        <v>0</v>
      </c>
      <c r="O289" s="165">
        <f t="shared" si="135"/>
        <v>0</v>
      </c>
      <c r="P289" s="165">
        <f t="shared" si="136"/>
        <v>16588404</v>
      </c>
      <c r="Q289" s="165">
        <f t="shared" si="137"/>
        <v>0</v>
      </c>
      <c r="V289" s="149">
        <v>16588404</v>
      </c>
      <c r="X289" s="167"/>
      <c r="Y289" s="168"/>
      <c r="AA289" s="165"/>
      <c r="AC289" s="165"/>
      <c r="AE289" s="165"/>
    </row>
    <row r="290" spans="1:31" ht="30" hidden="1" x14ac:dyDescent="0.25">
      <c r="A290" s="163">
        <v>2321109</v>
      </c>
      <c r="B290" s="164" t="s">
        <v>130</v>
      </c>
      <c r="C290" s="165">
        <v>29005798</v>
      </c>
      <c r="D290" s="165">
        <v>0</v>
      </c>
      <c r="E290" s="165">
        <v>0</v>
      </c>
      <c r="F290" s="165">
        <v>0</v>
      </c>
      <c r="G290" s="165">
        <f t="shared" si="139"/>
        <v>29005798</v>
      </c>
      <c r="H290" s="165">
        <v>0</v>
      </c>
      <c r="I290" s="165">
        <v>0</v>
      </c>
      <c r="J290" s="165">
        <f t="shared" si="133"/>
        <v>29005798</v>
      </c>
      <c r="K290" s="165">
        <v>0</v>
      </c>
      <c r="L290" s="165">
        <v>0</v>
      </c>
      <c r="M290" s="165">
        <f t="shared" si="134"/>
        <v>0</v>
      </c>
      <c r="N290" s="165">
        <v>0</v>
      </c>
      <c r="O290" s="165">
        <f t="shared" si="135"/>
        <v>0</v>
      </c>
      <c r="P290" s="165">
        <f t="shared" si="136"/>
        <v>29005798</v>
      </c>
      <c r="Q290" s="165">
        <f t="shared" si="137"/>
        <v>0</v>
      </c>
      <c r="V290" s="149">
        <v>29005798</v>
      </c>
      <c r="X290" s="167"/>
      <c r="Y290" s="168"/>
      <c r="AA290" s="165"/>
      <c r="AC290" s="165"/>
      <c r="AE290" s="165"/>
    </row>
    <row r="291" spans="1:31" hidden="1" x14ac:dyDescent="0.25">
      <c r="A291" s="163">
        <v>2321110</v>
      </c>
      <c r="B291" s="164" t="s">
        <v>131</v>
      </c>
      <c r="C291" s="165">
        <v>25000000</v>
      </c>
      <c r="D291" s="165">
        <v>0</v>
      </c>
      <c r="E291" s="165">
        <v>25000000</v>
      </c>
      <c r="F291" s="165">
        <v>0</v>
      </c>
      <c r="G291" s="165">
        <f t="shared" si="139"/>
        <v>0</v>
      </c>
      <c r="H291" s="165">
        <v>0</v>
      </c>
      <c r="I291" s="165">
        <v>0</v>
      </c>
      <c r="J291" s="165">
        <f t="shared" si="133"/>
        <v>0</v>
      </c>
      <c r="K291" s="165">
        <v>0</v>
      </c>
      <c r="L291" s="165">
        <v>0</v>
      </c>
      <c r="M291" s="165">
        <f t="shared" si="134"/>
        <v>0</v>
      </c>
      <c r="N291" s="165">
        <v>0</v>
      </c>
      <c r="O291" s="165">
        <f t="shared" si="135"/>
        <v>0</v>
      </c>
      <c r="P291" s="165">
        <f t="shared" si="136"/>
        <v>0</v>
      </c>
      <c r="Q291" s="165">
        <f t="shared" si="137"/>
        <v>0</v>
      </c>
      <c r="V291" s="149">
        <v>0</v>
      </c>
      <c r="X291" s="167"/>
      <c r="Y291" s="168"/>
      <c r="AA291" s="165"/>
      <c r="AC291" s="165"/>
      <c r="AE291" s="165"/>
    </row>
    <row r="292" spans="1:31" s="100" customFormat="1" hidden="1" x14ac:dyDescent="0.25">
      <c r="A292" s="163">
        <v>2321112</v>
      </c>
      <c r="B292" s="164" t="s">
        <v>132</v>
      </c>
      <c r="C292" s="165">
        <v>650000000</v>
      </c>
      <c r="D292" s="165">
        <v>0</v>
      </c>
      <c r="E292" s="165">
        <v>200000000</v>
      </c>
      <c r="F292" s="165">
        <v>181000000</v>
      </c>
      <c r="G292" s="165">
        <f t="shared" si="139"/>
        <v>631000000</v>
      </c>
      <c r="H292" s="165">
        <v>32873699.940000001</v>
      </c>
      <c r="I292" s="165">
        <v>121349053.94</v>
      </c>
      <c r="J292" s="165">
        <f t="shared" si="133"/>
        <v>509650946.06</v>
      </c>
      <c r="K292" s="165">
        <v>28354555</v>
      </c>
      <c r="L292" s="165">
        <v>45578080</v>
      </c>
      <c r="M292" s="165">
        <f t="shared" si="134"/>
        <v>75770973.939999998</v>
      </c>
      <c r="N292" s="165">
        <v>505506024.94000006</v>
      </c>
      <c r="O292" s="165">
        <f t="shared" si="135"/>
        <v>384156971.00000006</v>
      </c>
      <c r="P292" s="165">
        <f t="shared" si="136"/>
        <v>125493975.05999994</v>
      </c>
      <c r="Q292" s="165">
        <f t="shared" si="137"/>
        <v>45578080</v>
      </c>
      <c r="V292" s="149">
        <v>125493975.05999994</v>
      </c>
      <c r="X292" s="167"/>
      <c r="Y292" s="168"/>
      <c r="AA292" s="165"/>
      <c r="AC292" s="165"/>
      <c r="AE292" s="165"/>
    </row>
    <row r="293" spans="1:31" hidden="1" x14ac:dyDescent="0.25">
      <c r="A293" s="163">
        <v>2321113</v>
      </c>
      <c r="B293" s="164" t="s">
        <v>133</v>
      </c>
      <c r="C293" s="165">
        <v>255215798</v>
      </c>
      <c r="D293" s="165">
        <v>0</v>
      </c>
      <c r="E293" s="165">
        <v>0</v>
      </c>
      <c r="F293" s="165">
        <v>15000000</v>
      </c>
      <c r="G293" s="165">
        <f t="shared" si="139"/>
        <v>270215798</v>
      </c>
      <c r="H293" s="165">
        <v>1189499.8700000001</v>
      </c>
      <c r="I293" s="165">
        <v>103911112.87</v>
      </c>
      <c r="J293" s="165">
        <f t="shared" si="133"/>
        <v>166304685.13</v>
      </c>
      <c r="K293" s="165">
        <v>38678571</v>
      </c>
      <c r="L293" s="165">
        <v>69815934</v>
      </c>
      <c r="M293" s="165">
        <f t="shared" si="134"/>
        <v>34095178.870000005</v>
      </c>
      <c r="N293" s="165">
        <v>110084413.87</v>
      </c>
      <c r="O293" s="165">
        <f t="shared" si="135"/>
        <v>6173301</v>
      </c>
      <c r="P293" s="165">
        <f t="shared" si="136"/>
        <v>160131384.13</v>
      </c>
      <c r="Q293" s="165">
        <f t="shared" si="137"/>
        <v>69815934</v>
      </c>
      <c r="V293" s="149">
        <v>160131384.13</v>
      </c>
      <c r="X293" s="167"/>
      <c r="Y293" s="168"/>
      <c r="AA293" s="165"/>
      <c r="AC293" s="165"/>
      <c r="AE293" s="165"/>
    </row>
    <row r="294" spans="1:31" hidden="1" x14ac:dyDescent="0.25">
      <c r="A294" s="160">
        <v>23212</v>
      </c>
      <c r="B294" s="161" t="s">
        <v>134</v>
      </c>
      <c r="C294" s="162">
        <f>SUM(C295:C297)</f>
        <v>495000000</v>
      </c>
      <c r="D294" s="162">
        <f t="shared" ref="D294:G294" si="144">SUM(D295:D297)</f>
        <v>0</v>
      </c>
      <c r="E294" s="162">
        <f t="shared" si="144"/>
        <v>143628460</v>
      </c>
      <c r="F294" s="162">
        <f t="shared" si="144"/>
        <v>93000000</v>
      </c>
      <c r="G294" s="162">
        <f t="shared" si="144"/>
        <v>444371540</v>
      </c>
      <c r="H294" s="162">
        <v>9378510</v>
      </c>
      <c r="I294" s="162">
        <v>333510170</v>
      </c>
      <c r="J294" s="162">
        <f t="shared" si="133"/>
        <v>110861370</v>
      </c>
      <c r="K294" s="162">
        <v>14747100</v>
      </c>
      <c r="L294" s="162">
        <v>181128681</v>
      </c>
      <c r="M294" s="162">
        <f t="shared" si="134"/>
        <v>152381489</v>
      </c>
      <c r="N294" s="162">
        <v>394037060</v>
      </c>
      <c r="O294" s="162">
        <f t="shared" si="135"/>
        <v>60526890</v>
      </c>
      <c r="P294" s="162">
        <f t="shared" si="136"/>
        <v>50334480</v>
      </c>
      <c r="Q294" s="162">
        <f t="shared" si="137"/>
        <v>181128681</v>
      </c>
      <c r="V294" s="149">
        <v>50334480</v>
      </c>
      <c r="X294" s="167"/>
      <c r="Y294" s="168"/>
      <c r="AA294" s="162"/>
      <c r="AC294" s="162"/>
      <c r="AE294" s="162"/>
    </row>
    <row r="295" spans="1:31" ht="30" hidden="1" x14ac:dyDescent="0.25">
      <c r="A295" s="163">
        <v>232121</v>
      </c>
      <c r="B295" s="164" t="s">
        <v>135</v>
      </c>
      <c r="C295" s="165">
        <v>380000000</v>
      </c>
      <c r="D295" s="165">
        <v>0</v>
      </c>
      <c r="E295" s="165">
        <v>100000000</v>
      </c>
      <c r="F295" s="165">
        <v>93000000</v>
      </c>
      <c r="G295" s="165">
        <f t="shared" si="139"/>
        <v>373000000</v>
      </c>
      <c r="H295" s="165">
        <v>9378510</v>
      </c>
      <c r="I295" s="165">
        <v>297477954</v>
      </c>
      <c r="J295" s="165">
        <f t="shared" si="133"/>
        <v>75522046</v>
      </c>
      <c r="K295" s="165">
        <v>14747100</v>
      </c>
      <c r="L295" s="165">
        <v>167528681</v>
      </c>
      <c r="M295" s="165">
        <f t="shared" si="134"/>
        <v>129949273</v>
      </c>
      <c r="N295" s="165">
        <v>357804844</v>
      </c>
      <c r="O295" s="165">
        <f t="shared" si="135"/>
        <v>60326890</v>
      </c>
      <c r="P295" s="165">
        <f t="shared" si="136"/>
        <v>15195156</v>
      </c>
      <c r="Q295" s="165">
        <f t="shared" si="137"/>
        <v>167528681</v>
      </c>
      <c r="V295" s="149">
        <v>15195156</v>
      </c>
      <c r="X295" s="167"/>
      <c r="Y295" s="168"/>
      <c r="AA295" s="165"/>
      <c r="AC295" s="165"/>
      <c r="AE295" s="165"/>
    </row>
    <row r="296" spans="1:31" s="100" customFormat="1" hidden="1" x14ac:dyDescent="0.25">
      <c r="A296" s="163">
        <v>232122</v>
      </c>
      <c r="B296" s="164" t="s">
        <v>136</v>
      </c>
      <c r="C296" s="165">
        <v>100000000</v>
      </c>
      <c r="D296" s="165">
        <v>0</v>
      </c>
      <c r="E296" s="165">
        <v>43628460</v>
      </c>
      <c r="F296" s="165">
        <v>0</v>
      </c>
      <c r="G296" s="165">
        <f>+C296+D296-E296+F296</f>
        <v>56371540</v>
      </c>
      <c r="H296" s="165">
        <v>0</v>
      </c>
      <c r="I296" s="165">
        <v>34813888</v>
      </c>
      <c r="J296" s="165">
        <f t="shared" si="133"/>
        <v>21557652</v>
      </c>
      <c r="K296" s="165">
        <v>0</v>
      </c>
      <c r="L296" s="165">
        <v>13600000</v>
      </c>
      <c r="M296" s="165">
        <f t="shared" si="134"/>
        <v>21213888</v>
      </c>
      <c r="N296" s="165">
        <v>35013888</v>
      </c>
      <c r="O296" s="165">
        <f t="shared" si="135"/>
        <v>200000</v>
      </c>
      <c r="P296" s="165">
        <f t="shared" si="136"/>
        <v>21357652</v>
      </c>
      <c r="Q296" s="165">
        <f t="shared" si="137"/>
        <v>13600000</v>
      </c>
      <c r="V296" s="149">
        <v>21357652</v>
      </c>
      <c r="X296" s="167"/>
      <c r="Y296" s="168"/>
      <c r="AA296" s="165"/>
      <c r="AC296" s="165"/>
      <c r="AE296" s="165"/>
    </row>
    <row r="297" spans="1:31" hidden="1" x14ac:dyDescent="0.25">
      <c r="A297" s="163">
        <v>232123</v>
      </c>
      <c r="B297" s="164" t="s">
        <v>137</v>
      </c>
      <c r="C297" s="165">
        <v>15000000</v>
      </c>
      <c r="D297" s="165">
        <v>0</v>
      </c>
      <c r="E297" s="165">
        <v>0</v>
      </c>
      <c r="F297" s="165">
        <v>0</v>
      </c>
      <c r="G297" s="165">
        <f t="shared" si="139"/>
        <v>15000000</v>
      </c>
      <c r="H297" s="165">
        <v>0</v>
      </c>
      <c r="I297" s="165">
        <v>1218328</v>
      </c>
      <c r="J297" s="165">
        <f t="shared" si="133"/>
        <v>13781672</v>
      </c>
      <c r="K297" s="165">
        <v>0</v>
      </c>
      <c r="L297" s="165">
        <v>0</v>
      </c>
      <c r="M297" s="165">
        <f t="shared" si="134"/>
        <v>1218328</v>
      </c>
      <c r="N297" s="165">
        <v>1218328</v>
      </c>
      <c r="O297" s="165">
        <f t="shared" si="135"/>
        <v>0</v>
      </c>
      <c r="P297" s="165">
        <f t="shared" si="136"/>
        <v>13781672</v>
      </c>
      <c r="Q297" s="165">
        <f t="shared" si="137"/>
        <v>0</v>
      </c>
      <c r="V297" s="149">
        <v>13781672</v>
      </c>
      <c r="X297" s="167"/>
      <c r="Y297" s="168"/>
      <c r="AA297" s="165"/>
      <c r="AC297" s="165"/>
      <c r="AE297" s="165"/>
    </row>
    <row r="298" spans="1:31" hidden="1" x14ac:dyDescent="0.25">
      <c r="A298" s="160">
        <v>23213</v>
      </c>
      <c r="B298" s="161" t="s">
        <v>138</v>
      </c>
      <c r="C298" s="162">
        <f>SUM(C299:C302)</f>
        <v>60000000</v>
      </c>
      <c r="D298" s="162">
        <f t="shared" ref="D298:G298" si="145">SUM(D299:D302)</f>
        <v>0</v>
      </c>
      <c r="E298" s="162">
        <f t="shared" si="145"/>
        <v>0</v>
      </c>
      <c r="F298" s="162">
        <f t="shared" si="145"/>
        <v>0</v>
      </c>
      <c r="G298" s="162">
        <f t="shared" si="145"/>
        <v>60000000</v>
      </c>
      <c r="H298" s="162">
        <v>0</v>
      </c>
      <c r="I298" s="162">
        <v>0</v>
      </c>
      <c r="J298" s="162">
        <f t="shared" si="133"/>
        <v>60000000</v>
      </c>
      <c r="K298" s="162">
        <v>0</v>
      </c>
      <c r="L298" s="162">
        <v>0</v>
      </c>
      <c r="M298" s="162">
        <f t="shared" si="134"/>
        <v>0</v>
      </c>
      <c r="N298" s="162">
        <v>0</v>
      </c>
      <c r="O298" s="162">
        <f t="shared" si="135"/>
        <v>0</v>
      </c>
      <c r="P298" s="162">
        <f t="shared" si="136"/>
        <v>60000000</v>
      </c>
      <c r="Q298" s="162">
        <f t="shared" si="137"/>
        <v>0</v>
      </c>
      <c r="V298" s="149">
        <v>60000000</v>
      </c>
      <c r="X298" s="167"/>
      <c r="Y298" s="168"/>
      <c r="AA298" s="162"/>
      <c r="AC298" s="162"/>
      <c r="AE298" s="162"/>
    </row>
    <row r="299" spans="1:31" hidden="1" x14ac:dyDescent="0.25">
      <c r="A299" s="163">
        <v>232131</v>
      </c>
      <c r="B299" s="164" t="s">
        <v>139</v>
      </c>
      <c r="C299" s="165">
        <v>17000000</v>
      </c>
      <c r="D299" s="165">
        <v>0</v>
      </c>
      <c r="E299" s="165">
        <v>0</v>
      </c>
      <c r="F299" s="165">
        <v>0</v>
      </c>
      <c r="G299" s="165">
        <f t="shared" si="139"/>
        <v>17000000</v>
      </c>
      <c r="H299" s="165">
        <v>0</v>
      </c>
      <c r="I299" s="165">
        <v>0</v>
      </c>
      <c r="J299" s="165">
        <f t="shared" si="133"/>
        <v>17000000</v>
      </c>
      <c r="K299" s="165">
        <v>0</v>
      </c>
      <c r="L299" s="165">
        <v>0</v>
      </c>
      <c r="M299" s="165">
        <f t="shared" si="134"/>
        <v>0</v>
      </c>
      <c r="N299" s="165">
        <v>0</v>
      </c>
      <c r="O299" s="165">
        <f t="shared" si="135"/>
        <v>0</v>
      </c>
      <c r="P299" s="165">
        <f t="shared" si="136"/>
        <v>17000000</v>
      </c>
      <c r="Q299" s="165">
        <f t="shared" si="137"/>
        <v>0</v>
      </c>
      <c r="V299" s="149">
        <v>17000000</v>
      </c>
      <c r="X299" s="167"/>
      <c r="Y299" s="168"/>
      <c r="AA299" s="165"/>
      <c r="AC299" s="165"/>
      <c r="AE299" s="165"/>
    </row>
    <row r="300" spans="1:31" hidden="1" x14ac:dyDescent="0.25">
      <c r="A300" s="163">
        <v>232132</v>
      </c>
      <c r="B300" s="164" t="s">
        <v>140</v>
      </c>
      <c r="C300" s="165">
        <v>15000000</v>
      </c>
      <c r="D300" s="165">
        <v>0</v>
      </c>
      <c r="E300" s="165">
        <v>0</v>
      </c>
      <c r="F300" s="165">
        <v>0</v>
      </c>
      <c r="G300" s="165">
        <f t="shared" si="139"/>
        <v>15000000</v>
      </c>
      <c r="H300" s="165">
        <v>0</v>
      </c>
      <c r="I300" s="165">
        <v>0</v>
      </c>
      <c r="J300" s="165">
        <f t="shared" si="133"/>
        <v>15000000</v>
      </c>
      <c r="K300" s="165">
        <v>0</v>
      </c>
      <c r="L300" s="165">
        <v>0</v>
      </c>
      <c r="M300" s="165">
        <f t="shared" si="134"/>
        <v>0</v>
      </c>
      <c r="N300" s="165">
        <v>0</v>
      </c>
      <c r="O300" s="165">
        <f t="shared" si="135"/>
        <v>0</v>
      </c>
      <c r="P300" s="165">
        <f t="shared" si="136"/>
        <v>15000000</v>
      </c>
      <c r="Q300" s="165">
        <f t="shared" si="137"/>
        <v>0</v>
      </c>
      <c r="V300" s="149">
        <v>15000000</v>
      </c>
      <c r="X300" s="167"/>
      <c r="Y300" s="168"/>
      <c r="AA300" s="165"/>
      <c r="AC300" s="165"/>
      <c r="AE300" s="165"/>
    </row>
    <row r="301" spans="1:31" s="100" customFormat="1" hidden="1" x14ac:dyDescent="0.25">
      <c r="A301" s="163">
        <v>232133</v>
      </c>
      <c r="B301" s="164" t="s">
        <v>141</v>
      </c>
      <c r="C301" s="165">
        <v>18000000</v>
      </c>
      <c r="D301" s="165">
        <v>0</v>
      </c>
      <c r="E301" s="165">
        <v>0</v>
      </c>
      <c r="F301" s="165">
        <v>0</v>
      </c>
      <c r="G301" s="165">
        <f t="shared" si="139"/>
        <v>18000000</v>
      </c>
      <c r="H301" s="165">
        <v>0</v>
      </c>
      <c r="I301" s="165">
        <v>0</v>
      </c>
      <c r="J301" s="165">
        <f t="shared" si="133"/>
        <v>18000000</v>
      </c>
      <c r="K301" s="165">
        <v>0</v>
      </c>
      <c r="L301" s="165">
        <v>0</v>
      </c>
      <c r="M301" s="165">
        <f t="shared" si="134"/>
        <v>0</v>
      </c>
      <c r="N301" s="165">
        <v>0</v>
      </c>
      <c r="O301" s="165">
        <f t="shared" si="135"/>
        <v>0</v>
      </c>
      <c r="P301" s="165">
        <f t="shared" si="136"/>
        <v>18000000</v>
      </c>
      <c r="Q301" s="165">
        <f t="shared" si="137"/>
        <v>0</v>
      </c>
      <c r="V301" s="149">
        <v>18000000</v>
      </c>
      <c r="X301" s="167"/>
      <c r="Y301" s="168"/>
      <c r="AA301" s="165"/>
      <c r="AC301" s="165"/>
      <c r="AE301" s="165"/>
    </row>
    <row r="302" spans="1:31" hidden="1" x14ac:dyDescent="0.25">
      <c r="A302" s="163">
        <v>232134</v>
      </c>
      <c r="B302" s="164" t="s">
        <v>142</v>
      </c>
      <c r="C302" s="165">
        <v>10000000</v>
      </c>
      <c r="D302" s="165">
        <v>0</v>
      </c>
      <c r="E302" s="165">
        <v>0</v>
      </c>
      <c r="F302" s="165">
        <v>0</v>
      </c>
      <c r="G302" s="165">
        <f t="shared" si="139"/>
        <v>10000000</v>
      </c>
      <c r="H302" s="165">
        <v>0</v>
      </c>
      <c r="I302" s="165">
        <v>0</v>
      </c>
      <c r="J302" s="165">
        <f t="shared" si="133"/>
        <v>10000000</v>
      </c>
      <c r="K302" s="165">
        <v>0</v>
      </c>
      <c r="L302" s="165">
        <v>0</v>
      </c>
      <c r="M302" s="165">
        <f t="shared" si="134"/>
        <v>0</v>
      </c>
      <c r="N302" s="165">
        <v>0</v>
      </c>
      <c r="O302" s="165">
        <f t="shared" si="135"/>
        <v>0</v>
      </c>
      <c r="P302" s="165">
        <f t="shared" si="136"/>
        <v>10000000</v>
      </c>
      <c r="Q302" s="165">
        <f t="shared" si="137"/>
        <v>0</v>
      </c>
      <c r="V302" s="149">
        <v>10000000</v>
      </c>
      <c r="X302" s="167"/>
      <c r="Y302" s="168"/>
      <c r="AA302" s="165"/>
      <c r="AC302" s="165"/>
      <c r="AE302" s="165"/>
    </row>
    <row r="303" spans="1:31" hidden="1" x14ac:dyDescent="0.25">
      <c r="A303" s="160">
        <v>23214</v>
      </c>
      <c r="B303" s="161" t="s">
        <v>143</v>
      </c>
      <c r="C303" s="162">
        <f>SUM(C304:C307)</f>
        <v>272994202</v>
      </c>
      <c r="D303" s="162">
        <f t="shared" ref="D303:G303" si="146">SUM(D304:D307)</f>
        <v>0</v>
      </c>
      <c r="E303" s="162">
        <f t="shared" si="146"/>
        <v>0</v>
      </c>
      <c r="F303" s="162">
        <f t="shared" si="146"/>
        <v>80000000</v>
      </c>
      <c r="G303" s="162">
        <f t="shared" si="146"/>
        <v>352994202</v>
      </c>
      <c r="H303" s="162">
        <v>93082233</v>
      </c>
      <c r="I303" s="162">
        <v>284319443</v>
      </c>
      <c r="J303" s="162">
        <f t="shared" si="133"/>
        <v>68674759</v>
      </c>
      <c r="K303" s="162">
        <v>0</v>
      </c>
      <c r="L303" s="162">
        <v>0</v>
      </c>
      <c r="M303" s="162">
        <f t="shared" si="134"/>
        <v>284319443</v>
      </c>
      <c r="N303" s="162">
        <v>284319443</v>
      </c>
      <c r="O303" s="162">
        <f t="shared" si="135"/>
        <v>0</v>
      </c>
      <c r="P303" s="162">
        <f t="shared" si="136"/>
        <v>68674759</v>
      </c>
      <c r="Q303" s="162">
        <f t="shared" si="137"/>
        <v>0</v>
      </c>
      <c r="V303" s="149">
        <v>68674759</v>
      </c>
      <c r="X303" s="167"/>
      <c r="Y303" s="168"/>
      <c r="AA303" s="162"/>
      <c r="AC303" s="162"/>
      <c r="AE303" s="162"/>
    </row>
    <row r="304" spans="1:31" hidden="1" x14ac:dyDescent="0.25">
      <c r="A304" s="163">
        <v>232141</v>
      </c>
      <c r="B304" s="164" t="s">
        <v>144</v>
      </c>
      <c r="C304" s="165">
        <v>100000000</v>
      </c>
      <c r="D304" s="165">
        <v>0</v>
      </c>
      <c r="E304" s="165">
        <v>0</v>
      </c>
      <c r="F304" s="165">
        <v>0</v>
      </c>
      <c r="G304" s="165">
        <f t="shared" si="139"/>
        <v>100000000</v>
      </c>
      <c r="H304" s="165">
        <v>0</v>
      </c>
      <c r="I304" s="165">
        <v>100000000</v>
      </c>
      <c r="J304" s="165">
        <f t="shared" si="133"/>
        <v>0</v>
      </c>
      <c r="K304" s="165">
        <v>0</v>
      </c>
      <c r="L304" s="165">
        <v>0</v>
      </c>
      <c r="M304" s="165">
        <f t="shared" si="134"/>
        <v>100000000</v>
      </c>
      <c r="N304" s="165">
        <v>100000000</v>
      </c>
      <c r="O304" s="165">
        <f t="shared" si="135"/>
        <v>0</v>
      </c>
      <c r="P304" s="165">
        <f t="shared" si="136"/>
        <v>0</v>
      </c>
      <c r="Q304" s="165">
        <f t="shared" si="137"/>
        <v>0</v>
      </c>
      <c r="V304" s="149">
        <v>0</v>
      </c>
      <c r="X304" s="167"/>
      <c r="Y304" s="168"/>
      <c r="AA304" s="165"/>
      <c r="AC304" s="165"/>
      <c r="AE304" s="165"/>
    </row>
    <row r="305" spans="1:31" hidden="1" x14ac:dyDescent="0.25">
      <c r="A305" s="163">
        <v>232142</v>
      </c>
      <c r="B305" s="164" t="s">
        <v>145</v>
      </c>
      <c r="C305" s="165">
        <v>100000000</v>
      </c>
      <c r="D305" s="165">
        <v>0</v>
      </c>
      <c r="E305" s="165">
        <v>0</v>
      </c>
      <c r="F305" s="165">
        <v>0</v>
      </c>
      <c r="G305" s="165">
        <f t="shared" si="139"/>
        <v>100000000</v>
      </c>
      <c r="H305" s="165">
        <v>93082233</v>
      </c>
      <c r="I305" s="165">
        <v>93082233</v>
      </c>
      <c r="J305" s="165">
        <f t="shared" si="133"/>
        <v>6917767</v>
      </c>
      <c r="K305" s="165">
        <v>0</v>
      </c>
      <c r="L305" s="165">
        <v>0</v>
      </c>
      <c r="M305" s="165">
        <f t="shared" si="134"/>
        <v>93082233</v>
      </c>
      <c r="N305" s="165">
        <v>93082233</v>
      </c>
      <c r="O305" s="165">
        <f t="shared" si="135"/>
        <v>0</v>
      </c>
      <c r="P305" s="165">
        <f t="shared" si="136"/>
        <v>6917767</v>
      </c>
      <c r="Q305" s="165">
        <f t="shared" si="137"/>
        <v>0</v>
      </c>
      <c r="V305" s="149">
        <v>6917767</v>
      </c>
      <c r="X305" s="167"/>
      <c r="Y305" s="168"/>
      <c r="AA305" s="165"/>
      <c r="AC305" s="165"/>
      <c r="AE305" s="165"/>
    </row>
    <row r="306" spans="1:31" s="100" customFormat="1" hidden="1" x14ac:dyDescent="0.25">
      <c r="A306" s="163">
        <v>232143</v>
      </c>
      <c r="B306" s="164" t="s">
        <v>146</v>
      </c>
      <c r="C306" s="165">
        <v>48000000</v>
      </c>
      <c r="D306" s="165">
        <v>0</v>
      </c>
      <c r="E306" s="165">
        <v>0</v>
      </c>
      <c r="F306" s="165">
        <v>80000000</v>
      </c>
      <c r="G306" s="165">
        <f t="shared" si="139"/>
        <v>128000000</v>
      </c>
      <c r="H306" s="165">
        <v>0</v>
      </c>
      <c r="I306" s="165">
        <v>91237210</v>
      </c>
      <c r="J306" s="165">
        <f t="shared" si="133"/>
        <v>36762790</v>
      </c>
      <c r="K306" s="165">
        <v>0</v>
      </c>
      <c r="L306" s="165">
        <v>0</v>
      </c>
      <c r="M306" s="165">
        <f t="shared" si="134"/>
        <v>91237210</v>
      </c>
      <c r="N306" s="165">
        <v>91237210</v>
      </c>
      <c r="O306" s="165">
        <f t="shared" si="135"/>
        <v>0</v>
      </c>
      <c r="P306" s="165">
        <f t="shared" si="136"/>
        <v>36762790</v>
      </c>
      <c r="Q306" s="165">
        <f t="shared" si="137"/>
        <v>0</v>
      </c>
      <c r="V306" s="149">
        <v>36762790</v>
      </c>
      <c r="X306" s="167"/>
      <c r="Y306" s="168"/>
      <c r="AA306" s="165"/>
      <c r="AC306" s="165"/>
      <c r="AE306" s="165"/>
    </row>
    <row r="307" spans="1:31" hidden="1" x14ac:dyDescent="0.25">
      <c r="A307" s="163">
        <v>232144</v>
      </c>
      <c r="B307" s="164" t="s">
        <v>147</v>
      </c>
      <c r="C307" s="165">
        <v>24994202</v>
      </c>
      <c r="D307" s="165">
        <v>0</v>
      </c>
      <c r="E307" s="165">
        <v>0</v>
      </c>
      <c r="F307" s="165">
        <v>0</v>
      </c>
      <c r="G307" s="165">
        <f t="shared" si="139"/>
        <v>24994202</v>
      </c>
      <c r="H307" s="165">
        <v>0</v>
      </c>
      <c r="I307" s="165">
        <v>0</v>
      </c>
      <c r="J307" s="165">
        <f t="shared" si="133"/>
        <v>24994202</v>
      </c>
      <c r="K307" s="165">
        <v>0</v>
      </c>
      <c r="L307" s="165">
        <v>0</v>
      </c>
      <c r="M307" s="165">
        <f t="shared" si="134"/>
        <v>0</v>
      </c>
      <c r="N307" s="165">
        <v>0</v>
      </c>
      <c r="O307" s="165">
        <f t="shared" si="135"/>
        <v>0</v>
      </c>
      <c r="P307" s="165">
        <f t="shared" si="136"/>
        <v>24994202</v>
      </c>
      <c r="Q307" s="165">
        <f t="shared" si="137"/>
        <v>0</v>
      </c>
      <c r="V307" s="149">
        <v>24994202</v>
      </c>
      <c r="X307" s="167"/>
      <c r="Y307" s="168"/>
      <c r="AA307" s="165"/>
      <c r="AC307" s="165"/>
      <c r="AE307" s="165"/>
    </row>
    <row r="308" spans="1:31" ht="45" hidden="1" x14ac:dyDescent="0.25">
      <c r="A308" s="160">
        <v>23215</v>
      </c>
      <c r="B308" s="161" t="s">
        <v>893</v>
      </c>
      <c r="C308" s="162">
        <f>SUM(C309:C311)</f>
        <v>0</v>
      </c>
      <c r="D308" s="162">
        <f t="shared" ref="D308:G308" si="147">SUM(D309:D311)</f>
        <v>1000000000</v>
      </c>
      <c r="E308" s="162">
        <f t="shared" si="147"/>
        <v>0</v>
      </c>
      <c r="F308" s="162">
        <f t="shared" si="147"/>
        <v>0</v>
      </c>
      <c r="G308" s="162">
        <f t="shared" si="147"/>
        <v>1000000000</v>
      </c>
      <c r="H308" s="162">
        <v>109090159.05</v>
      </c>
      <c r="I308" s="162">
        <v>580861415.04999995</v>
      </c>
      <c r="J308" s="162">
        <f t="shared" si="133"/>
        <v>419138584.95000005</v>
      </c>
      <c r="K308" s="162">
        <v>5350320</v>
      </c>
      <c r="L308" s="162">
        <v>369845094</v>
      </c>
      <c r="M308" s="162">
        <f t="shared" si="134"/>
        <v>211016321.04999995</v>
      </c>
      <c r="N308" s="162">
        <v>731166876</v>
      </c>
      <c r="O308" s="162">
        <f t="shared" si="135"/>
        <v>150305460.95000005</v>
      </c>
      <c r="P308" s="162">
        <f t="shared" si="136"/>
        <v>268833124</v>
      </c>
      <c r="Q308" s="162">
        <f t="shared" si="137"/>
        <v>369845094</v>
      </c>
      <c r="V308" s="149">
        <v>268833124</v>
      </c>
      <c r="X308" s="167"/>
      <c r="Y308" s="168"/>
      <c r="AA308" s="162"/>
      <c r="AC308" s="162"/>
      <c r="AE308" s="162"/>
    </row>
    <row r="309" spans="1:31" s="100" customFormat="1" hidden="1" x14ac:dyDescent="0.25">
      <c r="A309" s="163">
        <v>2321501</v>
      </c>
      <c r="B309" s="164" t="s">
        <v>894</v>
      </c>
      <c r="C309" s="165"/>
      <c r="D309" s="165">
        <v>800000000</v>
      </c>
      <c r="E309" s="165">
        <v>0</v>
      </c>
      <c r="F309" s="165">
        <v>0</v>
      </c>
      <c r="G309" s="165">
        <f t="shared" si="139"/>
        <v>800000000</v>
      </c>
      <c r="H309" s="165">
        <v>91526659.049999997</v>
      </c>
      <c r="I309" s="165">
        <v>545463515.04999995</v>
      </c>
      <c r="J309" s="165">
        <f t="shared" si="133"/>
        <v>254536484.95000005</v>
      </c>
      <c r="K309" s="165">
        <v>0</v>
      </c>
      <c r="L309" s="165">
        <v>364494774</v>
      </c>
      <c r="M309" s="165">
        <f t="shared" si="134"/>
        <v>180968741.04999995</v>
      </c>
      <c r="N309" s="165">
        <v>691166876</v>
      </c>
      <c r="O309" s="165">
        <f t="shared" si="135"/>
        <v>145703360.95000005</v>
      </c>
      <c r="P309" s="165">
        <f t="shared" si="136"/>
        <v>108833124</v>
      </c>
      <c r="Q309" s="165">
        <f t="shared" si="137"/>
        <v>364494774</v>
      </c>
      <c r="V309" s="149">
        <v>108833124</v>
      </c>
      <c r="X309" s="167"/>
      <c r="Y309" s="168"/>
      <c r="AA309" s="165"/>
      <c r="AC309" s="165"/>
      <c r="AE309" s="165"/>
    </row>
    <row r="310" spans="1:31" hidden="1" x14ac:dyDescent="0.25">
      <c r="A310" s="163">
        <v>2321502</v>
      </c>
      <c r="B310" s="164" t="s">
        <v>895</v>
      </c>
      <c r="C310" s="165"/>
      <c r="D310" s="165">
        <v>100000000</v>
      </c>
      <c r="E310" s="165">
        <v>0</v>
      </c>
      <c r="F310" s="165">
        <v>0</v>
      </c>
      <c r="G310" s="165">
        <f t="shared" si="139"/>
        <v>100000000</v>
      </c>
      <c r="H310" s="165">
        <v>17563500</v>
      </c>
      <c r="I310" s="165">
        <v>35397900</v>
      </c>
      <c r="J310" s="165">
        <f t="shared" si="133"/>
        <v>64602100</v>
      </c>
      <c r="K310" s="165">
        <v>5350320</v>
      </c>
      <c r="L310" s="165">
        <v>5350320</v>
      </c>
      <c r="M310" s="165">
        <f t="shared" si="134"/>
        <v>30047580</v>
      </c>
      <c r="N310" s="165">
        <v>40000000</v>
      </c>
      <c r="O310" s="165">
        <f t="shared" si="135"/>
        <v>4602100</v>
      </c>
      <c r="P310" s="165">
        <f t="shared" si="136"/>
        <v>60000000</v>
      </c>
      <c r="Q310" s="165">
        <f t="shared" si="137"/>
        <v>5350320</v>
      </c>
      <c r="V310" s="149">
        <v>60000000</v>
      </c>
      <c r="X310" s="167"/>
      <c r="Y310" s="168"/>
      <c r="AA310" s="165"/>
      <c r="AC310" s="165"/>
      <c r="AE310" s="165"/>
    </row>
    <row r="311" spans="1:31" s="100" customFormat="1" ht="30" hidden="1" x14ac:dyDescent="0.25">
      <c r="A311" s="163">
        <v>2321503</v>
      </c>
      <c r="B311" s="164" t="s">
        <v>896</v>
      </c>
      <c r="C311" s="165"/>
      <c r="D311" s="165">
        <v>100000000</v>
      </c>
      <c r="E311" s="165">
        <v>0</v>
      </c>
      <c r="F311" s="165">
        <v>0</v>
      </c>
      <c r="G311" s="165">
        <f t="shared" si="139"/>
        <v>100000000</v>
      </c>
      <c r="H311" s="165">
        <v>0</v>
      </c>
      <c r="I311" s="165">
        <v>0</v>
      </c>
      <c r="J311" s="165">
        <f t="shared" si="133"/>
        <v>100000000</v>
      </c>
      <c r="K311" s="165">
        <v>0</v>
      </c>
      <c r="L311" s="165">
        <v>0</v>
      </c>
      <c r="M311" s="165">
        <f t="shared" si="134"/>
        <v>0</v>
      </c>
      <c r="N311" s="165">
        <v>0</v>
      </c>
      <c r="O311" s="165">
        <f t="shared" si="135"/>
        <v>0</v>
      </c>
      <c r="P311" s="165">
        <f t="shared" si="136"/>
        <v>100000000</v>
      </c>
      <c r="Q311" s="165">
        <f t="shared" si="137"/>
        <v>0</v>
      </c>
      <c r="V311" s="149">
        <v>100000000</v>
      </c>
      <c r="X311" s="167"/>
      <c r="Y311" s="168"/>
      <c r="AA311" s="165"/>
      <c r="AC311" s="165"/>
      <c r="AE311" s="165"/>
    </row>
    <row r="312" spans="1:31" s="100" customFormat="1" hidden="1" x14ac:dyDescent="0.25">
      <c r="A312" s="151">
        <v>2322</v>
      </c>
      <c r="B312" s="152" t="s">
        <v>148</v>
      </c>
      <c r="C312" s="153">
        <f>+C313+C314</f>
        <v>120000000</v>
      </c>
      <c r="D312" s="153">
        <f t="shared" ref="D312:G312" si="148">+D313+D314</f>
        <v>0</v>
      </c>
      <c r="E312" s="153">
        <f t="shared" si="148"/>
        <v>0</v>
      </c>
      <c r="F312" s="153">
        <f t="shared" si="148"/>
        <v>0</v>
      </c>
      <c r="G312" s="153">
        <f t="shared" si="148"/>
        <v>120000000</v>
      </c>
      <c r="H312" s="153">
        <v>434990</v>
      </c>
      <c r="I312" s="153">
        <v>3537911</v>
      </c>
      <c r="J312" s="153">
        <f t="shared" si="133"/>
        <v>116462089</v>
      </c>
      <c r="K312" s="153">
        <v>0</v>
      </c>
      <c r="L312" s="153">
        <v>333133</v>
      </c>
      <c r="M312" s="153">
        <f t="shared" si="134"/>
        <v>3204778</v>
      </c>
      <c r="N312" s="153">
        <v>29830269</v>
      </c>
      <c r="O312" s="153">
        <f t="shared" si="135"/>
        <v>26292358</v>
      </c>
      <c r="P312" s="153">
        <f t="shared" si="136"/>
        <v>90169731</v>
      </c>
      <c r="Q312" s="153">
        <f t="shared" si="137"/>
        <v>333133</v>
      </c>
      <c r="V312" s="149">
        <v>90169731</v>
      </c>
      <c r="X312" s="167"/>
      <c r="Y312" s="168"/>
      <c r="AA312" s="153"/>
      <c r="AC312" s="153"/>
      <c r="AE312" s="153"/>
    </row>
    <row r="313" spans="1:31" s="100" customFormat="1" hidden="1" x14ac:dyDescent="0.25">
      <c r="A313" s="163">
        <v>23221</v>
      </c>
      <c r="B313" s="164" t="s">
        <v>626</v>
      </c>
      <c r="C313" s="165">
        <v>80000000</v>
      </c>
      <c r="D313" s="165">
        <v>0</v>
      </c>
      <c r="E313" s="165">
        <v>0</v>
      </c>
      <c r="F313" s="165">
        <v>0</v>
      </c>
      <c r="G313" s="165">
        <f t="shared" si="139"/>
        <v>80000000</v>
      </c>
      <c r="H313" s="165">
        <v>434990</v>
      </c>
      <c r="I313" s="165">
        <v>3537911</v>
      </c>
      <c r="J313" s="165">
        <f t="shared" si="133"/>
        <v>76462089</v>
      </c>
      <c r="K313" s="165">
        <v>0</v>
      </c>
      <c r="L313" s="165">
        <v>333133</v>
      </c>
      <c r="M313" s="165">
        <f t="shared" si="134"/>
        <v>3204778</v>
      </c>
      <c r="N313" s="165">
        <v>28630269</v>
      </c>
      <c r="O313" s="165">
        <f t="shared" si="135"/>
        <v>25092358</v>
      </c>
      <c r="P313" s="165">
        <f t="shared" si="136"/>
        <v>51369731</v>
      </c>
      <c r="Q313" s="165">
        <f t="shared" si="137"/>
        <v>333133</v>
      </c>
      <c r="V313" s="149">
        <v>51369731</v>
      </c>
      <c r="X313" s="167"/>
      <c r="Y313" s="168"/>
      <c r="AA313" s="165"/>
      <c r="AC313" s="165"/>
      <c r="AE313" s="165"/>
    </row>
    <row r="314" spans="1:31" s="100" customFormat="1" hidden="1" x14ac:dyDescent="0.25">
      <c r="A314" s="163">
        <v>23224</v>
      </c>
      <c r="B314" s="164" t="s">
        <v>650</v>
      </c>
      <c r="C314" s="165">
        <v>40000000</v>
      </c>
      <c r="D314" s="165">
        <v>0</v>
      </c>
      <c r="E314" s="165">
        <v>0</v>
      </c>
      <c r="F314" s="165">
        <v>0</v>
      </c>
      <c r="G314" s="165">
        <f t="shared" si="139"/>
        <v>40000000</v>
      </c>
      <c r="H314" s="165">
        <v>0</v>
      </c>
      <c r="I314" s="165">
        <v>0</v>
      </c>
      <c r="J314" s="165">
        <f t="shared" si="133"/>
        <v>40000000</v>
      </c>
      <c r="K314" s="165">
        <v>0</v>
      </c>
      <c r="L314" s="165">
        <v>0</v>
      </c>
      <c r="M314" s="165">
        <f t="shared" si="134"/>
        <v>0</v>
      </c>
      <c r="N314" s="165">
        <v>1200000</v>
      </c>
      <c r="O314" s="165">
        <f t="shared" si="135"/>
        <v>1200000</v>
      </c>
      <c r="P314" s="165">
        <f t="shared" si="136"/>
        <v>38800000</v>
      </c>
      <c r="Q314" s="165">
        <f t="shared" si="137"/>
        <v>0</v>
      </c>
      <c r="V314" s="149">
        <v>38800000</v>
      </c>
      <c r="X314" s="167"/>
      <c r="Y314" s="168"/>
      <c r="AA314" s="165"/>
      <c r="AC314" s="165"/>
      <c r="AE314" s="165"/>
    </row>
    <row r="315" spans="1:31" hidden="1" x14ac:dyDescent="0.25">
      <c r="A315" s="160">
        <v>2323</v>
      </c>
      <c r="B315" s="161" t="s">
        <v>149</v>
      </c>
      <c r="C315" s="162">
        <f>+C316</f>
        <v>100000000</v>
      </c>
      <c r="D315" s="162">
        <f t="shared" ref="D315:G315" si="149">+D316</f>
        <v>0</v>
      </c>
      <c r="E315" s="162">
        <f t="shared" si="149"/>
        <v>0</v>
      </c>
      <c r="F315" s="162">
        <f t="shared" si="149"/>
        <v>0</v>
      </c>
      <c r="G315" s="162">
        <f t="shared" si="149"/>
        <v>100000000</v>
      </c>
      <c r="H315" s="162">
        <v>0</v>
      </c>
      <c r="I315" s="162">
        <v>0</v>
      </c>
      <c r="J315" s="162">
        <f t="shared" si="133"/>
        <v>100000000</v>
      </c>
      <c r="K315" s="162">
        <v>0</v>
      </c>
      <c r="L315" s="162">
        <v>0</v>
      </c>
      <c r="M315" s="162">
        <f t="shared" si="134"/>
        <v>0</v>
      </c>
      <c r="N315" s="162">
        <v>0</v>
      </c>
      <c r="O315" s="162">
        <f t="shared" si="135"/>
        <v>0</v>
      </c>
      <c r="P315" s="162">
        <f t="shared" si="136"/>
        <v>100000000</v>
      </c>
      <c r="Q315" s="162">
        <f t="shared" si="137"/>
        <v>0</v>
      </c>
      <c r="V315" s="149">
        <v>100000000</v>
      </c>
      <c r="X315" s="167"/>
      <c r="Y315" s="168"/>
      <c r="AA315" s="162"/>
      <c r="AC315" s="162"/>
      <c r="AE315" s="162"/>
    </row>
    <row r="316" spans="1:31" s="100" customFormat="1" ht="30" hidden="1" x14ac:dyDescent="0.25">
      <c r="A316" s="163">
        <v>23231</v>
      </c>
      <c r="B316" s="164" t="s">
        <v>627</v>
      </c>
      <c r="C316" s="165">
        <v>100000000</v>
      </c>
      <c r="D316" s="165">
        <v>0</v>
      </c>
      <c r="E316" s="165">
        <v>0</v>
      </c>
      <c r="F316" s="165">
        <v>0</v>
      </c>
      <c r="G316" s="165">
        <f t="shared" si="139"/>
        <v>100000000</v>
      </c>
      <c r="H316" s="165">
        <v>0</v>
      </c>
      <c r="I316" s="165">
        <v>0</v>
      </c>
      <c r="J316" s="165">
        <f t="shared" si="133"/>
        <v>100000000</v>
      </c>
      <c r="K316" s="165">
        <v>0</v>
      </c>
      <c r="L316" s="165">
        <v>0</v>
      </c>
      <c r="M316" s="165">
        <f t="shared" si="134"/>
        <v>0</v>
      </c>
      <c r="N316" s="165">
        <v>0</v>
      </c>
      <c r="O316" s="165">
        <f t="shared" si="135"/>
        <v>0</v>
      </c>
      <c r="P316" s="165">
        <f t="shared" si="136"/>
        <v>100000000</v>
      </c>
      <c r="Q316" s="165">
        <f t="shared" si="137"/>
        <v>0</v>
      </c>
      <c r="V316" s="149">
        <v>100000000</v>
      </c>
      <c r="X316" s="167"/>
      <c r="Y316" s="168"/>
      <c r="AA316" s="165"/>
      <c r="AC316" s="165"/>
      <c r="AE316" s="165"/>
    </row>
    <row r="317" spans="1:31" s="100" customFormat="1" hidden="1" x14ac:dyDescent="0.25">
      <c r="A317" s="151">
        <v>233</v>
      </c>
      <c r="B317" s="152" t="s">
        <v>150</v>
      </c>
      <c r="C317" s="153">
        <f>+C318+C320</f>
        <v>94200000</v>
      </c>
      <c r="D317" s="153">
        <f t="shared" ref="D317:G317" si="150">+D318+D320</f>
        <v>0</v>
      </c>
      <c r="E317" s="153">
        <f t="shared" si="150"/>
        <v>0</v>
      </c>
      <c r="F317" s="153">
        <f t="shared" si="150"/>
        <v>0</v>
      </c>
      <c r="G317" s="153">
        <f t="shared" si="150"/>
        <v>94200000</v>
      </c>
      <c r="H317" s="153">
        <v>0</v>
      </c>
      <c r="I317" s="153">
        <v>0</v>
      </c>
      <c r="J317" s="153">
        <f t="shared" si="133"/>
        <v>94200000</v>
      </c>
      <c r="K317" s="153">
        <v>0</v>
      </c>
      <c r="L317" s="153">
        <v>0</v>
      </c>
      <c r="M317" s="153">
        <f t="shared" si="134"/>
        <v>0</v>
      </c>
      <c r="N317" s="153">
        <v>0</v>
      </c>
      <c r="O317" s="153">
        <f t="shared" si="135"/>
        <v>0</v>
      </c>
      <c r="P317" s="153">
        <f t="shared" si="136"/>
        <v>94200000</v>
      </c>
      <c r="Q317" s="153">
        <f t="shared" si="137"/>
        <v>0</v>
      </c>
      <c r="V317" s="149">
        <v>94200000</v>
      </c>
      <c r="X317" s="167"/>
      <c r="Y317" s="168"/>
      <c r="AA317" s="153"/>
      <c r="AC317" s="153"/>
      <c r="AE317" s="153"/>
    </row>
    <row r="318" spans="1:31" ht="30" hidden="1" x14ac:dyDescent="0.25">
      <c r="A318" s="151">
        <v>2331</v>
      </c>
      <c r="B318" s="152" t="s">
        <v>151</v>
      </c>
      <c r="C318" s="153">
        <f>+C319</f>
        <v>80000000</v>
      </c>
      <c r="D318" s="153">
        <f t="shared" ref="D318:G318" si="151">+D319</f>
        <v>0</v>
      </c>
      <c r="E318" s="153">
        <f t="shared" si="151"/>
        <v>0</v>
      </c>
      <c r="F318" s="153">
        <f t="shared" si="151"/>
        <v>0</v>
      </c>
      <c r="G318" s="153">
        <f t="shared" si="151"/>
        <v>80000000</v>
      </c>
      <c r="H318" s="153">
        <v>0</v>
      </c>
      <c r="I318" s="153">
        <v>0</v>
      </c>
      <c r="J318" s="153">
        <f t="shared" si="133"/>
        <v>80000000</v>
      </c>
      <c r="K318" s="153">
        <v>0</v>
      </c>
      <c r="L318" s="153">
        <v>0</v>
      </c>
      <c r="M318" s="153">
        <f t="shared" si="134"/>
        <v>0</v>
      </c>
      <c r="N318" s="153">
        <v>0</v>
      </c>
      <c r="O318" s="153">
        <f t="shared" si="135"/>
        <v>0</v>
      </c>
      <c r="P318" s="153">
        <f t="shared" si="136"/>
        <v>80000000</v>
      </c>
      <c r="Q318" s="153">
        <f t="shared" si="137"/>
        <v>0</v>
      </c>
      <c r="V318" s="149">
        <v>80000000</v>
      </c>
      <c r="X318" s="167"/>
      <c r="Y318" s="168"/>
      <c r="AA318" s="153"/>
      <c r="AC318" s="153"/>
      <c r="AE318" s="153"/>
    </row>
    <row r="319" spans="1:31" hidden="1" x14ac:dyDescent="0.25">
      <c r="A319" s="160">
        <v>23311</v>
      </c>
      <c r="B319" s="161" t="s">
        <v>152</v>
      </c>
      <c r="C319" s="162">
        <v>80000000</v>
      </c>
      <c r="D319" s="162"/>
      <c r="E319" s="162"/>
      <c r="F319" s="162"/>
      <c r="G319" s="162">
        <v>80000000</v>
      </c>
      <c r="H319" s="162">
        <v>0</v>
      </c>
      <c r="I319" s="162">
        <v>0</v>
      </c>
      <c r="J319" s="162">
        <f t="shared" si="133"/>
        <v>80000000</v>
      </c>
      <c r="K319" s="162">
        <v>0</v>
      </c>
      <c r="L319" s="162">
        <v>0</v>
      </c>
      <c r="M319" s="162">
        <f t="shared" si="134"/>
        <v>0</v>
      </c>
      <c r="N319" s="162">
        <v>0</v>
      </c>
      <c r="O319" s="162">
        <f t="shared" si="135"/>
        <v>0</v>
      </c>
      <c r="P319" s="162">
        <f t="shared" si="136"/>
        <v>80000000</v>
      </c>
      <c r="Q319" s="162">
        <f t="shared" si="137"/>
        <v>0</v>
      </c>
      <c r="V319" s="149">
        <v>80000000</v>
      </c>
      <c r="X319" s="167"/>
      <c r="Y319" s="168"/>
      <c r="AA319" s="162"/>
      <c r="AC319" s="162"/>
      <c r="AE319" s="162"/>
    </row>
    <row r="320" spans="1:31" hidden="1" x14ac:dyDescent="0.25">
      <c r="A320" s="151">
        <v>2332</v>
      </c>
      <c r="B320" s="152" t="s">
        <v>153</v>
      </c>
      <c r="C320" s="153">
        <f>+C321</f>
        <v>14200000</v>
      </c>
      <c r="D320" s="153">
        <f t="shared" ref="D320:G320" si="152">+D321</f>
        <v>0</v>
      </c>
      <c r="E320" s="153">
        <f t="shared" si="152"/>
        <v>0</v>
      </c>
      <c r="F320" s="153">
        <f t="shared" si="152"/>
        <v>0</v>
      </c>
      <c r="G320" s="153">
        <f t="shared" si="152"/>
        <v>14200000</v>
      </c>
      <c r="H320" s="153">
        <v>0</v>
      </c>
      <c r="I320" s="153">
        <v>0</v>
      </c>
      <c r="J320" s="153">
        <f t="shared" si="133"/>
        <v>14200000</v>
      </c>
      <c r="K320" s="153">
        <v>0</v>
      </c>
      <c r="L320" s="153">
        <v>0</v>
      </c>
      <c r="M320" s="153">
        <f t="shared" si="134"/>
        <v>0</v>
      </c>
      <c r="N320" s="153">
        <v>0</v>
      </c>
      <c r="O320" s="153">
        <f t="shared" si="135"/>
        <v>0</v>
      </c>
      <c r="P320" s="153">
        <f t="shared" si="136"/>
        <v>14200000</v>
      </c>
      <c r="Q320" s="153">
        <f t="shared" si="137"/>
        <v>0</v>
      </c>
      <c r="V320" s="149">
        <v>14200000</v>
      </c>
      <c r="X320" s="167"/>
      <c r="Y320" s="168"/>
      <c r="AA320" s="153"/>
      <c r="AC320" s="153"/>
      <c r="AE320" s="153"/>
    </row>
    <row r="321" spans="1:31" ht="30" hidden="1" x14ac:dyDescent="0.25">
      <c r="A321" s="163">
        <v>23323</v>
      </c>
      <c r="B321" s="164" t="s">
        <v>628</v>
      </c>
      <c r="C321" s="165">
        <v>14200000</v>
      </c>
      <c r="D321" s="165">
        <v>0</v>
      </c>
      <c r="E321" s="165">
        <v>0</v>
      </c>
      <c r="F321" s="165">
        <v>0</v>
      </c>
      <c r="G321" s="165">
        <f t="shared" si="139"/>
        <v>14200000</v>
      </c>
      <c r="H321" s="165">
        <v>0</v>
      </c>
      <c r="I321" s="165">
        <v>0</v>
      </c>
      <c r="J321" s="165">
        <f t="shared" si="133"/>
        <v>14200000</v>
      </c>
      <c r="K321" s="165">
        <v>0</v>
      </c>
      <c r="L321" s="165">
        <v>0</v>
      </c>
      <c r="M321" s="165">
        <f t="shared" si="134"/>
        <v>0</v>
      </c>
      <c r="N321" s="165">
        <v>0</v>
      </c>
      <c r="O321" s="165">
        <f t="shared" si="135"/>
        <v>0</v>
      </c>
      <c r="P321" s="165">
        <f t="shared" si="136"/>
        <v>14200000</v>
      </c>
      <c r="Q321" s="165">
        <f t="shared" si="137"/>
        <v>0</v>
      </c>
      <c r="V321" s="149">
        <v>14200000</v>
      </c>
      <c r="X321" s="167"/>
      <c r="Y321" s="168"/>
      <c r="AA321" s="165"/>
      <c r="AC321" s="165"/>
      <c r="AE321" s="165"/>
    </row>
    <row r="322" spans="1:31" s="100" customFormat="1" ht="30" hidden="1" x14ac:dyDescent="0.25">
      <c r="A322" s="151">
        <v>234</v>
      </c>
      <c r="B322" s="152" t="s">
        <v>154</v>
      </c>
      <c r="C322" s="153">
        <f>+C323+C332</f>
        <v>2119805038</v>
      </c>
      <c r="D322" s="153">
        <f>+D323+D332</f>
        <v>0</v>
      </c>
      <c r="E322" s="153">
        <f>+E323+E332</f>
        <v>0</v>
      </c>
      <c r="F322" s="153">
        <f>+F323+F332</f>
        <v>343492005.03999996</v>
      </c>
      <c r="G322" s="153">
        <f>+G323+G332</f>
        <v>2463297043.04</v>
      </c>
      <c r="H322" s="153">
        <v>243237164</v>
      </c>
      <c r="I322" s="153">
        <v>454170403</v>
      </c>
      <c r="J322" s="153">
        <f t="shared" si="133"/>
        <v>2009126640.04</v>
      </c>
      <c r="K322" s="153">
        <v>18058128.640000001</v>
      </c>
      <c r="L322" s="153">
        <v>48225018.640000001</v>
      </c>
      <c r="M322" s="153">
        <f t="shared" si="134"/>
        <v>405945384.36000001</v>
      </c>
      <c r="N322" s="153">
        <v>500954991.03999996</v>
      </c>
      <c r="O322" s="153">
        <f t="shared" si="135"/>
        <v>46784588.039999962</v>
      </c>
      <c r="P322" s="153">
        <f t="shared" si="136"/>
        <v>1962342052</v>
      </c>
      <c r="Q322" s="153">
        <f t="shared" si="137"/>
        <v>48225018.640000001</v>
      </c>
      <c r="V322" s="149">
        <v>1962342052</v>
      </c>
      <c r="X322" s="167"/>
      <c r="Y322" s="168"/>
      <c r="AA322" s="153"/>
      <c r="AC322" s="153"/>
      <c r="AE322" s="153"/>
    </row>
    <row r="323" spans="1:31" s="100" customFormat="1" ht="30" hidden="1" x14ac:dyDescent="0.25">
      <c r="A323" s="160">
        <v>2341</v>
      </c>
      <c r="B323" s="161" t="s">
        <v>155</v>
      </c>
      <c r="C323" s="162">
        <f t="shared" ref="C323:E323" si="153">+C324+C325+C326+C327+C328+C329+C330+C331</f>
        <v>753995798</v>
      </c>
      <c r="D323" s="162">
        <f t="shared" si="153"/>
        <v>0</v>
      </c>
      <c r="E323" s="162">
        <f t="shared" si="153"/>
        <v>0</v>
      </c>
      <c r="F323" s="162">
        <f>+F324+F325+F326+F327+F328+F329+F330+F331</f>
        <v>343492005.03999996</v>
      </c>
      <c r="G323" s="162">
        <f t="shared" ref="G323" si="154">+G324+G325+G326+G327+G328+G329+G330+G331</f>
        <v>1097487803.04</v>
      </c>
      <c r="H323" s="162">
        <v>72632860</v>
      </c>
      <c r="I323" s="162">
        <v>173566099</v>
      </c>
      <c r="J323" s="162">
        <f t="shared" si="133"/>
        <v>923921704.03999996</v>
      </c>
      <c r="K323" s="162">
        <v>18058128.640000001</v>
      </c>
      <c r="L323" s="162">
        <v>48225018.640000001</v>
      </c>
      <c r="M323" s="162">
        <f t="shared" si="134"/>
        <v>125341080.36</v>
      </c>
      <c r="N323" s="162">
        <v>219487244.03999999</v>
      </c>
      <c r="O323" s="162">
        <f t="shared" si="135"/>
        <v>45921145.039999992</v>
      </c>
      <c r="P323" s="162">
        <f t="shared" si="136"/>
        <v>878000559</v>
      </c>
      <c r="Q323" s="162">
        <f t="shared" si="137"/>
        <v>48225018.640000001</v>
      </c>
      <c r="V323" s="149">
        <v>559511594</v>
      </c>
      <c r="X323" s="167"/>
      <c r="Y323" s="168"/>
      <c r="AA323" s="162"/>
      <c r="AC323" s="162"/>
      <c r="AE323" s="162"/>
    </row>
    <row r="324" spans="1:31" s="100" customFormat="1" hidden="1" x14ac:dyDescent="0.25">
      <c r="A324" s="163">
        <v>23411</v>
      </c>
      <c r="B324" s="164" t="s">
        <v>629</v>
      </c>
      <c r="C324" s="165">
        <v>15000000</v>
      </c>
      <c r="D324" s="165">
        <v>0</v>
      </c>
      <c r="E324" s="165">
        <v>0</v>
      </c>
      <c r="F324" s="165">
        <v>0</v>
      </c>
      <c r="G324" s="165">
        <f t="shared" si="139"/>
        <v>15000000</v>
      </c>
      <c r="H324" s="165">
        <v>0</v>
      </c>
      <c r="I324" s="165">
        <v>0</v>
      </c>
      <c r="J324" s="165">
        <f t="shared" si="133"/>
        <v>15000000</v>
      </c>
      <c r="K324" s="165">
        <v>0</v>
      </c>
      <c r="L324" s="165">
        <v>0</v>
      </c>
      <c r="M324" s="165">
        <f t="shared" si="134"/>
        <v>0</v>
      </c>
      <c r="N324" s="165">
        <v>0</v>
      </c>
      <c r="O324" s="165">
        <f t="shared" si="135"/>
        <v>0</v>
      </c>
      <c r="P324" s="165">
        <f t="shared" si="136"/>
        <v>15000000</v>
      </c>
      <c r="Q324" s="165">
        <f t="shared" si="137"/>
        <v>0</v>
      </c>
      <c r="V324" s="149">
        <v>15000000</v>
      </c>
      <c r="X324" s="167"/>
      <c r="Y324" s="168"/>
      <c r="AA324" s="165"/>
      <c r="AC324" s="165"/>
      <c r="AE324" s="165"/>
    </row>
    <row r="325" spans="1:31" s="100" customFormat="1" hidden="1" x14ac:dyDescent="0.25">
      <c r="A325" s="163">
        <v>23412</v>
      </c>
      <c r="B325" s="164" t="s">
        <v>630</v>
      </c>
      <c r="C325" s="165">
        <v>180000000</v>
      </c>
      <c r="D325" s="165">
        <v>0</v>
      </c>
      <c r="E325" s="165">
        <v>0</v>
      </c>
      <c r="F325" s="165">
        <v>0</v>
      </c>
      <c r="G325" s="165">
        <f t="shared" si="139"/>
        <v>180000000</v>
      </c>
      <c r="H325" s="165">
        <v>65433360</v>
      </c>
      <c r="I325" s="165">
        <v>149782395</v>
      </c>
      <c r="J325" s="165">
        <f t="shared" si="133"/>
        <v>30217605</v>
      </c>
      <c r="K325" s="165">
        <v>15958128.640000001</v>
      </c>
      <c r="L325" s="165">
        <v>45351518.640000001</v>
      </c>
      <c r="M325" s="165">
        <f t="shared" si="134"/>
        <v>104430876.36</v>
      </c>
      <c r="N325" s="165">
        <v>180000000</v>
      </c>
      <c r="O325" s="165">
        <f t="shared" si="135"/>
        <v>30217605</v>
      </c>
      <c r="P325" s="165">
        <f t="shared" si="136"/>
        <v>0</v>
      </c>
      <c r="Q325" s="165">
        <f t="shared" si="137"/>
        <v>45351518.640000001</v>
      </c>
      <c r="V325" s="149">
        <v>0</v>
      </c>
      <c r="X325" s="167"/>
      <c r="Y325" s="168"/>
      <c r="AA325" s="165"/>
      <c r="AC325" s="165"/>
      <c r="AE325" s="165"/>
    </row>
    <row r="326" spans="1:31" hidden="1" x14ac:dyDescent="0.25">
      <c r="A326" s="163">
        <v>23413</v>
      </c>
      <c r="B326" s="164" t="s">
        <v>631</v>
      </c>
      <c r="C326" s="165">
        <v>533995798</v>
      </c>
      <c r="D326" s="165">
        <v>0</v>
      </c>
      <c r="E326" s="165">
        <v>0</v>
      </c>
      <c r="F326" s="165">
        <v>0</v>
      </c>
      <c r="G326" s="165">
        <f t="shared" si="139"/>
        <v>533995798</v>
      </c>
      <c r="H326" s="165">
        <v>0</v>
      </c>
      <c r="I326" s="165">
        <v>0</v>
      </c>
      <c r="J326" s="165">
        <f t="shared" si="133"/>
        <v>533995798</v>
      </c>
      <c r="K326" s="165">
        <v>0</v>
      </c>
      <c r="L326" s="165">
        <v>0</v>
      </c>
      <c r="M326" s="165">
        <f t="shared" si="134"/>
        <v>0</v>
      </c>
      <c r="N326" s="165">
        <v>0</v>
      </c>
      <c r="O326" s="165">
        <f t="shared" si="135"/>
        <v>0</v>
      </c>
      <c r="P326" s="165">
        <f t="shared" si="136"/>
        <v>533995798</v>
      </c>
      <c r="Q326" s="165">
        <f t="shared" si="137"/>
        <v>0</v>
      </c>
      <c r="V326" s="149">
        <v>533995798</v>
      </c>
      <c r="X326" s="167"/>
      <c r="Y326" s="168"/>
      <c r="AA326" s="165"/>
      <c r="AC326" s="165"/>
      <c r="AE326" s="165"/>
    </row>
    <row r="327" spans="1:31" hidden="1" x14ac:dyDescent="0.25">
      <c r="A327" s="163">
        <v>23415</v>
      </c>
      <c r="B327" s="164" t="s">
        <v>632</v>
      </c>
      <c r="C327" s="165">
        <v>25000000</v>
      </c>
      <c r="D327" s="165">
        <v>0</v>
      </c>
      <c r="E327" s="165">
        <v>0</v>
      </c>
      <c r="F327" s="165">
        <v>0</v>
      </c>
      <c r="G327" s="165">
        <f t="shared" si="139"/>
        <v>25000000</v>
      </c>
      <c r="H327" s="165">
        <v>0</v>
      </c>
      <c r="I327" s="165">
        <v>14484204</v>
      </c>
      <c r="J327" s="165">
        <f t="shared" ref="J327:J390" si="155">+G327-I327</f>
        <v>10515796</v>
      </c>
      <c r="K327" s="165">
        <v>0</v>
      </c>
      <c r="L327" s="165">
        <v>773500</v>
      </c>
      <c r="M327" s="165">
        <f t="shared" ref="M327:M390" si="156">+I327-L327</f>
        <v>13710704</v>
      </c>
      <c r="N327" s="165">
        <v>14484204</v>
      </c>
      <c r="O327" s="165">
        <f t="shared" ref="O327:O390" si="157">+N327-I327</f>
        <v>0</v>
      </c>
      <c r="P327" s="165">
        <f t="shared" ref="P327:P390" si="158">+G327-N327</f>
        <v>10515796</v>
      </c>
      <c r="Q327" s="165">
        <f t="shared" ref="Q327:Q390" si="159">+L327</f>
        <v>773500</v>
      </c>
      <c r="V327" s="149">
        <v>10515796</v>
      </c>
      <c r="X327" s="167"/>
      <c r="Y327" s="168"/>
      <c r="AA327" s="165"/>
      <c r="AC327" s="165"/>
      <c r="AE327" s="165"/>
    </row>
    <row r="328" spans="1:31" ht="30" hidden="1" x14ac:dyDescent="0.25">
      <c r="A328" s="163">
        <v>23416</v>
      </c>
      <c r="B328" s="164" t="s">
        <v>897</v>
      </c>
      <c r="C328" s="165"/>
      <c r="D328" s="165"/>
      <c r="E328" s="165"/>
      <c r="F328" s="165">
        <v>25003040.039999999</v>
      </c>
      <c r="G328" s="165">
        <f t="shared" si="139"/>
        <v>25003040.039999999</v>
      </c>
      <c r="H328" s="165">
        <v>7199500</v>
      </c>
      <c r="I328" s="165">
        <v>9299500</v>
      </c>
      <c r="J328" s="165">
        <f t="shared" si="155"/>
        <v>15703540.039999999</v>
      </c>
      <c r="K328" s="165">
        <v>2100000</v>
      </c>
      <c r="L328" s="165">
        <v>2100000</v>
      </c>
      <c r="M328" s="165">
        <f t="shared" si="156"/>
        <v>7199500</v>
      </c>
      <c r="N328" s="165">
        <v>25003040.039999999</v>
      </c>
      <c r="O328" s="165">
        <f t="shared" si="157"/>
        <v>15703540.039999999</v>
      </c>
      <c r="P328" s="165">
        <f t="shared" si="158"/>
        <v>0</v>
      </c>
      <c r="Q328" s="165">
        <f t="shared" si="159"/>
        <v>2100000</v>
      </c>
      <c r="V328" s="149">
        <v>0</v>
      </c>
      <c r="X328" s="167"/>
      <c r="Y328" s="168"/>
      <c r="AA328" s="165"/>
      <c r="AC328" s="165"/>
      <c r="AE328" s="165"/>
    </row>
    <row r="329" spans="1:31" ht="30" hidden="1" x14ac:dyDescent="0.25">
      <c r="A329" s="163">
        <v>23417</v>
      </c>
      <c r="B329" s="164" t="s">
        <v>898</v>
      </c>
      <c r="C329" s="165"/>
      <c r="D329" s="165"/>
      <c r="E329" s="165"/>
      <c r="F329" s="165">
        <v>165542747</v>
      </c>
      <c r="G329" s="165">
        <f t="shared" si="139"/>
        <v>165542747</v>
      </c>
      <c r="H329" s="165">
        <v>165542747</v>
      </c>
      <c r="I329" s="165">
        <v>165542747</v>
      </c>
      <c r="J329" s="165">
        <f t="shared" si="155"/>
        <v>0</v>
      </c>
      <c r="K329" s="165">
        <v>0</v>
      </c>
      <c r="L329" s="165">
        <v>0</v>
      </c>
      <c r="M329" s="165">
        <f t="shared" si="156"/>
        <v>165542747</v>
      </c>
      <c r="N329" s="165">
        <v>165542747</v>
      </c>
      <c r="O329" s="165">
        <f t="shared" si="157"/>
        <v>0</v>
      </c>
      <c r="P329" s="165">
        <f t="shared" si="158"/>
        <v>0</v>
      </c>
      <c r="Q329" s="165">
        <f t="shared" si="159"/>
        <v>0</v>
      </c>
      <c r="V329" s="149">
        <v>0</v>
      </c>
      <c r="X329" s="167"/>
      <c r="Y329" s="168"/>
      <c r="AA329" s="165"/>
      <c r="AC329" s="165"/>
      <c r="AE329" s="165"/>
    </row>
    <row r="330" spans="1:31" hidden="1" x14ac:dyDescent="0.25">
      <c r="A330" s="163">
        <v>23418</v>
      </c>
      <c r="B330" s="164" t="s">
        <v>899</v>
      </c>
      <c r="C330" s="165"/>
      <c r="D330" s="165"/>
      <c r="E330" s="165"/>
      <c r="F330" s="165">
        <v>110000000</v>
      </c>
      <c r="G330" s="165">
        <f t="shared" si="139"/>
        <v>110000000</v>
      </c>
      <c r="H330" s="165">
        <v>0</v>
      </c>
      <c r="I330" s="165">
        <v>110000000</v>
      </c>
      <c r="J330" s="165">
        <f t="shared" si="155"/>
        <v>0</v>
      </c>
      <c r="K330" s="165">
        <v>0</v>
      </c>
      <c r="L330" s="165">
        <v>0</v>
      </c>
      <c r="M330" s="165">
        <f t="shared" si="156"/>
        <v>110000000</v>
      </c>
      <c r="N330" s="165">
        <v>110000000</v>
      </c>
      <c r="O330" s="165">
        <f t="shared" si="157"/>
        <v>0</v>
      </c>
      <c r="P330" s="165">
        <f t="shared" si="158"/>
        <v>0</v>
      </c>
      <c r="Q330" s="165">
        <f t="shared" si="159"/>
        <v>0</v>
      </c>
      <c r="V330" s="149">
        <v>0</v>
      </c>
      <c r="X330" s="167"/>
      <c r="Y330" s="168"/>
      <c r="AA330" s="165"/>
      <c r="AC330" s="165"/>
      <c r="AE330" s="165"/>
    </row>
    <row r="331" spans="1:31" hidden="1" x14ac:dyDescent="0.25">
      <c r="A331" s="163">
        <v>23419</v>
      </c>
      <c r="B331" s="164" t="s">
        <v>900</v>
      </c>
      <c r="C331" s="165"/>
      <c r="D331" s="165"/>
      <c r="E331" s="165"/>
      <c r="F331" s="165">
        <v>42946218</v>
      </c>
      <c r="G331" s="165">
        <f t="shared" si="139"/>
        <v>42946218</v>
      </c>
      <c r="H331" s="165">
        <v>5061557</v>
      </c>
      <c r="I331" s="165">
        <v>5061557</v>
      </c>
      <c r="J331" s="165">
        <f t="shared" si="155"/>
        <v>37884661</v>
      </c>
      <c r="K331" s="165">
        <v>0</v>
      </c>
      <c r="L331" s="165">
        <v>0</v>
      </c>
      <c r="M331" s="165">
        <f t="shared" si="156"/>
        <v>5061557</v>
      </c>
      <c r="N331" s="165">
        <v>5925000</v>
      </c>
      <c r="O331" s="165">
        <f t="shared" si="157"/>
        <v>863443</v>
      </c>
      <c r="P331" s="165">
        <f t="shared" si="158"/>
        <v>37021218</v>
      </c>
      <c r="Q331" s="165">
        <f t="shared" si="159"/>
        <v>0</v>
      </c>
      <c r="V331" s="149">
        <v>37021218</v>
      </c>
      <c r="X331" s="167"/>
      <c r="Y331" s="168"/>
      <c r="AA331" s="165"/>
      <c r="AC331" s="165"/>
      <c r="AE331" s="165"/>
    </row>
    <row r="332" spans="1:31" hidden="1" x14ac:dyDescent="0.25">
      <c r="A332" s="151">
        <v>2344</v>
      </c>
      <c r="B332" s="152" t="s">
        <v>156</v>
      </c>
      <c r="C332" s="153">
        <f>+C333</f>
        <v>1365809240</v>
      </c>
      <c r="D332" s="153">
        <f t="shared" ref="D332:G332" si="160">+D333</f>
        <v>0</v>
      </c>
      <c r="E332" s="153">
        <f t="shared" si="160"/>
        <v>0</v>
      </c>
      <c r="F332" s="153">
        <f t="shared" si="160"/>
        <v>0</v>
      </c>
      <c r="G332" s="153">
        <f t="shared" si="160"/>
        <v>1365809240</v>
      </c>
      <c r="H332" s="153">
        <v>0</v>
      </c>
      <c r="I332" s="153">
        <v>0</v>
      </c>
      <c r="J332" s="153">
        <f t="shared" si="155"/>
        <v>1365809240</v>
      </c>
      <c r="K332" s="153">
        <v>0</v>
      </c>
      <c r="L332" s="153">
        <v>0</v>
      </c>
      <c r="M332" s="153">
        <f t="shared" si="156"/>
        <v>0</v>
      </c>
      <c r="N332" s="153">
        <v>0</v>
      </c>
      <c r="O332" s="153">
        <f t="shared" si="157"/>
        <v>0</v>
      </c>
      <c r="P332" s="153">
        <f t="shared" si="158"/>
        <v>1365809240</v>
      </c>
      <c r="Q332" s="153">
        <f t="shared" si="159"/>
        <v>0</v>
      </c>
      <c r="V332" s="149">
        <v>1365809240</v>
      </c>
      <c r="X332" s="167"/>
      <c r="Y332" s="168"/>
      <c r="AA332" s="153"/>
      <c r="AC332" s="153"/>
      <c r="AE332" s="153"/>
    </row>
    <row r="333" spans="1:31" ht="30" hidden="1" x14ac:dyDescent="0.25">
      <c r="A333" s="160">
        <v>23442</v>
      </c>
      <c r="B333" s="161" t="s">
        <v>157</v>
      </c>
      <c r="C333" s="162">
        <v>1365809240</v>
      </c>
      <c r="D333" s="162"/>
      <c r="E333" s="162"/>
      <c r="F333" s="162"/>
      <c r="G333" s="162">
        <v>1365809240</v>
      </c>
      <c r="H333" s="162">
        <v>0</v>
      </c>
      <c r="I333" s="162">
        <v>0</v>
      </c>
      <c r="J333" s="162">
        <f t="shared" si="155"/>
        <v>1365809240</v>
      </c>
      <c r="K333" s="162">
        <v>0</v>
      </c>
      <c r="L333" s="162">
        <v>0</v>
      </c>
      <c r="M333" s="162">
        <f t="shared" si="156"/>
        <v>0</v>
      </c>
      <c r="N333" s="162">
        <v>0</v>
      </c>
      <c r="O333" s="162">
        <f t="shared" si="157"/>
        <v>0</v>
      </c>
      <c r="P333" s="162">
        <f t="shared" si="158"/>
        <v>1365809240</v>
      </c>
      <c r="Q333" s="162">
        <f t="shared" si="159"/>
        <v>0</v>
      </c>
      <c r="V333" s="149">
        <v>1365809240</v>
      </c>
      <c r="X333" s="167"/>
      <c r="Y333" s="168"/>
      <c r="AA333" s="162"/>
      <c r="AC333" s="162"/>
      <c r="AE333" s="162"/>
    </row>
    <row r="334" spans="1:31" hidden="1" x14ac:dyDescent="0.25">
      <c r="A334" s="151">
        <v>235</v>
      </c>
      <c r="B334" s="152" t="s">
        <v>158</v>
      </c>
      <c r="C334" s="153">
        <f>+C335+C347+C364+C376+C384+C386+C387+C388+C389+C390+C391+C392+C393+C394+C395+C396+C397+C398+C399+C400+C401+C402+C403+C404+C405+C406+C407+C408+C352</f>
        <v>0</v>
      </c>
      <c r="D334" s="153">
        <f>+D335+D347+D364+D376+D384+D386+D387+D388+D389+D390+D391+D392+D393+D394+D395+D396+D397+D398+D399+D400+D401+D402+D403+D404+D405+D406+D407+D408+D352</f>
        <v>5597351420</v>
      </c>
      <c r="E334" s="153">
        <f>+E335+E347+E364+E376+E384+E386+E387+E388+E389+E390+E391+E392+E393+E394+E395+E396+E397+E398+E399+E400+E401+E402+E403+E404+E405+E406+E407+E408+E352</f>
        <v>5597351420</v>
      </c>
      <c r="F334" s="153">
        <f>+F335+F347+F364+F376+F384+F386+F387+F388+F389+F390+F391+F392+F393+F394+F395+F396+F397+F398+F399+F400+F401+F402+F403+F404+F405+F406+F407+F408+F352</f>
        <v>12971246597.469999</v>
      </c>
      <c r="G334" s="153">
        <f>+G335+G347+G364+G376+G384+G386+G387+G388+G389+G390+G391+G392+G393+G394+G395+G396+G397+G398+G399+G400+G401+G402+G403+G404+G405+G406+G407+G408+G352</f>
        <v>12971246597.470001</v>
      </c>
      <c r="H334" s="153">
        <v>455455750.20999998</v>
      </c>
      <c r="I334" s="153">
        <v>2548242478.1500001</v>
      </c>
      <c r="J334" s="153">
        <f t="shared" si="155"/>
        <v>10423004119.320002</v>
      </c>
      <c r="K334" s="153">
        <v>718162014.94000006</v>
      </c>
      <c r="L334" s="153">
        <v>1295642771.74</v>
      </c>
      <c r="M334" s="153">
        <f t="shared" si="156"/>
        <v>1252599706.4100001</v>
      </c>
      <c r="N334" s="153">
        <v>3736845924.5999999</v>
      </c>
      <c r="O334" s="153">
        <f t="shared" si="157"/>
        <v>1188603446.4499998</v>
      </c>
      <c r="P334" s="153">
        <f t="shared" si="158"/>
        <v>9234400672.8700008</v>
      </c>
      <c r="Q334" s="153">
        <f t="shared" si="159"/>
        <v>1295642771.74</v>
      </c>
      <c r="V334" s="149">
        <v>7019372583.869997</v>
      </c>
      <c r="X334" s="167"/>
      <c r="Y334" s="168"/>
      <c r="AA334" s="153"/>
      <c r="AC334" s="153"/>
      <c r="AE334" s="153"/>
    </row>
    <row r="335" spans="1:31" ht="30" hidden="1" x14ac:dyDescent="0.25">
      <c r="A335" s="160">
        <v>23501</v>
      </c>
      <c r="B335" s="161" t="s">
        <v>830</v>
      </c>
      <c r="C335" s="162">
        <f t="shared" ref="C335" si="161">SUM(C336:C346)</f>
        <v>0</v>
      </c>
      <c r="D335" s="162">
        <f>SUM(D336:D346)</f>
        <v>730629974</v>
      </c>
      <c r="E335" s="162">
        <f t="shared" ref="E335:N335" si="162">SUM(E336:E346)</f>
        <v>730629974</v>
      </c>
      <c r="F335" s="162">
        <f t="shared" si="162"/>
        <v>1441367799</v>
      </c>
      <c r="G335" s="162">
        <f t="shared" si="162"/>
        <v>1441367799</v>
      </c>
      <c r="H335" s="162">
        <f t="shared" si="162"/>
        <v>143115933</v>
      </c>
      <c r="I335" s="162">
        <f t="shared" si="162"/>
        <v>309371224</v>
      </c>
      <c r="J335" s="162">
        <f t="shared" si="155"/>
        <v>1131996575</v>
      </c>
      <c r="K335" s="162">
        <f t="shared" si="162"/>
        <v>70357693</v>
      </c>
      <c r="L335" s="162">
        <f t="shared" si="162"/>
        <v>114192767</v>
      </c>
      <c r="M335" s="162">
        <f t="shared" si="156"/>
        <v>195178457</v>
      </c>
      <c r="N335" s="162">
        <f t="shared" si="162"/>
        <v>950721198</v>
      </c>
      <c r="O335" s="162">
        <f t="shared" si="157"/>
        <v>641349974</v>
      </c>
      <c r="P335" s="162">
        <f t="shared" si="158"/>
        <v>490646601</v>
      </c>
      <c r="Q335" s="162">
        <f t="shared" si="159"/>
        <v>114192767</v>
      </c>
      <c r="V335" s="149">
        <v>490646601</v>
      </c>
      <c r="X335" s="167"/>
      <c r="Y335" s="168"/>
      <c r="AA335" s="162"/>
      <c r="AC335" s="162"/>
      <c r="AE335" s="162"/>
    </row>
    <row r="336" spans="1:31" hidden="1" x14ac:dyDescent="0.25">
      <c r="A336" s="163">
        <v>2350101</v>
      </c>
      <c r="B336" s="164" t="s">
        <v>160</v>
      </c>
      <c r="C336" s="165">
        <v>0</v>
      </c>
      <c r="D336" s="165">
        <v>0</v>
      </c>
      <c r="E336" s="165">
        <v>237229972</v>
      </c>
      <c r="F336" s="165">
        <v>237229972</v>
      </c>
      <c r="G336" s="165">
        <f t="shared" si="139"/>
        <v>0</v>
      </c>
      <c r="H336" s="165">
        <v>0</v>
      </c>
      <c r="I336" s="165">
        <v>0</v>
      </c>
      <c r="J336" s="165">
        <f t="shared" si="155"/>
        <v>0</v>
      </c>
      <c r="K336" s="165">
        <v>0</v>
      </c>
      <c r="L336" s="165">
        <v>0</v>
      </c>
      <c r="M336" s="165">
        <f t="shared" si="156"/>
        <v>0</v>
      </c>
      <c r="N336" s="165">
        <v>0</v>
      </c>
      <c r="O336" s="165">
        <f t="shared" si="157"/>
        <v>0</v>
      </c>
      <c r="P336" s="165">
        <f t="shared" si="158"/>
        <v>0</v>
      </c>
      <c r="Q336" s="165">
        <f t="shared" si="159"/>
        <v>0</v>
      </c>
      <c r="V336" s="149">
        <v>0</v>
      </c>
      <c r="X336" s="167"/>
      <c r="Y336" s="168"/>
      <c r="AA336" s="165"/>
      <c r="AC336" s="165"/>
      <c r="AE336" s="165"/>
    </row>
    <row r="337" spans="1:31" s="100" customFormat="1" hidden="1" x14ac:dyDescent="0.25">
      <c r="A337" s="163">
        <v>2350102</v>
      </c>
      <c r="B337" s="164" t="s">
        <v>161</v>
      </c>
      <c r="C337" s="165">
        <v>0</v>
      </c>
      <c r="D337" s="165">
        <v>0</v>
      </c>
      <c r="E337" s="165">
        <v>0</v>
      </c>
      <c r="F337" s="165">
        <v>47959207</v>
      </c>
      <c r="G337" s="165">
        <f t="shared" si="139"/>
        <v>47959207</v>
      </c>
      <c r="H337" s="165">
        <v>4124133</v>
      </c>
      <c r="I337" s="165">
        <v>47959207</v>
      </c>
      <c r="J337" s="165">
        <f t="shared" si="155"/>
        <v>0</v>
      </c>
      <c r="K337" s="165">
        <v>4124133</v>
      </c>
      <c r="L337" s="165">
        <v>47959207</v>
      </c>
      <c r="M337" s="165">
        <f t="shared" si="156"/>
        <v>0</v>
      </c>
      <c r="N337" s="165">
        <v>47959207</v>
      </c>
      <c r="O337" s="165">
        <f t="shared" si="157"/>
        <v>0</v>
      </c>
      <c r="P337" s="165">
        <f t="shared" si="158"/>
        <v>0</v>
      </c>
      <c r="Q337" s="165">
        <f t="shared" si="159"/>
        <v>47959207</v>
      </c>
      <c r="R337" s="84"/>
      <c r="S337" s="84"/>
      <c r="T337" s="84"/>
      <c r="U337" s="84"/>
      <c r="V337" s="149">
        <v>0</v>
      </c>
      <c r="X337" s="167"/>
      <c r="Y337" s="168"/>
      <c r="AA337" s="165"/>
      <c r="AC337" s="165"/>
      <c r="AE337" s="165"/>
    </row>
    <row r="338" spans="1:31" hidden="1" x14ac:dyDescent="0.25">
      <c r="A338" s="163">
        <v>2350103</v>
      </c>
      <c r="B338" s="164" t="s">
        <v>162</v>
      </c>
      <c r="C338" s="165">
        <v>0</v>
      </c>
      <c r="D338" s="165">
        <v>0</v>
      </c>
      <c r="E338" s="165">
        <v>0</v>
      </c>
      <c r="F338" s="165">
        <v>47959208</v>
      </c>
      <c r="G338" s="165">
        <f t="shared" si="139"/>
        <v>47959208</v>
      </c>
      <c r="H338" s="165">
        <v>20491800</v>
      </c>
      <c r="I338" s="165">
        <v>20491800</v>
      </c>
      <c r="J338" s="165">
        <f t="shared" si="155"/>
        <v>27467408</v>
      </c>
      <c r="K338" s="165">
        <v>20491800</v>
      </c>
      <c r="L338" s="165">
        <v>20491800</v>
      </c>
      <c r="M338" s="165">
        <f t="shared" si="156"/>
        <v>0</v>
      </c>
      <c r="N338" s="165">
        <v>20491800</v>
      </c>
      <c r="O338" s="165">
        <f t="shared" si="157"/>
        <v>0</v>
      </c>
      <c r="P338" s="165">
        <f t="shared" si="158"/>
        <v>27467408</v>
      </c>
      <c r="Q338" s="165">
        <f t="shared" si="159"/>
        <v>20491800</v>
      </c>
      <c r="V338" s="149">
        <v>27467408</v>
      </c>
      <c r="X338" s="167"/>
      <c r="Y338" s="168"/>
      <c r="AA338" s="165"/>
      <c r="AC338" s="165"/>
      <c r="AE338" s="165"/>
    </row>
    <row r="339" spans="1:31" hidden="1" x14ac:dyDescent="0.25">
      <c r="A339" s="163">
        <v>2350104</v>
      </c>
      <c r="B339" s="164" t="s">
        <v>163</v>
      </c>
      <c r="C339" s="165">
        <v>0</v>
      </c>
      <c r="D339" s="165">
        <v>0</v>
      </c>
      <c r="E339" s="165">
        <v>0</v>
      </c>
      <c r="F339" s="165">
        <v>189144644</v>
      </c>
      <c r="G339" s="165">
        <f t="shared" si="139"/>
        <v>189144644</v>
      </c>
      <c r="H339" s="165">
        <v>0</v>
      </c>
      <c r="I339" s="165">
        <v>0</v>
      </c>
      <c r="J339" s="165">
        <f t="shared" si="155"/>
        <v>189144644</v>
      </c>
      <c r="K339" s="165">
        <v>0</v>
      </c>
      <c r="L339" s="165">
        <v>0</v>
      </c>
      <c r="M339" s="165">
        <f t="shared" si="156"/>
        <v>0</v>
      </c>
      <c r="N339" s="165">
        <v>0</v>
      </c>
      <c r="O339" s="165">
        <f t="shared" si="157"/>
        <v>0</v>
      </c>
      <c r="P339" s="165">
        <f t="shared" si="158"/>
        <v>189144644</v>
      </c>
      <c r="Q339" s="165">
        <f t="shared" si="159"/>
        <v>0</v>
      </c>
      <c r="R339" s="100"/>
      <c r="S339" s="100"/>
      <c r="T339" s="100"/>
      <c r="U339" s="100"/>
      <c r="V339" s="149">
        <v>189144644</v>
      </c>
      <c r="X339" s="167"/>
      <c r="Y339" s="168"/>
      <c r="AA339" s="165"/>
      <c r="AC339" s="165"/>
      <c r="AE339" s="165"/>
    </row>
    <row r="340" spans="1:31" hidden="1" x14ac:dyDescent="0.25">
      <c r="A340" s="163">
        <v>2350105</v>
      </c>
      <c r="B340" s="164" t="s">
        <v>164</v>
      </c>
      <c r="C340" s="165">
        <v>0</v>
      </c>
      <c r="D340" s="165">
        <v>0</v>
      </c>
      <c r="E340" s="165">
        <v>0</v>
      </c>
      <c r="F340" s="165">
        <v>135472173</v>
      </c>
      <c r="G340" s="165">
        <f t="shared" si="139"/>
        <v>135472173</v>
      </c>
      <c r="H340" s="165">
        <v>0</v>
      </c>
      <c r="I340" s="165">
        <v>34671822</v>
      </c>
      <c r="J340" s="165">
        <f t="shared" si="155"/>
        <v>100800351</v>
      </c>
      <c r="K340" s="165">
        <v>0</v>
      </c>
      <c r="L340" s="165">
        <v>0</v>
      </c>
      <c r="M340" s="165">
        <f t="shared" si="156"/>
        <v>34671822</v>
      </c>
      <c r="N340" s="165">
        <v>34671822</v>
      </c>
      <c r="O340" s="165">
        <f t="shared" si="157"/>
        <v>0</v>
      </c>
      <c r="P340" s="165">
        <f t="shared" si="158"/>
        <v>100800351</v>
      </c>
      <c r="Q340" s="165">
        <f t="shared" si="159"/>
        <v>0</v>
      </c>
      <c r="V340" s="149">
        <v>100800351</v>
      </c>
      <c r="X340" s="167"/>
      <c r="Y340" s="168"/>
      <c r="AA340" s="165"/>
      <c r="AC340" s="165"/>
      <c r="AE340" s="165"/>
    </row>
    <row r="341" spans="1:31" hidden="1" x14ac:dyDescent="0.25">
      <c r="A341" s="163">
        <v>2350106</v>
      </c>
      <c r="B341" s="164" t="s">
        <v>165</v>
      </c>
      <c r="C341" s="165">
        <v>0</v>
      </c>
      <c r="D341" s="165">
        <v>0</v>
      </c>
      <c r="E341" s="165"/>
      <c r="F341" s="165">
        <v>157808831</v>
      </c>
      <c r="G341" s="165">
        <f t="shared" si="139"/>
        <v>157808831</v>
      </c>
      <c r="H341" s="165">
        <v>0</v>
      </c>
      <c r="I341" s="165">
        <v>87748395</v>
      </c>
      <c r="J341" s="165">
        <f t="shared" si="155"/>
        <v>70060436</v>
      </c>
      <c r="K341" s="165">
        <v>0</v>
      </c>
      <c r="L341" s="165">
        <v>0</v>
      </c>
      <c r="M341" s="165">
        <f t="shared" si="156"/>
        <v>87748395</v>
      </c>
      <c r="N341" s="165">
        <v>116968395</v>
      </c>
      <c r="O341" s="165">
        <f t="shared" si="157"/>
        <v>29220000</v>
      </c>
      <c r="P341" s="165">
        <f t="shared" si="158"/>
        <v>40840436</v>
      </c>
      <c r="Q341" s="165">
        <f t="shared" si="159"/>
        <v>0</v>
      </c>
      <c r="V341" s="149">
        <v>40840436</v>
      </c>
      <c r="X341" s="167"/>
      <c r="Y341" s="168"/>
      <c r="AA341" s="165"/>
      <c r="AC341" s="165"/>
      <c r="AE341" s="165"/>
    </row>
    <row r="342" spans="1:31" s="100" customFormat="1" hidden="1" x14ac:dyDescent="0.25">
      <c r="A342" s="163">
        <v>2350107</v>
      </c>
      <c r="B342" s="164" t="s">
        <v>166</v>
      </c>
      <c r="C342" s="165">
        <v>0</v>
      </c>
      <c r="D342" s="165">
        <v>0</v>
      </c>
      <c r="E342" s="165">
        <v>0</v>
      </c>
      <c r="F342" s="165">
        <v>30000027</v>
      </c>
      <c r="G342" s="165">
        <f t="shared" si="139"/>
        <v>30000027</v>
      </c>
      <c r="H342" s="165">
        <v>0</v>
      </c>
      <c r="I342" s="165">
        <v>0</v>
      </c>
      <c r="J342" s="165">
        <f t="shared" si="155"/>
        <v>30000027</v>
      </c>
      <c r="K342" s="165">
        <v>0</v>
      </c>
      <c r="L342" s="165">
        <v>0</v>
      </c>
      <c r="M342" s="165">
        <f t="shared" si="156"/>
        <v>0</v>
      </c>
      <c r="N342" s="165">
        <v>0</v>
      </c>
      <c r="O342" s="165">
        <f t="shared" si="157"/>
        <v>0</v>
      </c>
      <c r="P342" s="165">
        <f t="shared" si="158"/>
        <v>30000027</v>
      </c>
      <c r="Q342" s="165">
        <f t="shared" si="159"/>
        <v>0</v>
      </c>
      <c r="R342" s="84"/>
      <c r="S342" s="84"/>
      <c r="T342" s="84"/>
      <c r="U342" s="84"/>
      <c r="V342" s="149">
        <v>30000027</v>
      </c>
      <c r="X342" s="167"/>
      <c r="Y342" s="168"/>
      <c r="AA342" s="165"/>
      <c r="AC342" s="165"/>
      <c r="AE342" s="165"/>
    </row>
    <row r="343" spans="1:31" ht="30" hidden="1" x14ac:dyDescent="0.25">
      <c r="A343" s="163">
        <v>2350108</v>
      </c>
      <c r="B343" s="164" t="s">
        <v>167</v>
      </c>
      <c r="C343" s="165">
        <v>0</v>
      </c>
      <c r="D343" s="165">
        <v>0</v>
      </c>
      <c r="E343" s="165">
        <v>0</v>
      </c>
      <c r="F343" s="165">
        <v>102393735</v>
      </c>
      <c r="G343" s="165">
        <f t="shared" si="139"/>
        <v>102393735</v>
      </c>
      <c r="H343" s="165">
        <v>0</v>
      </c>
      <c r="I343" s="165">
        <v>0</v>
      </c>
      <c r="J343" s="165">
        <f t="shared" si="155"/>
        <v>102393735</v>
      </c>
      <c r="K343" s="165">
        <v>0</v>
      </c>
      <c r="L343" s="165">
        <v>0</v>
      </c>
      <c r="M343" s="165">
        <f t="shared" si="156"/>
        <v>0</v>
      </c>
      <c r="N343" s="165">
        <v>0</v>
      </c>
      <c r="O343" s="165">
        <f t="shared" si="157"/>
        <v>0</v>
      </c>
      <c r="P343" s="165">
        <f t="shared" si="158"/>
        <v>102393735</v>
      </c>
      <c r="Q343" s="165">
        <f t="shared" si="159"/>
        <v>0</v>
      </c>
      <c r="V343" s="149">
        <v>102393735</v>
      </c>
      <c r="X343" s="167"/>
      <c r="Y343" s="168"/>
      <c r="AA343" s="165"/>
      <c r="AC343" s="165"/>
      <c r="AE343" s="165"/>
    </row>
    <row r="344" spans="1:31" ht="30" hidden="1" x14ac:dyDescent="0.25">
      <c r="A344" s="163">
        <v>2350109</v>
      </c>
      <c r="B344" s="164" t="s">
        <v>168</v>
      </c>
      <c r="C344" s="165">
        <v>0</v>
      </c>
      <c r="D344" s="165">
        <v>0</v>
      </c>
      <c r="E344" s="165">
        <v>493400002</v>
      </c>
      <c r="F344" s="165">
        <v>493400002</v>
      </c>
      <c r="G344" s="165">
        <f t="shared" si="139"/>
        <v>0</v>
      </c>
      <c r="H344" s="165">
        <v>0</v>
      </c>
      <c r="I344" s="165">
        <v>0</v>
      </c>
      <c r="J344" s="165">
        <f t="shared" si="155"/>
        <v>0</v>
      </c>
      <c r="K344" s="165">
        <v>0</v>
      </c>
      <c r="L344" s="165">
        <v>0</v>
      </c>
      <c r="M344" s="165">
        <f t="shared" si="156"/>
        <v>0</v>
      </c>
      <c r="N344" s="165">
        <v>0</v>
      </c>
      <c r="O344" s="165">
        <f t="shared" si="157"/>
        <v>0</v>
      </c>
      <c r="P344" s="165">
        <f t="shared" si="158"/>
        <v>0</v>
      </c>
      <c r="Q344" s="165">
        <f t="shared" si="159"/>
        <v>0</v>
      </c>
      <c r="R344" s="100"/>
      <c r="S344" s="100"/>
      <c r="T344" s="100"/>
      <c r="U344" s="100"/>
      <c r="V344" s="149">
        <v>0</v>
      </c>
      <c r="X344" s="167"/>
      <c r="Y344" s="168"/>
      <c r="AA344" s="165"/>
      <c r="AC344" s="165"/>
      <c r="AE344" s="165"/>
    </row>
    <row r="345" spans="1:31" ht="30" hidden="1" x14ac:dyDescent="0.25">
      <c r="A345" s="163">
        <v>2350110</v>
      </c>
      <c r="B345" s="164" t="s">
        <v>901</v>
      </c>
      <c r="C345" s="165"/>
      <c r="D345" s="165">
        <v>237229972</v>
      </c>
      <c r="E345" s="165"/>
      <c r="F345" s="165"/>
      <c r="G345" s="165">
        <f t="shared" ref="G345:G346" si="163">+C345+D345-E345+F345</f>
        <v>237229972</v>
      </c>
      <c r="H345" s="165">
        <v>0</v>
      </c>
      <c r="I345" s="165">
        <v>0</v>
      </c>
      <c r="J345" s="165">
        <f t="shared" si="155"/>
        <v>237229972</v>
      </c>
      <c r="K345" s="165">
        <v>0</v>
      </c>
      <c r="L345" s="165">
        <v>0</v>
      </c>
      <c r="M345" s="165">
        <f t="shared" si="156"/>
        <v>0</v>
      </c>
      <c r="N345" s="165">
        <v>237229972</v>
      </c>
      <c r="O345" s="165">
        <f t="shared" si="157"/>
        <v>237229972</v>
      </c>
      <c r="P345" s="165">
        <f t="shared" si="158"/>
        <v>0</v>
      </c>
      <c r="Q345" s="165">
        <f t="shared" si="159"/>
        <v>0</v>
      </c>
      <c r="R345" s="100"/>
      <c r="S345" s="100"/>
      <c r="T345" s="100"/>
      <c r="V345" s="149">
        <v>0</v>
      </c>
      <c r="X345" s="167"/>
      <c r="Y345" s="168"/>
      <c r="AA345" s="165"/>
      <c r="AC345" s="165"/>
      <c r="AE345" s="165"/>
    </row>
    <row r="346" spans="1:31" ht="30" hidden="1" x14ac:dyDescent="0.25">
      <c r="A346" s="163">
        <v>2350111</v>
      </c>
      <c r="B346" s="164" t="s">
        <v>902</v>
      </c>
      <c r="C346" s="165"/>
      <c r="D346" s="165">
        <v>493400002</v>
      </c>
      <c r="E346" s="165"/>
      <c r="F346" s="165"/>
      <c r="G346" s="165">
        <f t="shared" si="163"/>
        <v>493400002</v>
      </c>
      <c r="H346" s="165">
        <v>118500000</v>
      </c>
      <c r="I346" s="165">
        <v>118500000</v>
      </c>
      <c r="J346" s="165">
        <f t="shared" si="155"/>
        <v>374900002</v>
      </c>
      <c r="K346" s="165">
        <v>45741760</v>
      </c>
      <c r="L346" s="165">
        <v>45741760</v>
      </c>
      <c r="M346" s="165">
        <f t="shared" si="156"/>
        <v>72758240</v>
      </c>
      <c r="N346" s="165">
        <v>493400002</v>
      </c>
      <c r="O346" s="165">
        <f t="shared" si="157"/>
        <v>374900002</v>
      </c>
      <c r="P346" s="165">
        <f t="shared" si="158"/>
        <v>0</v>
      </c>
      <c r="Q346" s="165">
        <f t="shared" si="159"/>
        <v>45741760</v>
      </c>
      <c r="R346" s="100"/>
      <c r="S346" s="100"/>
      <c r="T346" s="100"/>
      <c r="V346" s="149">
        <v>0</v>
      </c>
      <c r="X346" s="167"/>
      <c r="Y346" s="168"/>
      <c r="AA346" s="165"/>
      <c r="AC346" s="165"/>
      <c r="AE346" s="165"/>
    </row>
    <row r="347" spans="1:31" hidden="1" x14ac:dyDescent="0.25">
      <c r="A347" s="160">
        <v>23502</v>
      </c>
      <c r="B347" s="161" t="s">
        <v>173</v>
      </c>
      <c r="C347" s="162">
        <f>SUM(C348:C351)</f>
        <v>0</v>
      </c>
      <c r="D347" s="162">
        <f t="shared" ref="D347:G347" si="164">SUM(D348:D351)</f>
        <v>0</v>
      </c>
      <c r="E347" s="162">
        <f t="shared" si="164"/>
        <v>2684152425</v>
      </c>
      <c r="F347" s="162">
        <f t="shared" si="164"/>
        <v>4899180514</v>
      </c>
      <c r="G347" s="162">
        <f t="shared" si="164"/>
        <v>2215028089</v>
      </c>
      <c r="H347" s="162">
        <v>27500000</v>
      </c>
      <c r="I347" s="162">
        <v>27500000</v>
      </c>
      <c r="J347" s="162">
        <f t="shared" si="155"/>
        <v>2187528089</v>
      </c>
      <c r="K347" s="162">
        <v>0</v>
      </c>
      <c r="L347" s="162">
        <v>0</v>
      </c>
      <c r="M347" s="162">
        <f t="shared" si="156"/>
        <v>27500000</v>
      </c>
      <c r="N347" s="162">
        <v>27500000</v>
      </c>
      <c r="O347" s="162">
        <f t="shared" si="157"/>
        <v>0</v>
      </c>
      <c r="P347" s="162">
        <f t="shared" si="158"/>
        <v>2187528089</v>
      </c>
      <c r="Q347" s="162">
        <f t="shared" si="159"/>
        <v>0</v>
      </c>
      <c r="V347" s="149">
        <v>2187528089</v>
      </c>
      <c r="AA347" s="162"/>
      <c r="AC347" s="162"/>
      <c r="AE347" s="162"/>
    </row>
    <row r="348" spans="1:31" ht="30" hidden="1" x14ac:dyDescent="0.25">
      <c r="A348" s="163">
        <v>2350201</v>
      </c>
      <c r="B348" s="164" t="s">
        <v>169</v>
      </c>
      <c r="C348" s="165">
        <v>0</v>
      </c>
      <c r="D348" s="165">
        <v>0</v>
      </c>
      <c r="E348" s="165">
        <v>0</v>
      </c>
      <c r="F348" s="165">
        <v>60001</v>
      </c>
      <c r="G348" s="165">
        <f t="shared" ref="G348:G408" si="165">+C348+D348-E348+F348</f>
        <v>60001</v>
      </c>
      <c r="H348" s="165">
        <v>0</v>
      </c>
      <c r="I348" s="165">
        <v>0</v>
      </c>
      <c r="J348" s="165">
        <f t="shared" si="155"/>
        <v>60001</v>
      </c>
      <c r="K348" s="165">
        <v>0</v>
      </c>
      <c r="L348" s="165">
        <v>0</v>
      </c>
      <c r="M348" s="165">
        <f t="shared" si="156"/>
        <v>0</v>
      </c>
      <c r="N348" s="165">
        <v>0</v>
      </c>
      <c r="O348" s="165">
        <f t="shared" si="157"/>
        <v>0</v>
      </c>
      <c r="P348" s="165">
        <f t="shared" si="158"/>
        <v>60001</v>
      </c>
      <c r="Q348" s="165">
        <f t="shared" si="159"/>
        <v>0</v>
      </c>
      <c r="V348" s="149">
        <v>60001</v>
      </c>
      <c r="AA348" s="165"/>
      <c r="AC348" s="165"/>
      <c r="AE348" s="165"/>
    </row>
    <row r="349" spans="1:31" ht="30" hidden="1" x14ac:dyDescent="0.25">
      <c r="A349" s="163">
        <v>2350202</v>
      </c>
      <c r="B349" s="164" t="s">
        <v>170</v>
      </c>
      <c r="C349" s="165">
        <v>0</v>
      </c>
      <c r="D349" s="165">
        <v>0</v>
      </c>
      <c r="E349" s="165">
        <v>0</v>
      </c>
      <c r="F349" s="165">
        <v>1301315</v>
      </c>
      <c r="G349" s="165">
        <f t="shared" si="165"/>
        <v>1301315</v>
      </c>
      <c r="H349" s="165">
        <v>0</v>
      </c>
      <c r="I349" s="165">
        <v>0</v>
      </c>
      <c r="J349" s="165">
        <f t="shared" si="155"/>
        <v>1301315</v>
      </c>
      <c r="K349" s="165">
        <v>0</v>
      </c>
      <c r="L349" s="165">
        <v>0</v>
      </c>
      <c r="M349" s="165">
        <f t="shared" si="156"/>
        <v>0</v>
      </c>
      <c r="N349" s="165">
        <v>0</v>
      </c>
      <c r="O349" s="165">
        <f t="shared" si="157"/>
        <v>0</v>
      </c>
      <c r="P349" s="165">
        <f t="shared" si="158"/>
        <v>1301315</v>
      </c>
      <c r="Q349" s="165">
        <f t="shared" si="159"/>
        <v>0</v>
      </c>
      <c r="V349" s="149">
        <v>1301315</v>
      </c>
      <c r="AA349" s="165"/>
      <c r="AC349" s="165"/>
      <c r="AE349" s="165"/>
    </row>
    <row r="350" spans="1:31" ht="30" hidden="1" x14ac:dyDescent="0.25">
      <c r="A350" s="163">
        <v>2350203</v>
      </c>
      <c r="B350" s="164" t="s">
        <v>171</v>
      </c>
      <c r="C350" s="165">
        <v>0</v>
      </c>
      <c r="D350" s="165">
        <v>0</v>
      </c>
      <c r="E350" s="165">
        <v>2684152425</v>
      </c>
      <c r="F350" s="165">
        <v>2684152425</v>
      </c>
      <c r="G350" s="165">
        <f t="shared" si="165"/>
        <v>0</v>
      </c>
      <c r="H350" s="165">
        <v>0</v>
      </c>
      <c r="I350" s="165">
        <v>0</v>
      </c>
      <c r="J350" s="165">
        <f t="shared" si="155"/>
        <v>0</v>
      </c>
      <c r="K350" s="165">
        <v>0</v>
      </c>
      <c r="L350" s="165">
        <v>0</v>
      </c>
      <c r="M350" s="165">
        <f t="shared" si="156"/>
        <v>0</v>
      </c>
      <c r="N350" s="165">
        <v>0</v>
      </c>
      <c r="O350" s="165">
        <f t="shared" si="157"/>
        <v>0</v>
      </c>
      <c r="P350" s="165">
        <f t="shared" si="158"/>
        <v>0</v>
      </c>
      <c r="Q350" s="165">
        <f t="shared" si="159"/>
        <v>0</v>
      </c>
      <c r="V350" s="149">
        <v>0</v>
      </c>
      <c r="AA350" s="165"/>
      <c r="AC350" s="165"/>
      <c r="AE350" s="165"/>
    </row>
    <row r="351" spans="1:31" ht="30" hidden="1" x14ac:dyDescent="0.25">
      <c r="A351" s="163">
        <v>2350204</v>
      </c>
      <c r="B351" s="164" t="s">
        <v>172</v>
      </c>
      <c r="C351" s="165">
        <v>0</v>
      </c>
      <c r="D351" s="165">
        <v>0</v>
      </c>
      <c r="E351" s="165">
        <v>0</v>
      </c>
      <c r="F351" s="165">
        <v>2213666773</v>
      </c>
      <c r="G351" s="165">
        <f t="shared" si="165"/>
        <v>2213666773</v>
      </c>
      <c r="H351" s="165">
        <v>27500000</v>
      </c>
      <c r="I351" s="165">
        <v>27500000</v>
      </c>
      <c r="J351" s="165">
        <f t="shared" si="155"/>
        <v>2186166773</v>
      </c>
      <c r="K351" s="165">
        <v>0</v>
      </c>
      <c r="L351" s="165">
        <v>0</v>
      </c>
      <c r="M351" s="165">
        <f t="shared" si="156"/>
        <v>27500000</v>
      </c>
      <c r="N351" s="165">
        <v>27500000</v>
      </c>
      <c r="O351" s="165">
        <f t="shared" si="157"/>
        <v>0</v>
      </c>
      <c r="P351" s="165">
        <f t="shared" si="158"/>
        <v>2186166773</v>
      </c>
      <c r="Q351" s="165">
        <f t="shared" si="159"/>
        <v>0</v>
      </c>
      <c r="V351" s="149">
        <v>2186166773</v>
      </c>
      <c r="AA351" s="165"/>
      <c r="AC351" s="165"/>
      <c r="AE351" s="165"/>
    </row>
    <row r="352" spans="1:31" hidden="1" x14ac:dyDescent="0.25">
      <c r="A352" s="160">
        <v>23503</v>
      </c>
      <c r="B352" s="161" t="s">
        <v>795</v>
      </c>
      <c r="C352" s="162">
        <f>SUM(C353:C363)</f>
        <v>0</v>
      </c>
      <c r="D352" s="162">
        <f t="shared" ref="D352:G352" si="166">SUM(D353:D363)</f>
        <v>0</v>
      </c>
      <c r="E352" s="162">
        <f t="shared" si="166"/>
        <v>2182569021</v>
      </c>
      <c r="F352" s="162">
        <f t="shared" si="166"/>
        <v>3325715838</v>
      </c>
      <c r="G352" s="162">
        <f t="shared" si="166"/>
        <v>1143146817</v>
      </c>
      <c r="H352" s="162">
        <v>19604744.5</v>
      </c>
      <c r="I352" s="162">
        <v>46214203.5</v>
      </c>
      <c r="J352" s="162">
        <f t="shared" si="155"/>
        <v>1096932613.5</v>
      </c>
      <c r="K352" s="162">
        <v>8044203.5</v>
      </c>
      <c r="L352" s="162">
        <v>22357352.5</v>
      </c>
      <c r="M352" s="162">
        <f t="shared" si="156"/>
        <v>23856851</v>
      </c>
      <c r="N352" s="162">
        <v>46990752.5</v>
      </c>
      <c r="O352" s="162">
        <f t="shared" si="157"/>
        <v>776549</v>
      </c>
      <c r="P352" s="162">
        <f t="shared" si="158"/>
        <v>1096156064.5</v>
      </c>
      <c r="Q352" s="162">
        <f t="shared" si="159"/>
        <v>22357352.5</v>
      </c>
      <c r="V352" s="149">
        <v>1096156064.5</v>
      </c>
      <c r="AA352" s="162"/>
      <c r="AC352" s="162"/>
      <c r="AE352" s="162"/>
    </row>
    <row r="353" spans="1:31" ht="30" hidden="1" x14ac:dyDescent="0.25">
      <c r="A353" s="163">
        <v>2350301</v>
      </c>
      <c r="B353" s="164" t="s">
        <v>174</v>
      </c>
      <c r="C353" s="165">
        <v>0</v>
      </c>
      <c r="D353" s="165">
        <v>0</v>
      </c>
      <c r="E353" s="165">
        <v>0</v>
      </c>
      <c r="F353" s="165">
        <v>35022827</v>
      </c>
      <c r="G353" s="165">
        <f t="shared" si="165"/>
        <v>35022827</v>
      </c>
      <c r="H353" s="165">
        <v>14447193.5</v>
      </c>
      <c r="I353" s="165">
        <v>26447193.5</v>
      </c>
      <c r="J353" s="165">
        <f t="shared" si="155"/>
        <v>8575633.5</v>
      </c>
      <c r="K353" s="165">
        <v>2886652.5</v>
      </c>
      <c r="L353" s="165">
        <v>2886652.5</v>
      </c>
      <c r="M353" s="165">
        <f t="shared" si="156"/>
        <v>23560541</v>
      </c>
      <c r="N353" s="165">
        <v>27223742.5</v>
      </c>
      <c r="O353" s="165">
        <f t="shared" si="157"/>
        <v>776549</v>
      </c>
      <c r="P353" s="165">
        <f t="shared" si="158"/>
        <v>7799084.5</v>
      </c>
      <c r="Q353" s="165">
        <f t="shared" si="159"/>
        <v>2886652.5</v>
      </c>
      <c r="V353" s="149">
        <v>7799084.5</v>
      </c>
      <c r="AA353" s="165"/>
      <c r="AC353" s="165"/>
      <c r="AE353" s="165"/>
    </row>
    <row r="354" spans="1:31" s="100" customFormat="1" ht="30" hidden="1" x14ac:dyDescent="0.25">
      <c r="A354" s="163">
        <v>2350302</v>
      </c>
      <c r="B354" s="164" t="s">
        <v>175</v>
      </c>
      <c r="C354" s="165">
        <v>0</v>
      </c>
      <c r="D354" s="165">
        <v>0</v>
      </c>
      <c r="E354" s="165">
        <v>0</v>
      </c>
      <c r="F354" s="165">
        <v>70423765</v>
      </c>
      <c r="G354" s="165">
        <f t="shared" si="165"/>
        <v>70423765</v>
      </c>
      <c r="H354" s="165">
        <v>0</v>
      </c>
      <c r="I354" s="165">
        <v>0</v>
      </c>
      <c r="J354" s="165">
        <f t="shared" si="155"/>
        <v>70423765</v>
      </c>
      <c r="K354" s="165">
        <v>0</v>
      </c>
      <c r="L354" s="165">
        <v>0</v>
      </c>
      <c r="M354" s="165">
        <f t="shared" si="156"/>
        <v>0</v>
      </c>
      <c r="N354" s="165">
        <v>0</v>
      </c>
      <c r="O354" s="165">
        <f t="shared" si="157"/>
        <v>0</v>
      </c>
      <c r="P354" s="165">
        <f t="shared" si="158"/>
        <v>70423765</v>
      </c>
      <c r="Q354" s="165">
        <f t="shared" si="159"/>
        <v>0</v>
      </c>
      <c r="R354" s="84"/>
      <c r="S354" s="84"/>
      <c r="T354" s="84"/>
      <c r="U354" s="84"/>
      <c r="V354" s="149">
        <v>70423765</v>
      </c>
      <c r="X354" s="84"/>
      <c r="Y354" s="84"/>
      <c r="AA354" s="165"/>
      <c r="AC354" s="165"/>
      <c r="AE354" s="165"/>
    </row>
    <row r="355" spans="1:31" ht="30" hidden="1" x14ac:dyDescent="0.25">
      <c r="A355" s="163">
        <v>2350303</v>
      </c>
      <c r="B355" s="164" t="s">
        <v>176</v>
      </c>
      <c r="C355" s="165">
        <v>0</v>
      </c>
      <c r="D355" s="165">
        <v>0</v>
      </c>
      <c r="E355" s="165">
        <v>0</v>
      </c>
      <c r="F355" s="165">
        <v>749700000</v>
      </c>
      <c r="G355" s="165">
        <f t="shared" si="165"/>
        <v>749700000</v>
      </c>
      <c r="H355" s="165">
        <v>0</v>
      </c>
      <c r="I355" s="165">
        <v>0</v>
      </c>
      <c r="J355" s="165">
        <f t="shared" si="155"/>
        <v>749700000</v>
      </c>
      <c r="K355" s="165">
        <v>0</v>
      </c>
      <c r="L355" s="165">
        <v>0</v>
      </c>
      <c r="M355" s="165">
        <f t="shared" si="156"/>
        <v>0</v>
      </c>
      <c r="N355" s="165">
        <v>0</v>
      </c>
      <c r="O355" s="165">
        <f t="shared" si="157"/>
        <v>0</v>
      </c>
      <c r="P355" s="165">
        <f t="shared" si="158"/>
        <v>749700000</v>
      </c>
      <c r="Q355" s="165">
        <f t="shared" si="159"/>
        <v>0</v>
      </c>
      <c r="V355" s="149">
        <v>749700000</v>
      </c>
      <c r="AA355" s="165"/>
      <c r="AC355" s="165"/>
      <c r="AE355" s="165"/>
    </row>
    <row r="356" spans="1:31" ht="30" hidden="1" x14ac:dyDescent="0.25">
      <c r="A356" s="163">
        <v>2350309</v>
      </c>
      <c r="B356" s="164" t="s">
        <v>177</v>
      </c>
      <c r="C356" s="165">
        <v>0</v>
      </c>
      <c r="D356" s="165">
        <v>0</v>
      </c>
      <c r="E356" s="165">
        <v>0</v>
      </c>
      <c r="F356" s="165">
        <v>31916686</v>
      </c>
      <c r="G356" s="165">
        <f t="shared" si="165"/>
        <v>31916686</v>
      </c>
      <c r="H356" s="165">
        <v>0</v>
      </c>
      <c r="I356" s="165">
        <v>0</v>
      </c>
      <c r="J356" s="165">
        <f t="shared" si="155"/>
        <v>31916686</v>
      </c>
      <c r="K356" s="165">
        <v>0</v>
      </c>
      <c r="L356" s="165">
        <v>0</v>
      </c>
      <c r="M356" s="165">
        <f t="shared" si="156"/>
        <v>0</v>
      </c>
      <c r="N356" s="165">
        <v>0</v>
      </c>
      <c r="O356" s="165">
        <f t="shared" si="157"/>
        <v>0</v>
      </c>
      <c r="P356" s="165">
        <f t="shared" si="158"/>
        <v>31916686</v>
      </c>
      <c r="Q356" s="165">
        <f t="shared" si="159"/>
        <v>0</v>
      </c>
      <c r="V356" s="149">
        <v>31916686</v>
      </c>
      <c r="AA356" s="165"/>
      <c r="AC356" s="165"/>
      <c r="AE356" s="165"/>
    </row>
    <row r="357" spans="1:31" hidden="1" x14ac:dyDescent="0.25">
      <c r="A357" s="163">
        <v>2350315</v>
      </c>
      <c r="B357" s="164" t="s">
        <v>178</v>
      </c>
      <c r="C357" s="165">
        <v>0</v>
      </c>
      <c r="D357" s="165">
        <v>0</v>
      </c>
      <c r="E357" s="165">
        <v>0</v>
      </c>
      <c r="F357" s="165">
        <v>2892728</v>
      </c>
      <c r="G357" s="165">
        <f t="shared" si="165"/>
        <v>2892728</v>
      </c>
      <c r="H357" s="165">
        <v>0</v>
      </c>
      <c r="I357" s="165">
        <v>296310</v>
      </c>
      <c r="J357" s="165">
        <f t="shared" si="155"/>
        <v>2596418</v>
      </c>
      <c r="K357" s="165">
        <v>0</v>
      </c>
      <c r="L357" s="165">
        <v>0</v>
      </c>
      <c r="M357" s="165">
        <f t="shared" si="156"/>
        <v>296310</v>
      </c>
      <c r="N357" s="165">
        <v>296310</v>
      </c>
      <c r="O357" s="165">
        <f t="shared" si="157"/>
        <v>0</v>
      </c>
      <c r="P357" s="165">
        <f t="shared" si="158"/>
        <v>2596418</v>
      </c>
      <c r="Q357" s="165">
        <f t="shared" si="159"/>
        <v>0</v>
      </c>
      <c r="U357" s="100"/>
      <c r="V357" s="149">
        <v>2596418</v>
      </c>
      <c r="AA357" s="165"/>
      <c r="AC357" s="165"/>
      <c r="AE357" s="165"/>
    </row>
    <row r="358" spans="1:31" ht="30" hidden="1" x14ac:dyDescent="0.25">
      <c r="A358" s="163">
        <v>2350321</v>
      </c>
      <c r="B358" s="164" t="s">
        <v>179</v>
      </c>
      <c r="C358" s="165">
        <v>0</v>
      </c>
      <c r="D358" s="165">
        <v>0</v>
      </c>
      <c r="E358" s="165">
        <v>0</v>
      </c>
      <c r="F358" s="165">
        <v>19873160</v>
      </c>
      <c r="G358" s="165">
        <f t="shared" si="165"/>
        <v>19873160</v>
      </c>
      <c r="H358" s="165">
        <v>0</v>
      </c>
      <c r="I358" s="165">
        <v>0</v>
      </c>
      <c r="J358" s="165">
        <f t="shared" si="155"/>
        <v>19873160</v>
      </c>
      <c r="K358" s="165">
        <v>0</v>
      </c>
      <c r="L358" s="165">
        <v>0</v>
      </c>
      <c r="M358" s="165">
        <f t="shared" si="156"/>
        <v>0</v>
      </c>
      <c r="N358" s="165">
        <v>0</v>
      </c>
      <c r="O358" s="165">
        <f t="shared" si="157"/>
        <v>0</v>
      </c>
      <c r="P358" s="165">
        <f t="shared" si="158"/>
        <v>19873160</v>
      </c>
      <c r="Q358" s="165">
        <f t="shared" si="159"/>
        <v>0</v>
      </c>
      <c r="R358" s="100"/>
      <c r="S358" s="100"/>
      <c r="T358" s="100"/>
      <c r="V358" s="149">
        <v>19873160</v>
      </c>
      <c r="AA358" s="165"/>
      <c r="AC358" s="165"/>
      <c r="AE358" s="165"/>
    </row>
    <row r="359" spans="1:31" ht="30" hidden="1" x14ac:dyDescent="0.25">
      <c r="A359" s="163">
        <v>2350324</v>
      </c>
      <c r="B359" s="164" t="s">
        <v>180</v>
      </c>
      <c r="C359" s="165">
        <v>0</v>
      </c>
      <c r="D359" s="165">
        <v>0</v>
      </c>
      <c r="E359" s="165">
        <v>0</v>
      </c>
      <c r="F359" s="165">
        <v>40398042</v>
      </c>
      <c r="G359" s="165">
        <f t="shared" si="165"/>
        <v>40398042</v>
      </c>
      <c r="H359" s="165">
        <v>0</v>
      </c>
      <c r="I359" s="165">
        <v>0</v>
      </c>
      <c r="J359" s="165">
        <f t="shared" si="155"/>
        <v>40398042</v>
      </c>
      <c r="K359" s="165">
        <v>0</v>
      </c>
      <c r="L359" s="165">
        <v>0</v>
      </c>
      <c r="M359" s="165">
        <f t="shared" si="156"/>
        <v>0</v>
      </c>
      <c r="N359" s="165">
        <v>0</v>
      </c>
      <c r="O359" s="165">
        <f t="shared" si="157"/>
        <v>0</v>
      </c>
      <c r="P359" s="165">
        <f t="shared" si="158"/>
        <v>40398042</v>
      </c>
      <c r="Q359" s="165">
        <f t="shared" si="159"/>
        <v>0</v>
      </c>
      <c r="V359" s="149">
        <v>40398042</v>
      </c>
      <c r="AA359" s="165"/>
      <c r="AC359" s="165"/>
      <c r="AE359" s="165"/>
    </row>
    <row r="360" spans="1:31" ht="30" hidden="1" x14ac:dyDescent="0.25">
      <c r="A360" s="163">
        <v>2350325</v>
      </c>
      <c r="B360" s="164" t="s">
        <v>181</v>
      </c>
      <c r="C360" s="165">
        <v>0</v>
      </c>
      <c r="D360" s="165">
        <v>0</v>
      </c>
      <c r="E360" s="165">
        <v>2182569021</v>
      </c>
      <c r="F360" s="165">
        <v>2182569021</v>
      </c>
      <c r="G360" s="165">
        <f t="shared" si="165"/>
        <v>0</v>
      </c>
      <c r="H360" s="165">
        <v>0</v>
      </c>
      <c r="I360" s="165">
        <v>0</v>
      </c>
      <c r="J360" s="165">
        <f t="shared" si="155"/>
        <v>0</v>
      </c>
      <c r="K360" s="165">
        <v>0</v>
      </c>
      <c r="L360" s="165">
        <v>0</v>
      </c>
      <c r="M360" s="165">
        <f t="shared" si="156"/>
        <v>0</v>
      </c>
      <c r="N360" s="165">
        <v>0</v>
      </c>
      <c r="O360" s="165">
        <f t="shared" si="157"/>
        <v>0</v>
      </c>
      <c r="P360" s="165">
        <f t="shared" si="158"/>
        <v>0</v>
      </c>
      <c r="Q360" s="165">
        <f t="shared" si="159"/>
        <v>0</v>
      </c>
      <c r="V360" s="149">
        <v>0</v>
      </c>
      <c r="AA360" s="165"/>
      <c r="AC360" s="165"/>
      <c r="AE360" s="165"/>
    </row>
    <row r="361" spans="1:31" hidden="1" x14ac:dyDescent="0.25">
      <c r="A361" s="163">
        <v>2350326</v>
      </c>
      <c r="B361" s="164" t="s">
        <v>182</v>
      </c>
      <c r="C361" s="165">
        <v>0</v>
      </c>
      <c r="D361" s="165">
        <v>0</v>
      </c>
      <c r="E361" s="165">
        <v>0</v>
      </c>
      <c r="F361" s="165">
        <v>19470700</v>
      </c>
      <c r="G361" s="165">
        <f t="shared" si="165"/>
        <v>19470700</v>
      </c>
      <c r="H361" s="165">
        <v>5157551</v>
      </c>
      <c r="I361" s="165">
        <v>19470700</v>
      </c>
      <c r="J361" s="165">
        <f t="shared" si="155"/>
        <v>0</v>
      </c>
      <c r="K361" s="165">
        <v>5157551</v>
      </c>
      <c r="L361" s="165">
        <v>19470700</v>
      </c>
      <c r="M361" s="165">
        <f t="shared" si="156"/>
        <v>0</v>
      </c>
      <c r="N361" s="165">
        <v>19470700</v>
      </c>
      <c r="O361" s="165">
        <f t="shared" si="157"/>
        <v>0</v>
      </c>
      <c r="P361" s="165">
        <f t="shared" si="158"/>
        <v>0</v>
      </c>
      <c r="Q361" s="165">
        <f t="shared" si="159"/>
        <v>19470700</v>
      </c>
      <c r="V361" s="149">
        <v>0</v>
      </c>
      <c r="AA361" s="165"/>
      <c r="AC361" s="165"/>
      <c r="AE361" s="165"/>
    </row>
    <row r="362" spans="1:31" ht="30" hidden="1" x14ac:dyDescent="0.25">
      <c r="A362" s="163">
        <v>2350328</v>
      </c>
      <c r="B362" s="164" t="s">
        <v>183</v>
      </c>
      <c r="C362" s="165">
        <v>0</v>
      </c>
      <c r="D362" s="165">
        <v>0</v>
      </c>
      <c r="E362" s="165">
        <v>0</v>
      </c>
      <c r="F362" s="165">
        <v>91883149</v>
      </c>
      <c r="G362" s="165">
        <f t="shared" si="165"/>
        <v>91883149</v>
      </c>
      <c r="H362" s="165">
        <v>0</v>
      </c>
      <c r="I362" s="165">
        <v>0</v>
      </c>
      <c r="J362" s="165">
        <f t="shared" si="155"/>
        <v>91883149</v>
      </c>
      <c r="K362" s="165">
        <v>0</v>
      </c>
      <c r="L362" s="165">
        <v>0</v>
      </c>
      <c r="M362" s="165">
        <f t="shared" si="156"/>
        <v>0</v>
      </c>
      <c r="N362" s="165">
        <v>0</v>
      </c>
      <c r="O362" s="165">
        <f t="shared" si="157"/>
        <v>0</v>
      </c>
      <c r="P362" s="165">
        <f t="shared" si="158"/>
        <v>91883149</v>
      </c>
      <c r="Q362" s="165">
        <f t="shared" si="159"/>
        <v>0</v>
      </c>
      <c r="V362" s="149">
        <v>91883149</v>
      </c>
      <c r="AA362" s="165"/>
      <c r="AC362" s="165"/>
      <c r="AE362" s="165"/>
    </row>
    <row r="363" spans="1:31" ht="30" hidden="1" x14ac:dyDescent="0.25">
      <c r="A363" s="163">
        <v>2350330</v>
      </c>
      <c r="B363" s="164" t="s">
        <v>184</v>
      </c>
      <c r="C363" s="165">
        <v>0</v>
      </c>
      <c r="D363" s="165">
        <v>0</v>
      </c>
      <c r="E363" s="165">
        <v>0</v>
      </c>
      <c r="F363" s="165">
        <v>81565760</v>
      </c>
      <c r="G363" s="165">
        <f t="shared" si="165"/>
        <v>81565760</v>
      </c>
      <c r="H363" s="165">
        <v>0</v>
      </c>
      <c r="I363" s="165">
        <v>0</v>
      </c>
      <c r="J363" s="165">
        <f t="shared" si="155"/>
        <v>81565760</v>
      </c>
      <c r="K363" s="165">
        <v>0</v>
      </c>
      <c r="L363" s="165">
        <v>0</v>
      </c>
      <c r="M363" s="165">
        <f t="shared" si="156"/>
        <v>0</v>
      </c>
      <c r="N363" s="165">
        <v>0</v>
      </c>
      <c r="O363" s="165">
        <f t="shared" si="157"/>
        <v>0</v>
      </c>
      <c r="P363" s="165">
        <f t="shared" si="158"/>
        <v>81565760</v>
      </c>
      <c r="Q363" s="165">
        <f t="shared" si="159"/>
        <v>0</v>
      </c>
      <c r="V363" s="149">
        <v>81565760</v>
      </c>
      <c r="AA363" s="165"/>
      <c r="AC363" s="165"/>
      <c r="AE363" s="165"/>
    </row>
    <row r="364" spans="1:31" hidden="1" x14ac:dyDescent="0.25">
      <c r="A364" s="160">
        <v>23504</v>
      </c>
      <c r="B364" s="161" t="s">
        <v>185</v>
      </c>
      <c r="C364" s="162">
        <f>SUM(C365:C375)</f>
        <v>0</v>
      </c>
      <c r="D364" s="162">
        <f t="shared" ref="D364:G364" si="167">SUM(D365:D375)</f>
        <v>0</v>
      </c>
      <c r="E364" s="162">
        <f t="shared" si="167"/>
        <v>0</v>
      </c>
      <c r="F364" s="162">
        <f t="shared" si="167"/>
        <v>161960107</v>
      </c>
      <c r="G364" s="162">
        <f t="shared" si="167"/>
        <v>161960107</v>
      </c>
      <c r="H364" s="162">
        <v>6243463</v>
      </c>
      <c r="I364" s="162">
        <v>65845522</v>
      </c>
      <c r="J364" s="162">
        <f t="shared" si="155"/>
        <v>96114585</v>
      </c>
      <c r="K364" s="162">
        <v>47964904.299999997</v>
      </c>
      <c r="L364" s="162">
        <v>65845522</v>
      </c>
      <c r="M364" s="162">
        <f t="shared" si="156"/>
        <v>0</v>
      </c>
      <c r="N364" s="162">
        <v>65846122</v>
      </c>
      <c r="O364" s="162">
        <f t="shared" si="157"/>
        <v>600</v>
      </c>
      <c r="P364" s="162">
        <f t="shared" si="158"/>
        <v>96113985</v>
      </c>
      <c r="Q364" s="162">
        <f t="shared" si="159"/>
        <v>65845522</v>
      </c>
      <c r="V364" s="149">
        <v>96113985</v>
      </c>
      <c r="AA364" s="162"/>
      <c r="AC364" s="162"/>
      <c r="AE364" s="162"/>
    </row>
    <row r="365" spans="1:31" ht="30" hidden="1" x14ac:dyDescent="0.25">
      <c r="A365" s="163">
        <v>2350401</v>
      </c>
      <c r="B365" s="164" t="s">
        <v>186</v>
      </c>
      <c r="C365" s="165">
        <v>0</v>
      </c>
      <c r="D365" s="165">
        <v>0</v>
      </c>
      <c r="E365" s="165">
        <v>0</v>
      </c>
      <c r="F365" s="165">
        <v>8521352</v>
      </c>
      <c r="G365" s="165">
        <f t="shared" si="165"/>
        <v>8521352</v>
      </c>
      <c r="H365" s="165">
        <v>0</v>
      </c>
      <c r="I365" s="165">
        <v>0</v>
      </c>
      <c r="J365" s="165">
        <f t="shared" si="155"/>
        <v>8521352</v>
      </c>
      <c r="K365" s="165">
        <v>0</v>
      </c>
      <c r="L365" s="165">
        <v>0</v>
      </c>
      <c r="M365" s="165">
        <f t="shared" si="156"/>
        <v>0</v>
      </c>
      <c r="N365" s="165">
        <v>0</v>
      </c>
      <c r="O365" s="165">
        <f t="shared" si="157"/>
        <v>0</v>
      </c>
      <c r="P365" s="165">
        <f t="shared" si="158"/>
        <v>8521352</v>
      </c>
      <c r="Q365" s="165">
        <f t="shared" si="159"/>
        <v>0</v>
      </c>
      <c r="V365" s="149">
        <v>8521352</v>
      </c>
      <c r="AA365" s="165"/>
      <c r="AC365" s="165"/>
      <c r="AE365" s="165"/>
    </row>
    <row r="366" spans="1:31" s="100" customFormat="1" ht="30" hidden="1" x14ac:dyDescent="0.25">
      <c r="A366" s="163">
        <v>2350402</v>
      </c>
      <c r="B366" s="164" t="s">
        <v>187</v>
      </c>
      <c r="C366" s="165">
        <v>0</v>
      </c>
      <c r="D366" s="165">
        <v>0</v>
      </c>
      <c r="E366" s="165">
        <v>0</v>
      </c>
      <c r="F366" s="165">
        <v>1126955</v>
      </c>
      <c r="G366" s="165">
        <f t="shared" si="165"/>
        <v>1126955</v>
      </c>
      <c r="H366" s="165">
        <v>1126955</v>
      </c>
      <c r="I366" s="165">
        <v>1126955</v>
      </c>
      <c r="J366" s="165">
        <f t="shared" si="155"/>
        <v>0</v>
      </c>
      <c r="K366" s="165">
        <v>1126955</v>
      </c>
      <c r="L366" s="165">
        <v>1126955</v>
      </c>
      <c r="M366" s="165">
        <f t="shared" si="156"/>
        <v>0</v>
      </c>
      <c r="N366" s="165">
        <v>1126955</v>
      </c>
      <c r="O366" s="165">
        <f t="shared" si="157"/>
        <v>0</v>
      </c>
      <c r="P366" s="165">
        <f t="shared" si="158"/>
        <v>0</v>
      </c>
      <c r="Q366" s="165">
        <f t="shared" si="159"/>
        <v>1126955</v>
      </c>
      <c r="R366" s="84"/>
      <c r="S366" s="84"/>
      <c r="T366" s="84"/>
      <c r="U366" s="84"/>
      <c r="V366" s="149">
        <v>0</v>
      </c>
      <c r="X366" s="84"/>
      <c r="Y366" s="84"/>
      <c r="AA366" s="165"/>
      <c r="AC366" s="165"/>
      <c r="AE366" s="165"/>
    </row>
    <row r="367" spans="1:31" hidden="1" x14ac:dyDescent="0.25">
      <c r="A367" s="163">
        <v>2350403</v>
      </c>
      <c r="B367" s="164" t="s">
        <v>188</v>
      </c>
      <c r="C367" s="165">
        <v>0</v>
      </c>
      <c r="D367" s="165">
        <v>0</v>
      </c>
      <c r="E367" s="165">
        <v>0</v>
      </c>
      <c r="F367" s="165">
        <v>4977319</v>
      </c>
      <c r="G367" s="165">
        <f t="shared" si="165"/>
        <v>4977319</v>
      </c>
      <c r="H367" s="165">
        <v>4977319</v>
      </c>
      <c r="I367" s="165">
        <v>4977319</v>
      </c>
      <c r="J367" s="165">
        <f t="shared" si="155"/>
        <v>0</v>
      </c>
      <c r="K367" s="165">
        <v>4977319</v>
      </c>
      <c r="L367" s="165">
        <v>4977319</v>
      </c>
      <c r="M367" s="165">
        <f t="shared" si="156"/>
        <v>0</v>
      </c>
      <c r="N367" s="165">
        <v>4977319</v>
      </c>
      <c r="O367" s="165">
        <f t="shared" si="157"/>
        <v>0</v>
      </c>
      <c r="P367" s="165">
        <f t="shared" si="158"/>
        <v>0</v>
      </c>
      <c r="Q367" s="165">
        <f t="shared" si="159"/>
        <v>4977319</v>
      </c>
      <c r="V367" s="149">
        <v>0</v>
      </c>
      <c r="AA367" s="165"/>
      <c r="AC367" s="165"/>
      <c r="AE367" s="165"/>
    </row>
    <row r="368" spans="1:31" hidden="1" x14ac:dyDescent="0.25">
      <c r="A368" s="163">
        <v>2350404</v>
      </c>
      <c r="B368" s="164" t="s">
        <v>189</v>
      </c>
      <c r="C368" s="165">
        <v>0</v>
      </c>
      <c r="D368" s="165">
        <v>0</v>
      </c>
      <c r="E368" s="165">
        <v>0</v>
      </c>
      <c r="F368" s="165">
        <v>5000</v>
      </c>
      <c r="G368" s="165">
        <f t="shared" si="165"/>
        <v>5000</v>
      </c>
      <c r="H368" s="165">
        <v>0</v>
      </c>
      <c r="I368" s="165">
        <v>0</v>
      </c>
      <c r="J368" s="165">
        <f t="shared" si="155"/>
        <v>5000</v>
      </c>
      <c r="K368" s="165">
        <v>0</v>
      </c>
      <c r="L368" s="165">
        <v>0</v>
      </c>
      <c r="M368" s="165">
        <f t="shared" si="156"/>
        <v>0</v>
      </c>
      <c r="N368" s="165">
        <v>0</v>
      </c>
      <c r="O368" s="165">
        <f t="shared" si="157"/>
        <v>0</v>
      </c>
      <c r="P368" s="165">
        <f t="shared" si="158"/>
        <v>5000</v>
      </c>
      <c r="Q368" s="165">
        <f t="shared" si="159"/>
        <v>0</v>
      </c>
      <c r="V368" s="149">
        <v>5000</v>
      </c>
      <c r="AA368" s="165"/>
      <c r="AC368" s="165"/>
      <c r="AE368" s="165"/>
    </row>
    <row r="369" spans="1:31" ht="30" hidden="1" x14ac:dyDescent="0.25">
      <c r="A369" s="163">
        <v>2350405</v>
      </c>
      <c r="B369" s="164" t="s">
        <v>190</v>
      </c>
      <c r="C369" s="165">
        <v>0</v>
      </c>
      <c r="D369" s="165">
        <v>0</v>
      </c>
      <c r="E369" s="165">
        <v>0</v>
      </c>
      <c r="F369" s="165">
        <v>1462335</v>
      </c>
      <c r="G369" s="165">
        <f t="shared" si="165"/>
        <v>1462335</v>
      </c>
      <c r="H369" s="165">
        <v>0</v>
      </c>
      <c r="I369" s="165">
        <v>0</v>
      </c>
      <c r="J369" s="165">
        <f t="shared" si="155"/>
        <v>1462335</v>
      </c>
      <c r="K369" s="165">
        <v>0</v>
      </c>
      <c r="L369" s="165">
        <v>0</v>
      </c>
      <c r="M369" s="165">
        <f t="shared" si="156"/>
        <v>0</v>
      </c>
      <c r="N369" s="165">
        <v>0</v>
      </c>
      <c r="O369" s="165">
        <f t="shared" si="157"/>
        <v>0</v>
      </c>
      <c r="P369" s="165">
        <f t="shared" si="158"/>
        <v>1462335</v>
      </c>
      <c r="Q369" s="165">
        <f t="shared" si="159"/>
        <v>0</v>
      </c>
      <c r="U369" s="100"/>
      <c r="V369" s="149">
        <v>1462335</v>
      </c>
      <c r="AA369" s="165"/>
      <c r="AC369" s="165"/>
      <c r="AE369" s="165"/>
    </row>
    <row r="370" spans="1:31" ht="30" hidden="1" x14ac:dyDescent="0.25">
      <c r="A370" s="163">
        <v>2350406</v>
      </c>
      <c r="B370" s="164" t="s">
        <v>191</v>
      </c>
      <c r="C370" s="165">
        <v>0</v>
      </c>
      <c r="D370" s="165">
        <v>0</v>
      </c>
      <c r="E370" s="165">
        <v>0</v>
      </c>
      <c r="F370" s="165">
        <v>60139189</v>
      </c>
      <c r="G370" s="165">
        <f t="shared" si="165"/>
        <v>60139189</v>
      </c>
      <c r="H370" s="165">
        <v>139189</v>
      </c>
      <c r="I370" s="165">
        <v>59741248</v>
      </c>
      <c r="J370" s="165">
        <f t="shared" si="155"/>
        <v>397941</v>
      </c>
      <c r="K370" s="165">
        <v>41860630.299999997</v>
      </c>
      <c r="L370" s="165">
        <v>59741248</v>
      </c>
      <c r="M370" s="165">
        <f t="shared" si="156"/>
        <v>0</v>
      </c>
      <c r="N370" s="165">
        <v>59741848</v>
      </c>
      <c r="O370" s="165">
        <f t="shared" si="157"/>
        <v>600</v>
      </c>
      <c r="P370" s="165">
        <f t="shared" si="158"/>
        <v>397341</v>
      </c>
      <c r="Q370" s="165">
        <f t="shared" si="159"/>
        <v>59741248</v>
      </c>
      <c r="R370" s="100"/>
      <c r="S370" s="100"/>
      <c r="T370" s="100"/>
      <c r="V370" s="149">
        <v>397341</v>
      </c>
      <c r="AA370" s="165"/>
      <c r="AC370" s="165"/>
      <c r="AE370" s="165"/>
    </row>
    <row r="371" spans="1:31" ht="30" hidden="1" x14ac:dyDescent="0.25">
      <c r="A371" s="163">
        <v>2350407</v>
      </c>
      <c r="B371" s="164" t="s">
        <v>192</v>
      </c>
      <c r="C371" s="165">
        <v>0</v>
      </c>
      <c r="D371" s="165">
        <v>0</v>
      </c>
      <c r="E371" s="165">
        <v>0</v>
      </c>
      <c r="F371" s="165">
        <v>282815</v>
      </c>
      <c r="G371" s="165">
        <f t="shared" si="165"/>
        <v>282815</v>
      </c>
      <c r="H371" s="165">
        <v>0</v>
      </c>
      <c r="I371" s="165">
        <v>0</v>
      </c>
      <c r="J371" s="165">
        <f t="shared" si="155"/>
        <v>282815</v>
      </c>
      <c r="K371" s="165">
        <v>0</v>
      </c>
      <c r="L371" s="165">
        <v>0</v>
      </c>
      <c r="M371" s="165">
        <f t="shared" si="156"/>
        <v>0</v>
      </c>
      <c r="N371" s="165">
        <v>0</v>
      </c>
      <c r="O371" s="165">
        <f t="shared" si="157"/>
        <v>0</v>
      </c>
      <c r="P371" s="165">
        <f t="shared" si="158"/>
        <v>282815</v>
      </c>
      <c r="Q371" s="165">
        <f t="shared" si="159"/>
        <v>0</v>
      </c>
      <c r="V371" s="149">
        <v>282815</v>
      </c>
      <c r="AA371" s="165"/>
      <c r="AC371" s="165"/>
      <c r="AE371" s="165"/>
    </row>
    <row r="372" spans="1:31" ht="30" hidden="1" x14ac:dyDescent="0.25">
      <c r="A372" s="163">
        <v>2350408</v>
      </c>
      <c r="B372" s="164" t="s">
        <v>193</v>
      </c>
      <c r="C372" s="165">
        <v>0</v>
      </c>
      <c r="D372" s="165">
        <v>0</v>
      </c>
      <c r="E372" s="165">
        <v>0</v>
      </c>
      <c r="F372" s="165">
        <v>3015215</v>
      </c>
      <c r="G372" s="165">
        <f t="shared" si="165"/>
        <v>3015215</v>
      </c>
      <c r="H372" s="165">
        <v>0</v>
      </c>
      <c r="I372" s="165">
        <v>0</v>
      </c>
      <c r="J372" s="165">
        <f t="shared" si="155"/>
        <v>3015215</v>
      </c>
      <c r="K372" s="165">
        <v>0</v>
      </c>
      <c r="L372" s="165">
        <v>0</v>
      </c>
      <c r="M372" s="165">
        <f t="shared" si="156"/>
        <v>0</v>
      </c>
      <c r="N372" s="165">
        <v>0</v>
      </c>
      <c r="O372" s="165">
        <f t="shared" si="157"/>
        <v>0</v>
      </c>
      <c r="P372" s="165">
        <f t="shared" si="158"/>
        <v>3015215</v>
      </c>
      <c r="Q372" s="165">
        <f t="shared" si="159"/>
        <v>0</v>
      </c>
      <c r="V372" s="149">
        <v>3015215</v>
      </c>
      <c r="AA372" s="165"/>
      <c r="AC372" s="165"/>
      <c r="AE372" s="165"/>
    </row>
    <row r="373" spans="1:31" ht="30" hidden="1" x14ac:dyDescent="0.25">
      <c r="A373" s="163">
        <v>2350409</v>
      </c>
      <c r="B373" s="164" t="s">
        <v>194</v>
      </c>
      <c r="C373" s="165">
        <v>0</v>
      </c>
      <c r="D373" s="165">
        <v>0</v>
      </c>
      <c r="E373" s="165">
        <v>0</v>
      </c>
      <c r="F373" s="165">
        <v>9705246</v>
      </c>
      <c r="G373" s="165">
        <f t="shared" si="165"/>
        <v>9705246</v>
      </c>
      <c r="H373" s="165">
        <v>0</v>
      </c>
      <c r="I373" s="165">
        <v>0</v>
      </c>
      <c r="J373" s="165">
        <f t="shared" si="155"/>
        <v>9705246</v>
      </c>
      <c r="K373" s="165">
        <v>0</v>
      </c>
      <c r="L373" s="165">
        <v>0</v>
      </c>
      <c r="M373" s="165">
        <f t="shared" si="156"/>
        <v>0</v>
      </c>
      <c r="N373" s="165">
        <v>0</v>
      </c>
      <c r="O373" s="165">
        <f t="shared" si="157"/>
        <v>0</v>
      </c>
      <c r="P373" s="165">
        <f t="shared" si="158"/>
        <v>9705246</v>
      </c>
      <c r="Q373" s="165">
        <f t="shared" si="159"/>
        <v>0</v>
      </c>
      <c r="V373" s="149">
        <v>9705246</v>
      </c>
      <c r="AA373" s="165"/>
      <c r="AC373" s="165"/>
      <c r="AE373" s="165"/>
    </row>
    <row r="374" spans="1:31" s="100" customFormat="1" ht="30" hidden="1" x14ac:dyDescent="0.25">
      <c r="A374" s="163">
        <v>2350410</v>
      </c>
      <c r="B374" s="164" t="s">
        <v>195</v>
      </c>
      <c r="C374" s="165">
        <v>0</v>
      </c>
      <c r="D374" s="165">
        <v>0</v>
      </c>
      <c r="E374" s="165">
        <v>0</v>
      </c>
      <c r="F374" s="165">
        <v>3691380</v>
      </c>
      <c r="G374" s="165">
        <f t="shared" si="165"/>
        <v>3691380</v>
      </c>
      <c r="H374" s="165">
        <v>0</v>
      </c>
      <c r="I374" s="165">
        <v>0</v>
      </c>
      <c r="J374" s="165">
        <f t="shared" si="155"/>
        <v>3691380</v>
      </c>
      <c r="K374" s="165">
        <v>0</v>
      </c>
      <c r="L374" s="165">
        <v>0</v>
      </c>
      <c r="M374" s="165">
        <f t="shared" si="156"/>
        <v>0</v>
      </c>
      <c r="N374" s="165">
        <v>0</v>
      </c>
      <c r="O374" s="165">
        <f t="shared" si="157"/>
        <v>0</v>
      </c>
      <c r="P374" s="165">
        <f t="shared" si="158"/>
        <v>3691380</v>
      </c>
      <c r="Q374" s="165">
        <f t="shared" si="159"/>
        <v>0</v>
      </c>
      <c r="R374" s="84"/>
      <c r="S374" s="84"/>
      <c r="T374" s="84"/>
      <c r="U374" s="84"/>
      <c r="V374" s="149">
        <v>3691380</v>
      </c>
      <c r="X374" s="84"/>
      <c r="Y374" s="84"/>
      <c r="AA374" s="165"/>
      <c r="AC374" s="165"/>
      <c r="AE374" s="165"/>
    </row>
    <row r="375" spans="1:31" hidden="1" x14ac:dyDescent="0.25">
      <c r="A375" s="163">
        <v>2350411</v>
      </c>
      <c r="B375" s="164" t="s">
        <v>185</v>
      </c>
      <c r="C375" s="165">
        <v>0</v>
      </c>
      <c r="D375" s="165">
        <v>0</v>
      </c>
      <c r="E375" s="165">
        <v>0</v>
      </c>
      <c r="F375" s="165">
        <v>69033301</v>
      </c>
      <c r="G375" s="165">
        <f t="shared" si="165"/>
        <v>69033301</v>
      </c>
      <c r="H375" s="165">
        <v>0</v>
      </c>
      <c r="I375" s="165">
        <v>0</v>
      </c>
      <c r="J375" s="165">
        <f t="shared" si="155"/>
        <v>69033301</v>
      </c>
      <c r="K375" s="165">
        <v>0</v>
      </c>
      <c r="L375" s="165">
        <v>0</v>
      </c>
      <c r="M375" s="165">
        <f t="shared" si="156"/>
        <v>0</v>
      </c>
      <c r="N375" s="165">
        <v>0</v>
      </c>
      <c r="O375" s="165">
        <f t="shared" si="157"/>
        <v>0</v>
      </c>
      <c r="P375" s="165">
        <f t="shared" si="158"/>
        <v>69033301</v>
      </c>
      <c r="Q375" s="165">
        <f t="shared" si="159"/>
        <v>0</v>
      </c>
      <c r="V375" s="149">
        <v>69033301</v>
      </c>
      <c r="AA375" s="165"/>
      <c r="AC375" s="165"/>
      <c r="AE375" s="165"/>
    </row>
    <row r="376" spans="1:31" hidden="1" x14ac:dyDescent="0.25">
      <c r="A376" s="160">
        <v>23505</v>
      </c>
      <c r="B376" s="161" t="s">
        <v>196</v>
      </c>
      <c r="C376" s="162">
        <f>SUM(C377:C383)</f>
        <v>0</v>
      </c>
      <c r="D376" s="162">
        <f t="shared" ref="D376:G376" si="168">SUM(D377:D383)</f>
        <v>0</v>
      </c>
      <c r="E376" s="162">
        <f t="shared" si="168"/>
        <v>0</v>
      </c>
      <c r="F376" s="162">
        <f t="shared" si="168"/>
        <v>87402263</v>
      </c>
      <c r="G376" s="162">
        <f t="shared" si="168"/>
        <v>87402263</v>
      </c>
      <c r="H376" s="162">
        <v>750000</v>
      </c>
      <c r="I376" s="162">
        <v>53460290</v>
      </c>
      <c r="J376" s="162">
        <f t="shared" si="155"/>
        <v>33941973</v>
      </c>
      <c r="K376" s="162">
        <v>750000</v>
      </c>
      <c r="L376" s="162">
        <v>51378207</v>
      </c>
      <c r="M376" s="162">
        <f t="shared" si="156"/>
        <v>2082083</v>
      </c>
      <c r="N376" s="162">
        <v>54035017</v>
      </c>
      <c r="O376" s="162">
        <f t="shared" si="157"/>
        <v>574727</v>
      </c>
      <c r="P376" s="162">
        <f t="shared" si="158"/>
        <v>33367246</v>
      </c>
      <c r="Q376" s="162">
        <f t="shared" si="159"/>
        <v>51378207</v>
      </c>
      <c r="V376" s="149">
        <v>33367246</v>
      </c>
      <c r="AA376" s="162"/>
      <c r="AC376" s="162"/>
      <c r="AE376" s="162"/>
    </row>
    <row r="377" spans="1:31" ht="30" hidden="1" x14ac:dyDescent="0.25">
      <c r="A377" s="163">
        <v>2350501</v>
      </c>
      <c r="B377" s="164" t="s">
        <v>197</v>
      </c>
      <c r="C377" s="165">
        <v>0</v>
      </c>
      <c r="D377" s="165">
        <v>0</v>
      </c>
      <c r="E377" s="165">
        <v>0</v>
      </c>
      <c r="F377" s="165">
        <v>3375956</v>
      </c>
      <c r="G377" s="165">
        <f t="shared" si="165"/>
        <v>3375956</v>
      </c>
      <c r="H377" s="165">
        <v>0</v>
      </c>
      <c r="I377" s="165">
        <v>0</v>
      </c>
      <c r="J377" s="165">
        <f t="shared" si="155"/>
        <v>3375956</v>
      </c>
      <c r="K377" s="165">
        <v>0</v>
      </c>
      <c r="L377" s="165">
        <v>0</v>
      </c>
      <c r="M377" s="165">
        <f t="shared" si="156"/>
        <v>0</v>
      </c>
      <c r="N377" s="165">
        <v>0</v>
      </c>
      <c r="O377" s="165">
        <f t="shared" si="157"/>
        <v>0</v>
      </c>
      <c r="P377" s="165">
        <f t="shared" si="158"/>
        <v>3375956</v>
      </c>
      <c r="Q377" s="165">
        <f t="shared" si="159"/>
        <v>0</v>
      </c>
      <c r="U377" s="100"/>
      <c r="V377" s="149">
        <v>3375956</v>
      </c>
      <c r="AA377" s="165"/>
      <c r="AC377" s="165"/>
      <c r="AE377" s="165"/>
    </row>
    <row r="378" spans="1:31" ht="30" hidden="1" x14ac:dyDescent="0.25">
      <c r="A378" s="163">
        <v>2350502</v>
      </c>
      <c r="B378" s="164" t="s">
        <v>198</v>
      </c>
      <c r="C378" s="165">
        <v>0</v>
      </c>
      <c r="D378" s="165">
        <v>0</v>
      </c>
      <c r="E378" s="165">
        <v>0</v>
      </c>
      <c r="F378" s="165">
        <v>898908</v>
      </c>
      <c r="G378" s="165">
        <f t="shared" si="165"/>
        <v>898908</v>
      </c>
      <c r="H378" s="165">
        <v>0</v>
      </c>
      <c r="I378" s="165">
        <v>0</v>
      </c>
      <c r="J378" s="165">
        <f t="shared" si="155"/>
        <v>898908</v>
      </c>
      <c r="K378" s="165">
        <v>0</v>
      </c>
      <c r="L378" s="165">
        <v>0</v>
      </c>
      <c r="M378" s="165">
        <f t="shared" si="156"/>
        <v>0</v>
      </c>
      <c r="N378" s="165">
        <v>0</v>
      </c>
      <c r="O378" s="165">
        <f t="shared" si="157"/>
        <v>0</v>
      </c>
      <c r="P378" s="165">
        <f t="shared" si="158"/>
        <v>898908</v>
      </c>
      <c r="Q378" s="165">
        <f t="shared" si="159"/>
        <v>0</v>
      </c>
      <c r="R378" s="100"/>
      <c r="S378" s="100"/>
      <c r="T378" s="100"/>
      <c r="V378" s="149">
        <v>898908</v>
      </c>
      <c r="AA378" s="165"/>
      <c r="AC378" s="165"/>
      <c r="AE378" s="165"/>
    </row>
    <row r="379" spans="1:31" ht="30" hidden="1" x14ac:dyDescent="0.25">
      <c r="A379" s="163">
        <v>2350503</v>
      </c>
      <c r="B379" s="164" t="s">
        <v>199</v>
      </c>
      <c r="C379" s="165">
        <v>0</v>
      </c>
      <c r="D379" s="165">
        <v>0</v>
      </c>
      <c r="E379" s="165">
        <v>0</v>
      </c>
      <c r="F379" s="165">
        <v>1181670</v>
      </c>
      <c r="G379" s="165">
        <f t="shared" si="165"/>
        <v>1181670</v>
      </c>
      <c r="H379" s="165">
        <v>0</v>
      </c>
      <c r="I379" s="165">
        <v>0</v>
      </c>
      <c r="J379" s="165">
        <f t="shared" si="155"/>
        <v>1181670</v>
      </c>
      <c r="K379" s="165">
        <v>0</v>
      </c>
      <c r="L379" s="165">
        <v>0</v>
      </c>
      <c r="M379" s="165">
        <f t="shared" si="156"/>
        <v>0</v>
      </c>
      <c r="N379" s="165">
        <v>0</v>
      </c>
      <c r="O379" s="165">
        <f t="shared" si="157"/>
        <v>0</v>
      </c>
      <c r="P379" s="165">
        <f t="shared" si="158"/>
        <v>1181670</v>
      </c>
      <c r="Q379" s="165">
        <f t="shared" si="159"/>
        <v>0</v>
      </c>
      <c r="V379" s="149">
        <v>1181670</v>
      </c>
      <c r="AA379" s="165"/>
      <c r="AC379" s="165"/>
      <c r="AE379" s="165"/>
    </row>
    <row r="380" spans="1:31" ht="30" hidden="1" x14ac:dyDescent="0.25">
      <c r="A380" s="163">
        <v>2350504</v>
      </c>
      <c r="B380" s="164" t="s">
        <v>200</v>
      </c>
      <c r="C380" s="165">
        <v>0</v>
      </c>
      <c r="D380" s="165">
        <v>0</v>
      </c>
      <c r="E380" s="165">
        <v>0</v>
      </c>
      <c r="F380" s="165">
        <v>4180583</v>
      </c>
      <c r="G380" s="165">
        <f t="shared" si="165"/>
        <v>4180583</v>
      </c>
      <c r="H380" s="165">
        <v>0</v>
      </c>
      <c r="I380" s="165">
        <v>2082083</v>
      </c>
      <c r="J380" s="165">
        <f t="shared" si="155"/>
        <v>2098500</v>
      </c>
      <c r="K380" s="165">
        <v>0</v>
      </c>
      <c r="L380" s="165">
        <v>0</v>
      </c>
      <c r="M380" s="165">
        <f t="shared" si="156"/>
        <v>2082083</v>
      </c>
      <c r="N380" s="165">
        <v>2082083</v>
      </c>
      <c r="O380" s="165">
        <f t="shared" si="157"/>
        <v>0</v>
      </c>
      <c r="P380" s="165">
        <f t="shared" si="158"/>
        <v>2098500</v>
      </c>
      <c r="Q380" s="165">
        <f t="shared" si="159"/>
        <v>0</v>
      </c>
      <c r="V380" s="149">
        <v>2098500</v>
      </c>
      <c r="AA380" s="165"/>
      <c r="AC380" s="165"/>
      <c r="AE380" s="165"/>
    </row>
    <row r="381" spans="1:31" ht="30" hidden="1" x14ac:dyDescent="0.25">
      <c r="A381" s="163">
        <v>2350505</v>
      </c>
      <c r="B381" s="164" t="s">
        <v>201</v>
      </c>
      <c r="C381" s="165">
        <v>0</v>
      </c>
      <c r="D381" s="165">
        <v>0</v>
      </c>
      <c r="E381" s="165">
        <v>0</v>
      </c>
      <c r="F381" s="165">
        <v>2074727</v>
      </c>
      <c r="G381" s="165">
        <f t="shared" si="165"/>
        <v>2074727</v>
      </c>
      <c r="H381" s="165">
        <v>750000</v>
      </c>
      <c r="I381" s="165">
        <v>1500000</v>
      </c>
      <c r="J381" s="165">
        <f t="shared" si="155"/>
        <v>574727</v>
      </c>
      <c r="K381" s="165">
        <v>750000</v>
      </c>
      <c r="L381" s="165">
        <v>1500000</v>
      </c>
      <c r="M381" s="165">
        <f t="shared" si="156"/>
        <v>0</v>
      </c>
      <c r="N381" s="165">
        <v>2074727</v>
      </c>
      <c r="O381" s="165">
        <f t="shared" si="157"/>
        <v>574727</v>
      </c>
      <c r="P381" s="165">
        <f t="shared" si="158"/>
        <v>0</v>
      </c>
      <c r="Q381" s="165">
        <f t="shared" si="159"/>
        <v>1500000</v>
      </c>
      <c r="V381" s="149">
        <v>0</v>
      </c>
      <c r="AA381" s="165"/>
      <c r="AC381" s="165"/>
      <c r="AE381" s="165"/>
    </row>
    <row r="382" spans="1:31" ht="30" hidden="1" x14ac:dyDescent="0.25">
      <c r="A382" s="163">
        <v>2350506</v>
      </c>
      <c r="B382" s="164" t="s">
        <v>202</v>
      </c>
      <c r="C382" s="165">
        <v>0</v>
      </c>
      <c r="D382" s="165">
        <v>0</v>
      </c>
      <c r="E382" s="165">
        <v>0</v>
      </c>
      <c r="F382" s="165">
        <v>49878207</v>
      </c>
      <c r="G382" s="165">
        <f t="shared" si="165"/>
        <v>49878207</v>
      </c>
      <c r="H382" s="165">
        <v>0</v>
      </c>
      <c r="I382" s="165">
        <v>49878207</v>
      </c>
      <c r="J382" s="165">
        <f t="shared" si="155"/>
        <v>0</v>
      </c>
      <c r="K382" s="165">
        <v>0</v>
      </c>
      <c r="L382" s="165">
        <v>49878207</v>
      </c>
      <c r="M382" s="165">
        <f t="shared" si="156"/>
        <v>0</v>
      </c>
      <c r="N382" s="165">
        <v>49878207</v>
      </c>
      <c r="O382" s="165">
        <f t="shared" si="157"/>
        <v>0</v>
      </c>
      <c r="P382" s="165">
        <f t="shared" si="158"/>
        <v>0</v>
      </c>
      <c r="Q382" s="165">
        <f t="shared" si="159"/>
        <v>49878207</v>
      </c>
      <c r="V382" s="149">
        <v>0</v>
      </c>
      <c r="AA382" s="165"/>
      <c r="AC382" s="165"/>
      <c r="AE382" s="165"/>
    </row>
    <row r="383" spans="1:31" ht="30" hidden="1" x14ac:dyDescent="0.25">
      <c r="A383" s="163">
        <v>2350507</v>
      </c>
      <c r="B383" s="164" t="s">
        <v>203</v>
      </c>
      <c r="C383" s="165">
        <v>0</v>
      </c>
      <c r="D383" s="165">
        <v>0</v>
      </c>
      <c r="E383" s="165">
        <v>0</v>
      </c>
      <c r="F383" s="165">
        <v>25812212</v>
      </c>
      <c r="G383" s="165">
        <f t="shared" si="165"/>
        <v>25812212</v>
      </c>
      <c r="H383" s="165">
        <v>0</v>
      </c>
      <c r="I383" s="165">
        <v>0</v>
      </c>
      <c r="J383" s="165">
        <f t="shared" si="155"/>
        <v>25812212</v>
      </c>
      <c r="K383" s="165">
        <v>0</v>
      </c>
      <c r="L383" s="165">
        <v>0</v>
      </c>
      <c r="M383" s="165">
        <f t="shared" si="156"/>
        <v>0</v>
      </c>
      <c r="N383" s="165">
        <v>0</v>
      </c>
      <c r="O383" s="165">
        <f t="shared" si="157"/>
        <v>0</v>
      </c>
      <c r="P383" s="165">
        <f t="shared" si="158"/>
        <v>25812212</v>
      </c>
      <c r="Q383" s="165">
        <f t="shared" si="159"/>
        <v>0</v>
      </c>
      <c r="V383" s="149">
        <v>25812212</v>
      </c>
      <c r="AA383" s="165"/>
      <c r="AC383" s="165"/>
      <c r="AE383" s="165"/>
    </row>
    <row r="384" spans="1:31" hidden="1" x14ac:dyDescent="0.25">
      <c r="A384" s="160">
        <v>23506</v>
      </c>
      <c r="B384" s="161" t="s">
        <v>204</v>
      </c>
      <c r="C384" s="162">
        <f>+C385</f>
        <v>0</v>
      </c>
      <c r="D384" s="162">
        <f t="shared" ref="D384:G384" si="169">+D385</f>
        <v>0</v>
      </c>
      <c r="E384" s="162">
        <f t="shared" si="169"/>
        <v>0</v>
      </c>
      <c r="F384" s="162">
        <f t="shared" si="169"/>
        <v>81175164</v>
      </c>
      <c r="G384" s="162">
        <f t="shared" si="169"/>
        <v>81175164</v>
      </c>
      <c r="H384" s="162">
        <v>0</v>
      </c>
      <c r="I384" s="162">
        <v>41843530</v>
      </c>
      <c r="J384" s="162">
        <f t="shared" si="155"/>
        <v>39331634</v>
      </c>
      <c r="K384" s="162">
        <v>626059</v>
      </c>
      <c r="L384" s="162">
        <v>41843530</v>
      </c>
      <c r="M384" s="162">
        <f t="shared" si="156"/>
        <v>0</v>
      </c>
      <c r="N384" s="162">
        <v>81175164</v>
      </c>
      <c r="O384" s="162">
        <f t="shared" si="157"/>
        <v>39331634</v>
      </c>
      <c r="P384" s="162">
        <f t="shared" si="158"/>
        <v>0</v>
      </c>
      <c r="Q384" s="162">
        <f t="shared" si="159"/>
        <v>41843530</v>
      </c>
      <c r="V384" s="149">
        <v>0</v>
      </c>
      <c r="AA384" s="162"/>
      <c r="AC384" s="162"/>
      <c r="AE384" s="162"/>
    </row>
    <row r="385" spans="1:31" ht="30" hidden="1" x14ac:dyDescent="0.25">
      <c r="A385" s="163">
        <v>2350601</v>
      </c>
      <c r="B385" s="164" t="s">
        <v>205</v>
      </c>
      <c r="C385" s="165">
        <v>0</v>
      </c>
      <c r="D385" s="165">
        <v>0</v>
      </c>
      <c r="E385" s="165">
        <v>0</v>
      </c>
      <c r="F385" s="165">
        <v>81175164</v>
      </c>
      <c r="G385" s="165">
        <f t="shared" si="165"/>
        <v>81175164</v>
      </c>
      <c r="H385" s="165">
        <v>0</v>
      </c>
      <c r="I385" s="165">
        <v>41843530</v>
      </c>
      <c r="J385" s="165">
        <f t="shared" si="155"/>
        <v>39331634</v>
      </c>
      <c r="K385" s="165">
        <v>626059</v>
      </c>
      <c r="L385" s="165">
        <v>41843530</v>
      </c>
      <c r="M385" s="165">
        <f t="shared" si="156"/>
        <v>0</v>
      </c>
      <c r="N385" s="165">
        <v>81175164</v>
      </c>
      <c r="O385" s="165">
        <f t="shared" si="157"/>
        <v>39331634</v>
      </c>
      <c r="P385" s="165">
        <f t="shared" si="158"/>
        <v>0</v>
      </c>
      <c r="Q385" s="165">
        <f t="shared" si="159"/>
        <v>41843530</v>
      </c>
      <c r="V385" s="149">
        <v>0</v>
      </c>
      <c r="AA385" s="165"/>
      <c r="AC385" s="165"/>
      <c r="AE385" s="165"/>
    </row>
    <row r="386" spans="1:31" ht="30" hidden="1" x14ac:dyDescent="0.25">
      <c r="A386" s="163">
        <v>23507</v>
      </c>
      <c r="B386" s="164" t="s">
        <v>206</v>
      </c>
      <c r="C386" s="165">
        <v>0</v>
      </c>
      <c r="D386" s="165">
        <v>0</v>
      </c>
      <c r="E386" s="165">
        <v>0</v>
      </c>
      <c r="F386" s="165">
        <v>605226612</v>
      </c>
      <c r="G386" s="165">
        <f t="shared" si="165"/>
        <v>605226612</v>
      </c>
      <c r="H386" s="165">
        <v>0</v>
      </c>
      <c r="I386" s="165">
        <v>133597541</v>
      </c>
      <c r="J386" s="165">
        <f t="shared" si="155"/>
        <v>471629071</v>
      </c>
      <c r="K386" s="165">
        <v>0</v>
      </c>
      <c r="L386" s="165">
        <v>0</v>
      </c>
      <c r="M386" s="165">
        <f t="shared" si="156"/>
        <v>133597541</v>
      </c>
      <c r="N386" s="165">
        <v>177013541</v>
      </c>
      <c r="O386" s="165">
        <f t="shared" si="157"/>
        <v>43416000</v>
      </c>
      <c r="P386" s="165">
        <f t="shared" si="158"/>
        <v>428213071</v>
      </c>
      <c r="Q386" s="165">
        <f t="shared" si="159"/>
        <v>0</v>
      </c>
      <c r="V386" s="149">
        <v>428213071</v>
      </c>
      <c r="AA386" s="165"/>
      <c r="AC386" s="165"/>
      <c r="AE386" s="165"/>
    </row>
    <row r="387" spans="1:31" ht="30" hidden="1" x14ac:dyDescent="0.25">
      <c r="A387" s="163">
        <v>23508</v>
      </c>
      <c r="B387" s="164" t="s">
        <v>207</v>
      </c>
      <c r="C387" s="165">
        <v>0</v>
      </c>
      <c r="D387" s="165">
        <v>0</v>
      </c>
      <c r="E387" s="165">
        <v>0</v>
      </c>
      <c r="F387" s="165">
        <v>658324932</v>
      </c>
      <c r="G387" s="165">
        <f t="shared" si="165"/>
        <v>658324932</v>
      </c>
      <c r="H387" s="165">
        <v>77973054</v>
      </c>
      <c r="I387" s="165">
        <v>119812595</v>
      </c>
      <c r="J387" s="165">
        <f t="shared" si="155"/>
        <v>538512337</v>
      </c>
      <c r="K387" s="165">
        <v>0</v>
      </c>
      <c r="L387" s="165">
        <v>31039541</v>
      </c>
      <c r="M387" s="165">
        <f t="shared" si="156"/>
        <v>88773054</v>
      </c>
      <c r="N387" s="165">
        <v>147043195</v>
      </c>
      <c r="O387" s="165">
        <f t="shared" si="157"/>
        <v>27230600</v>
      </c>
      <c r="P387" s="165">
        <f t="shared" si="158"/>
        <v>511281737</v>
      </c>
      <c r="Q387" s="165">
        <f t="shared" si="159"/>
        <v>31039541</v>
      </c>
      <c r="V387" s="149">
        <v>511281737</v>
      </c>
      <c r="AA387" s="165"/>
      <c r="AC387" s="165"/>
      <c r="AE387" s="165"/>
    </row>
    <row r="388" spans="1:31" ht="30" hidden="1" x14ac:dyDescent="0.25">
      <c r="A388" s="163">
        <v>23509</v>
      </c>
      <c r="B388" s="164" t="s">
        <v>208</v>
      </c>
      <c r="C388" s="165">
        <v>0</v>
      </c>
      <c r="D388" s="165">
        <v>0</v>
      </c>
      <c r="E388" s="165">
        <v>0</v>
      </c>
      <c r="F388" s="165">
        <v>29204681</v>
      </c>
      <c r="G388" s="165">
        <f t="shared" si="165"/>
        <v>29204681</v>
      </c>
      <c r="H388" s="165">
        <v>0</v>
      </c>
      <c r="I388" s="165">
        <v>25652211</v>
      </c>
      <c r="J388" s="165">
        <f t="shared" si="155"/>
        <v>3552470</v>
      </c>
      <c r="K388" s="165">
        <v>0</v>
      </c>
      <c r="L388" s="165">
        <v>25652211</v>
      </c>
      <c r="M388" s="165">
        <f t="shared" si="156"/>
        <v>0</v>
      </c>
      <c r="N388" s="165">
        <v>25652215</v>
      </c>
      <c r="O388" s="165">
        <f t="shared" si="157"/>
        <v>4</v>
      </c>
      <c r="P388" s="165">
        <f t="shared" si="158"/>
        <v>3552466</v>
      </c>
      <c r="Q388" s="165">
        <f t="shared" si="159"/>
        <v>25652211</v>
      </c>
      <c r="V388" s="149">
        <v>3552466</v>
      </c>
      <c r="AA388" s="165"/>
      <c r="AC388" s="165"/>
      <c r="AE388" s="165"/>
    </row>
    <row r="389" spans="1:31" ht="45" hidden="1" x14ac:dyDescent="0.25">
      <c r="A389" s="163">
        <v>23510</v>
      </c>
      <c r="B389" s="164" t="s">
        <v>209</v>
      </c>
      <c r="C389" s="165">
        <v>0</v>
      </c>
      <c r="D389" s="165">
        <v>0</v>
      </c>
      <c r="E389" s="165">
        <v>0</v>
      </c>
      <c r="F389" s="165">
        <v>66900000</v>
      </c>
      <c r="G389" s="165">
        <f t="shared" si="165"/>
        <v>66900000</v>
      </c>
      <c r="H389" s="165">
        <v>0</v>
      </c>
      <c r="I389" s="165">
        <v>30527191</v>
      </c>
      <c r="J389" s="165">
        <f t="shared" si="155"/>
        <v>36372809</v>
      </c>
      <c r="K389" s="165">
        <v>0</v>
      </c>
      <c r="L389" s="165">
        <v>11127191</v>
      </c>
      <c r="M389" s="165">
        <f t="shared" si="156"/>
        <v>19400000</v>
      </c>
      <c r="N389" s="165">
        <v>58527191</v>
      </c>
      <c r="O389" s="165">
        <f t="shared" si="157"/>
        <v>28000000</v>
      </c>
      <c r="P389" s="165">
        <f t="shared" si="158"/>
        <v>8372809</v>
      </c>
      <c r="Q389" s="165">
        <f t="shared" si="159"/>
        <v>11127191</v>
      </c>
      <c r="V389" s="149">
        <v>8372809</v>
      </c>
      <c r="AA389" s="165"/>
      <c r="AC389" s="165"/>
      <c r="AE389" s="165"/>
    </row>
    <row r="390" spans="1:31" hidden="1" x14ac:dyDescent="0.25">
      <c r="A390" s="163">
        <v>23511</v>
      </c>
      <c r="B390" s="164" t="s">
        <v>210</v>
      </c>
      <c r="C390" s="165">
        <v>0</v>
      </c>
      <c r="D390" s="165">
        <v>0</v>
      </c>
      <c r="E390" s="165">
        <v>0</v>
      </c>
      <c r="F390" s="165">
        <v>264556855</v>
      </c>
      <c r="G390" s="165">
        <f t="shared" si="165"/>
        <v>264556855</v>
      </c>
      <c r="H390" s="165">
        <v>1509337</v>
      </c>
      <c r="I390" s="165">
        <v>256840380</v>
      </c>
      <c r="J390" s="165">
        <f t="shared" si="155"/>
        <v>7716475</v>
      </c>
      <c r="K390" s="165">
        <v>18614051</v>
      </c>
      <c r="L390" s="165">
        <v>200909730</v>
      </c>
      <c r="M390" s="165">
        <f t="shared" si="156"/>
        <v>55930650</v>
      </c>
      <c r="N390" s="165">
        <v>264556855</v>
      </c>
      <c r="O390" s="165">
        <f t="shared" si="157"/>
        <v>7716475</v>
      </c>
      <c r="P390" s="165">
        <f t="shared" si="158"/>
        <v>0</v>
      </c>
      <c r="Q390" s="165">
        <f t="shared" si="159"/>
        <v>200909730</v>
      </c>
      <c r="V390" s="149">
        <v>0</v>
      </c>
      <c r="AA390" s="165"/>
      <c r="AC390" s="165"/>
      <c r="AE390" s="165"/>
    </row>
    <row r="391" spans="1:31" ht="30" hidden="1" x14ac:dyDescent="0.25">
      <c r="A391" s="163">
        <v>23512</v>
      </c>
      <c r="B391" s="164" t="s">
        <v>211</v>
      </c>
      <c r="C391" s="165">
        <v>0</v>
      </c>
      <c r="D391" s="165">
        <v>0</v>
      </c>
      <c r="E391" s="165">
        <v>0</v>
      </c>
      <c r="F391" s="165">
        <v>33500000</v>
      </c>
      <c r="G391" s="165">
        <f t="shared" si="165"/>
        <v>33500000</v>
      </c>
      <c r="H391" s="165">
        <v>0</v>
      </c>
      <c r="I391" s="165">
        <v>0</v>
      </c>
      <c r="J391" s="165">
        <f t="shared" ref="J391:J408" si="170">+G391-I391</f>
        <v>33500000</v>
      </c>
      <c r="K391" s="165">
        <v>0</v>
      </c>
      <c r="L391" s="165">
        <v>0</v>
      </c>
      <c r="M391" s="165">
        <f t="shared" ref="M391:M408" si="171">+I391-L391</f>
        <v>0</v>
      </c>
      <c r="N391" s="165">
        <v>0</v>
      </c>
      <c r="O391" s="165">
        <f t="shared" ref="O391:O408" si="172">+N391-I391</f>
        <v>0</v>
      </c>
      <c r="P391" s="165">
        <f t="shared" ref="P391:P408" si="173">+G391-N391</f>
        <v>33500000</v>
      </c>
      <c r="Q391" s="165">
        <f t="shared" ref="Q391:Q408" si="174">+L391</f>
        <v>0</v>
      </c>
      <c r="V391" s="149">
        <v>33500000</v>
      </c>
      <c r="AA391" s="165"/>
      <c r="AC391" s="165"/>
      <c r="AE391" s="165"/>
    </row>
    <row r="392" spans="1:31" hidden="1" x14ac:dyDescent="0.25">
      <c r="A392" s="163">
        <v>23513</v>
      </c>
      <c r="B392" s="164" t="s">
        <v>212</v>
      </c>
      <c r="C392" s="165">
        <v>0</v>
      </c>
      <c r="D392" s="165">
        <v>0</v>
      </c>
      <c r="E392" s="165">
        <v>0</v>
      </c>
      <c r="F392" s="165">
        <v>26965898</v>
      </c>
      <c r="G392" s="165">
        <f t="shared" si="165"/>
        <v>26965898</v>
      </c>
      <c r="H392" s="165">
        <v>0</v>
      </c>
      <c r="I392" s="165">
        <v>10465248</v>
      </c>
      <c r="J392" s="165">
        <f t="shared" si="170"/>
        <v>16500650</v>
      </c>
      <c r="K392" s="165">
        <v>0</v>
      </c>
      <c r="L392" s="165">
        <v>0</v>
      </c>
      <c r="M392" s="165">
        <f t="shared" si="171"/>
        <v>10465248</v>
      </c>
      <c r="N392" s="165">
        <v>10465248</v>
      </c>
      <c r="O392" s="165">
        <f t="shared" si="172"/>
        <v>0</v>
      </c>
      <c r="P392" s="165">
        <f t="shared" si="173"/>
        <v>16500650</v>
      </c>
      <c r="Q392" s="165">
        <f t="shared" si="174"/>
        <v>0</v>
      </c>
      <c r="V392" s="149">
        <v>16500650</v>
      </c>
      <c r="AA392" s="165"/>
      <c r="AC392" s="165"/>
      <c r="AE392" s="165"/>
    </row>
    <row r="393" spans="1:31" hidden="1" x14ac:dyDescent="0.25">
      <c r="A393" s="163">
        <v>23514</v>
      </c>
      <c r="B393" s="164" t="s">
        <v>831</v>
      </c>
      <c r="C393" s="165"/>
      <c r="D393" s="165">
        <v>0</v>
      </c>
      <c r="E393" s="165">
        <v>0</v>
      </c>
      <c r="F393" s="165">
        <v>21144451</v>
      </c>
      <c r="G393" s="165">
        <f t="shared" si="165"/>
        <v>21144451</v>
      </c>
      <c r="H393" s="165">
        <v>0</v>
      </c>
      <c r="I393" s="165">
        <v>0</v>
      </c>
      <c r="J393" s="165">
        <f t="shared" si="170"/>
        <v>21144451</v>
      </c>
      <c r="K393" s="165">
        <v>0</v>
      </c>
      <c r="L393" s="165">
        <v>0</v>
      </c>
      <c r="M393" s="165">
        <f t="shared" si="171"/>
        <v>0</v>
      </c>
      <c r="N393" s="165">
        <v>0</v>
      </c>
      <c r="O393" s="165">
        <f t="shared" si="172"/>
        <v>0</v>
      </c>
      <c r="P393" s="165">
        <f t="shared" si="173"/>
        <v>21144451</v>
      </c>
      <c r="Q393" s="165">
        <f t="shared" si="174"/>
        <v>0</v>
      </c>
      <c r="V393" s="149">
        <v>21144451</v>
      </c>
      <c r="AA393" s="165"/>
      <c r="AC393" s="165"/>
      <c r="AE393" s="165"/>
    </row>
    <row r="394" spans="1:31" hidden="1" x14ac:dyDescent="0.25">
      <c r="A394" s="163">
        <v>23517</v>
      </c>
      <c r="B394" s="164" t="s">
        <v>841</v>
      </c>
      <c r="C394" s="165">
        <v>0</v>
      </c>
      <c r="D394" s="165">
        <v>821400131</v>
      </c>
      <c r="E394" s="165">
        <v>0</v>
      </c>
      <c r="F394" s="165">
        <v>0</v>
      </c>
      <c r="G394" s="165">
        <f t="shared" si="165"/>
        <v>821400131</v>
      </c>
      <c r="H394" s="165">
        <v>0</v>
      </c>
      <c r="I394" s="165">
        <v>0</v>
      </c>
      <c r="J394" s="165">
        <f t="shared" si="170"/>
        <v>821400131</v>
      </c>
      <c r="K394" s="165">
        <v>0</v>
      </c>
      <c r="L394" s="165">
        <v>0</v>
      </c>
      <c r="M394" s="165">
        <f t="shared" si="171"/>
        <v>0</v>
      </c>
      <c r="N394" s="165">
        <v>0</v>
      </c>
      <c r="O394" s="165">
        <f t="shared" si="172"/>
        <v>0</v>
      </c>
      <c r="P394" s="165">
        <f t="shared" si="173"/>
        <v>821400131</v>
      </c>
      <c r="Q394" s="165">
        <f t="shared" si="174"/>
        <v>0</v>
      </c>
      <c r="V394" s="149">
        <v>821400131</v>
      </c>
      <c r="X394" s="167"/>
      <c r="Y394" s="168"/>
      <c r="AA394" s="165"/>
      <c r="AC394" s="165"/>
      <c r="AE394" s="165"/>
    </row>
    <row r="395" spans="1:31" ht="30" hidden="1" x14ac:dyDescent="0.25">
      <c r="A395" s="163">
        <v>23518</v>
      </c>
      <c r="B395" s="164" t="s">
        <v>840</v>
      </c>
      <c r="C395" s="165">
        <v>0</v>
      </c>
      <c r="D395" s="165">
        <v>712412336.89999998</v>
      </c>
      <c r="E395" s="165">
        <v>0</v>
      </c>
      <c r="F395" s="165">
        <v>0</v>
      </c>
      <c r="G395" s="165">
        <f t="shared" si="165"/>
        <v>712412336.89999998</v>
      </c>
      <c r="H395" s="165">
        <v>0</v>
      </c>
      <c r="I395" s="165">
        <v>703757378</v>
      </c>
      <c r="J395" s="165">
        <f t="shared" si="170"/>
        <v>8654958.8999999762</v>
      </c>
      <c r="K395" s="165">
        <v>238029528.30000001</v>
      </c>
      <c r="L395" s="165">
        <v>238029528.30000001</v>
      </c>
      <c r="M395" s="165">
        <f t="shared" si="171"/>
        <v>465727849.69999999</v>
      </c>
      <c r="N395" s="165">
        <v>711325617</v>
      </c>
      <c r="O395" s="165">
        <f t="shared" si="172"/>
        <v>7568239</v>
      </c>
      <c r="P395" s="165">
        <f t="shared" si="173"/>
        <v>1086719.8999999762</v>
      </c>
      <c r="Q395" s="165">
        <f t="shared" si="174"/>
        <v>238029528.30000001</v>
      </c>
      <c r="V395" s="149">
        <v>1086719.8999999762</v>
      </c>
      <c r="X395" s="167"/>
      <c r="Y395" s="168"/>
      <c r="AA395" s="165"/>
      <c r="AC395" s="165"/>
      <c r="AE395" s="165"/>
    </row>
    <row r="396" spans="1:31" hidden="1" x14ac:dyDescent="0.25">
      <c r="A396" s="163">
        <v>23519</v>
      </c>
      <c r="B396" s="164" t="s">
        <v>842</v>
      </c>
      <c r="C396" s="165">
        <v>0</v>
      </c>
      <c r="D396" s="165">
        <v>200000000</v>
      </c>
      <c r="E396" s="165">
        <v>0</v>
      </c>
      <c r="F396" s="165">
        <v>0</v>
      </c>
      <c r="G396" s="165">
        <f t="shared" si="165"/>
        <v>200000000</v>
      </c>
      <c r="H396" s="165">
        <v>195657841</v>
      </c>
      <c r="I396" s="165">
        <v>199657841</v>
      </c>
      <c r="J396" s="165">
        <f t="shared" si="170"/>
        <v>342159</v>
      </c>
      <c r="K396" s="165">
        <v>0</v>
      </c>
      <c r="L396" s="165">
        <v>4000000</v>
      </c>
      <c r="M396" s="165">
        <f t="shared" si="171"/>
        <v>195657841</v>
      </c>
      <c r="N396" s="165">
        <v>200000000</v>
      </c>
      <c r="O396" s="165">
        <f t="shared" si="172"/>
        <v>342159</v>
      </c>
      <c r="P396" s="165">
        <f t="shared" si="173"/>
        <v>0</v>
      </c>
      <c r="Q396" s="165">
        <f t="shared" si="174"/>
        <v>4000000</v>
      </c>
      <c r="V396" s="149">
        <v>0</v>
      </c>
      <c r="X396" s="167"/>
      <c r="Y396" s="168"/>
      <c r="AA396" s="165"/>
      <c r="AC396" s="165"/>
      <c r="AE396" s="165"/>
    </row>
    <row r="397" spans="1:31" ht="30" hidden="1" x14ac:dyDescent="0.25">
      <c r="A397" s="163">
        <v>23520</v>
      </c>
      <c r="B397" s="164" t="s">
        <v>843</v>
      </c>
      <c r="C397" s="165">
        <v>0</v>
      </c>
      <c r="D397" s="165">
        <v>48756553.100000001</v>
      </c>
      <c r="E397" s="165">
        <v>0</v>
      </c>
      <c r="F397" s="165">
        <v>0</v>
      </c>
      <c r="G397" s="165">
        <f t="shared" si="165"/>
        <v>48756553.100000001</v>
      </c>
      <c r="H397" s="165">
        <v>0</v>
      </c>
      <c r="I397" s="165">
        <v>48756553.100000001</v>
      </c>
      <c r="J397" s="165">
        <f t="shared" si="170"/>
        <v>0</v>
      </c>
      <c r="K397" s="165">
        <v>0</v>
      </c>
      <c r="L397" s="165">
        <v>48756553.100000001</v>
      </c>
      <c r="M397" s="165">
        <f t="shared" si="171"/>
        <v>0</v>
      </c>
      <c r="N397" s="165">
        <v>48756553.100000001</v>
      </c>
      <c r="O397" s="165">
        <f t="shared" si="172"/>
        <v>0</v>
      </c>
      <c r="P397" s="165">
        <f t="shared" si="173"/>
        <v>0</v>
      </c>
      <c r="Q397" s="165">
        <f t="shared" si="174"/>
        <v>48756553.100000001</v>
      </c>
      <c r="V397" s="149">
        <v>0</v>
      </c>
      <c r="X397" s="167"/>
      <c r="Y397" s="168"/>
      <c r="AA397" s="165"/>
      <c r="AC397" s="165"/>
      <c r="AE397" s="165"/>
    </row>
    <row r="398" spans="1:31" ht="30" hidden="1" x14ac:dyDescent="0.25">
      <c r="A398" s="163">
        <v>23521</v>
      </c>
      <c r="B398" s="164" t="s">
        <v>844</v>
      </c>
      <c r="C398" s="165">
        <v>0</v>
      </c>
      <c r="D398" s="165">
        <v>400000000</v>
      </c>
      <c r="E398" s="165">
        <v>0</v>
      </c>
      <c r="F398" s="165">
        <v>0</v>
      </c>
      <c r="G398" s="165">
        <f t="shared" si="165"/>
        <v>400000000</v>
      </c>
      <c r="H398" s="165">
        <v>0</v>
      </c>
      <c r="I398" s="165">
        <v>318998061.83999997</v>
      </c>
      <c r="J398" s="165">
        <f t="shared" si="170"/>
        <v>81001938.160000026</v>
      </c>
      <c r="K398" s="165">
        <v>318998061.83999997</v>
      </c>
      <c r="L398" s="165">
        <v>318998061.83999997</v>
      </c>
      <c r="M398" s="165">
        <f t="shared" si="171"/>
        <v>0</v>
      </c>
      <c r="N398" s="165">
        <v>400000000</v>
      </c>
      <c r="O398" s="165">
        <f t="shared" si="172"/>
        <v>81001938.160000026</v>
      </c>
      <c r="P398" s="165">
        <f t="shared" si="173"/>
        <v>0</v>
      </c>
      <c r="Q398" s="165">
        <f t="shared" si="174"/>
        <v>318998061.83999997</v>
      </c>
      <c r="V398" s="149">
        <v>0</v>
      </c>
      <c r="X398" s="167"/>
      <c r="Y398" s="168"/>
      <c r="AA398" s="165"/>
      <c r="AC398" s="165"/>
      <c r="AE398" s="165"/>
    </row>
    <row r="399" spans="1:31" ht="30" hidden="1" x14ac:dyDescent="0.25">
      <c r="A399" s="163">
        <v>23522</v>
      </c>
      <c r="B399" s="164" t="s">
        <v>845</v>
      </c>
      <c r="C399" s="165">
        <v>0</v>
      </c>
      <c r="D399" s="165">
        <v>2505552556</v>
      </c>
      <c r="E399" s="165">
        <v>0</v>
      </c>
      <c r="F399" s="165">
        <v>0</v>
      </c>
      <c r="G399" s="165">
        <f t="shared" si="165"/>
        <v>2505552556</v>
      </c>
      <c r="H399" s="165">
        <v>0</v>
      </c>
      <c r="I399" s="165">
        <v>0</v>
      </c>
      <c r="J399" s="165">
        <f t="shared" si="170"/>
        <v>2505552556</v>
      </c>
      <c r="K399" s="165">
        <v>0</v>
      </c>
      <c r="L399" s="165">
        <v>0</v>
      </c>
      <c r="M399" s="165">
        <f t="shared" si="171"/>
        <v>0</v>
      </c>
      <c r="N399" s="165">
        <v>0</v>
      </c>
      <c r="O399" s="165">
        <f t="shared" si="172"/>
        <v>0</v>
      </c>
      <c r="P399" s="165">
        <f t="shared" si="173"/>
        <v>2505552556</v>
      </c>
      <c r="Q399" s="165">
        <f t="shared" si="174"/>
        <v>0</v>
      </c>
      <c r="V399" s="149">
        <v>2505552556</v>
      </c>
      <c r="X399" s="167"/>
      <c r="Y399" s="168"/>
      <c r="AA399" s="165"/>
      <c r="AC399" s="165"/>
      <c r="AE399" s="165"/>
    </row>
    <row r="400" spans="1:31" hidden="1" x14ac:dyDescent="0.25">
      <c r="A400" s="163">
        <v>23523</v>
      </c>
      <c r="B400" s="164" t="s">
        <v>846</v>
      </c>
      <c r="C400" s="165">
        <v>0</v>
      </c>
      <c r="D400" s="165">
        <v>178599869</v>
      </c>
      <c r="E400" s="165">
        <v>0</v>
      </c>
      <c r="F400" s="165">
        <v>0</v>
      </c>
      <c r="G400" s="165">
        <f t="shared" si="165"/>
        <v>178599869</v>
      </c>
      <c r="H400" s="165">
        <v>0</v>
      </c>
      <c r="I400" s="165">
        <v>0</v>
      </c>
      <c r="J400" s="165">
        <f t="shared" si="170"/>
        <v>178599869</v>
      </c>
      <c r="K400" s="165">
        <v>0</v>
      </c>
      <c r="L400" s="165">
        <v>0</v>
      </c>
      <c r="M400" s="165">
        <f t="shared" si="171"/>
        <v>0</v>
      </c>
      <c r="N400" s="165">
        <v>0</v>
      </c>
      <c r="O400" s="165">
        <f t="shared" si="172"/>
        <v>0</v>
      </c>
      <c r="P400" s="165">
        <f t="shared" si="173"/>
        <v>178599869</v>
      </c>
      <c r="Q400" s="165">
        <f t="shared" si="174"/>
        <v>0</v>
      </c>
      <c r="V400" s="149">
        <v>178599869</v>
      </c>
      <c r="X400" s="167"/>
      <c r="Y400" s="168"/>
      <c r="AA400" s="165"/>
      <c r="AC400" s="165"/>
      <c r="AE400" s="165"/>
    </row>
    <row r="401" spans="1:33" ht="30" hidden="1" x14ac:dyDescent="0.25">
      <c r="A401" s="163">
        <v>23524</v>
      </c>
      <c r="B401" s="164" t="s">
        <v>832</v>
      </c>
      <c r="C401" s="165"/>
      <c r="D401" s="165">
        <v>0</v>
      </c>
      <c r="E401" s="165">
        <v>0</v>
      </c>
      <c r="F401" s="165">
        <v>38594282.009999998</v>
      </c>
      <c r="G401" s="165">
        <f t="shared" si="165"/>
        <v>38594282.009999998</v>
      </c>
      <c r="H401" s="165">
        <v>0</v>
      </c>
      <c r="I401" s="165">
        <v>0</v>
      </c>
      <c r="J401" s="165">
        <f t="shared" si="170"/>
        <v>38594282.009999998</v>
      </c>
      <c r="K401" s="165">
        <v>0</v>
      </c>
      <c r="L401" s="165">
        <v>0</v>
      </c>
      <c r="M401" s="165">
        <f t="shared" si="171"/>
        <v>0</v>
      </c>
      <c r="N401" s="165">
        <v>0</v>
      </c>
      <c r="O401" s="165">
        <f t="shared" si="172"/>
        <v>0</v>
      </c>
      <c r="P401" s="165">
        <f t="shared" si="173"/>
        <v>38594282.009999998</v>
      </c>
      <c r="Q401" s="165">
        <f t="shared" si="174"/>
        <v>0</v>
      </c>
      <c r="V401" s="149">
        <v>38594282.009999998</v>
      </c>
      <c r="AA401" s="165"/>
      <c r="AC401" s="165"/>
      <c r="AE401" s="165"/>
    </row>
    <row r="402" spans="1:33" ht="30" hidden="1" x14ac:dyDescent="0.25">
      <c r="A402" s="163">
        <v>23525</v>
      </c>
      <c r="B402" s="164" t="s">
        <v>833</v>
      </c>
      <c r="C402" s="165"/>
      <c r="D402" s="165">
        <v>0</v>
      </c>
      <c r="E402" s="165">
        <v>0</v>
      </c>
      <c r="F402" s="165">
        <v>118102197.2</v>
      </c>
      <c r="G402" s="165">
        <f t="shared" si="165"/>
        <v>118102197.2</v>
      </c>
      <c r="H402" s="165">
        <v>0</v>
      </c>
      <c r="I402" s="165">
        <v>3511000</v>
      </c>
      <c r="J402" s="165">
        <f t="shared" si="170"/>
        <v>114591197.2</v>
      </c>
      <c r="K402" s="165">
        <v>0</v>
      </c>
      <c r="L402" s="165">
        <v>3511000</v>
      </c>
      <c r="M402" s="165">
        <f t="shared" si="171"/>
        <v>0</v>
      </c>
      <c r="N402" s="165">
        <v>9011000</v>
      </c>
      <c r="O402" s="165">
        <f t="shared" si="172"/>
        <v>5500000</v>
      </c>
      <c r="P402" s="165">
        <f t="shared" si="173"/>
        <v>109091197.2</v>
      </c>
      <c r="Q402" s="165">
        <f t="shared" si="174"/>
        <v>3511000</v>
      </c>
      <c r="V402" s="149">
        <v>109091197.2</v>
      </c>
      <c r="X402" s="167"/>
      <c r="Y402" s="168"/>
      <c r="AA402" s="165"/>
      <c r="AC402" s="165"/>
      <c r="AE402" s="165"/>
    </row>
    <row r="403" spans="1:33" hidden="1" x14ac:dyDescent="0.25">
      <c r="A403" s="163">
        <v>23526</v>
      </c>
      <c r="B403" s="164" t="s">
        <v>834</v>
      </c>
      <c r="C403" s="165"/>
      <c r="D403" s="165">
        <v>0</v>
      </c>
      <c r="E403" s="165">
        <v>0</v>
      </c>
      <c r="F403" s="165">
        <v>41560320.609999999</v>
      </c>
      <c r="G403" s="165">
        <f t="shared" si="165"/>
        <v>41560320.609999999</v>
      </c>
      <c r="H403" s="165">
        <v>1000000</v>
      </c>
      <c r="I403" s="165">
        <v>22276158</v>
      </c>
      <c r="J403" s="165">
        <f t="shared" si="170"/>
        <v>19284162.609999999</v>
      </c>
      <c r="K403" s="165">
        <v>4411500</v>
      </c>
      <c r="L403" s="165">
        <v>4411500</v>
      </c>
      <c r="M403" s="165">
        <f t="shared" si="171"/>
        <v>17864658</v>
      </c>
      <c r="N403" s="165">
        <v>38099240</v>
      </c>
      <c r="O403" s="165">
        <f t="shared" si="172"/>
        <v>15823082</v>
      </c>
      <c r="P403" s="165">
        <f t="shared" si="173"/>
        <v>3461080.6099999994</v>
      </c>
      <c r="Q403" s="165">
        <f t="shared" si="174"/>
        <v>4411500</v>
      </c>
      <c r="V403" s="149">
        <v>3461080.6099999994</v>
      </c>
      <c r="X403" s="167"/>
      <c r="Y403" s="168"/>
      <c r="AA403" s="165"/>
      <c r="AC403" s="165"/>
      <c r="AE403" s="165"/>
    </row>
    <row r="404" spans="1:33" hidden="1" x14ac:dyDescent="0.25">
      <c r="A404" s="163">
        <v>23527</v>
      </c>
      <c r="B404" s="164" t="s">
        <v>835</v>
      </c>
      <c r="C404" s="165"/>
      <c r="D404" s="165">
        <v>0</v>
      </c>
      <c r="E404" s="165">
        <v>0</v>
      </c>
      <c r="F404" s="165">
        <v>114572114.70999999</v>
      </c>
      <c r="G404" s="165">
        <f t="shared" si="165"/>
        <v>114572114.70999999</v>
      </c>
      <c r="H404" s="165">
        <v>0</v>
      </c>
      <c r="I404" s="165">
        <v>1525550</v>
      </c>
      <c r="J404" s="165">
        <f t="shared" si="170"/>
        <v>113046564.70999999</v>
      </c>
      <c r="K404" s="165">
        <v>0</v>
      </c>
      <c r="L404" s="165">
        <v>1525550</v>
      </c>
      <c r="M404" s="165">
        <f t="shared" si="171"/>
        <v>0</v>
      </c>
      <c r="N404" s="165">
        <v>1579650</v>
      </c>
      <c r="O404" s="165">
        <f t="shared" si="172"/>
        <v>54100</v>
      </c>
      <c r="P404" s="165">
        <f t="shared" si="173"/>
        <v>112992464.70999999</v>
      </c>
      <c r="Q404" s="165">
        <f t="shared" si="174"/>
        <v>1525550</v>
      </c>
      <c r="V404" s="149">
        <v>112992464.70999999</v>
      </c>
      <c r="X404" s="167"/>
      <c r="Y404" s="168"/>
      <c r="AA404" s="165"/>
      <c r="AC404" s="165"/>
      <c r="AE404" s="165"/>
    </row>
    <row r="405" spans="1:33" ht="30" hidden="1" x14ac:dyDescent="0.25">
      <c r="A405" s="163">
        <v>23528</v>
      </c>
      <c r="B405" s="164" t="s">
        <v>836</v>
      </c>
      <c r="C405" s="165"/>
      <c r="D405" s="165">
        <v>0</v>
      </c>
      <c r="E405" s="165">
        <v>0</v>
      </c>
      <c r="F405" s="165">
        <v>132802785.45</v>
      </c>
      <c r="G405" s="165">
        <f t="shared" si="165"/>
        <v>132802785.45</v>
      </c>
      <c r="H405" s="165">
        <v>0</v>
      </c>
      <c r="I405" s="165">
        <v>475490</v>
      </c>
      <c r="J405" s="165">
        <f t="shared" si="170"/>
        <v>132327295.45</v>
      </c>
      <c r="K405" s="165">
        <v>0</v>
      </c>
      <c r="L405" s="165">
        <v>475490</v>
      </c>
      <c r="M405" s="165">
        <f t="shared" si="171"/>
        <v>0</v>
      </c>
      <c r="N405" s="165">
        <v>128307560</v>
      </c>
      <c r="O405" s="165">
        <f t="shared" si="172"/>
        <v>127832070</v>
      </c>
      <c r="P405" s="165">
        <f t="shared" si="173"/>
        <v>4495225.450000003</v>
      </c>
      <c r="Q405" s="165">
        <f t="shared" si="174"/>
        <v>475490</v>
      </c>
      <c r="V405" s="149">
        <v>4495225.450000003</v>
      </c>
      <c r="X405" s="167"/>
      <c r="Y405" s="168"/>
      <c r="AA405" s="165"/>
      <c r="AC405" s="165"/>
      <c r="AE405" s="165"/>
    </row>
    <row r="406" spans="1:33" s="100" customFormat="1" ht="30" hidden="1" x14ac:dyDescent="0.25">
      <c r="A406" s="163">
        <v>23529</v>
      </c>
      <c r="B406" s="164" t="s">
        <v>837</v>
      </c>
      <c r="C406" s="165"/>
      <c r="D406" s="165">
        <v>0</v>
      </c>
      <c r="E406" s="165">
        <v>0</v>
      </c>
      <c r="F406" s="165">
        <v>430578182.44</v>
      </c>
      <c r="G406" s="165">
        <f t="shared" si="165"/>
        <v>430578182.44</v>
      </c>
      <c r="H406" s="165">
        <v>9601377.7100000009</v>
      </c>
      <c r="I406" s="165">
        <v>136363317.71000001</v>
      </c>
      <c r="J406" s="165">
        <f t="shared" si="170"/>
        <v>294214864.73000002</v>
      </c>
      <c r="K406" s="165">
        <v>6480614</v>
      </c>
      <c r="L406" s="165">
        <v>97306637</v>
      </c>
      <c r="M406" s="165">
        <f t="shared" si="171"/>
        <v>39056680.710000008</v>
      </c>
      <c r="N406" s="165">
        <v>265354156</v>
      </c>
      <c r="O406" s="165">
        <f t="shared" si="172"/>
        <v>128990838.28999999</v>
      </c>
      <c r="P406" s="165">
        <f t="shared" si="173"/>
        <v>165224026.44</v>
      </c>
      <c r="Q406" s="165">
        <f t="shared" si="174"/>
        <v>97306637</v>
      </c>
      <c r="R406" s="84"/>
      <c r="S406" s="84"/>
      <c r="T406" s="84"/>
      <c r="U406" s="84"/>
      <c r="V406" s="149">
        <v>165224026.44</v>
      </c>
      <c r="X406" s="167"/>
      <c r="Y406" s="168"/>
      <c r="AA406" s="165"/>
      <c r="AC406" s="165"/>
      <c r="AE406" s="165"/>
    </row>
    <row r="407" spans="1:33" hidden="1" x14ac:dyDescent="0.25">
      <c r="A407" s="163">
        <v>23530</v>
      </c>
      <c r="B407" s="164" t="s">
        <v>838</v>
      </c>
      <c r="C407" s="165"/>
      <c r="D407" s="165">
        <v>0</v>
      </c>
      <c r="E407" s="165">
        <v>0</v>
      </c>
      <c r="F407" s="165">
        <v>177269391.56999999</v>
      </c>
      <c r="G407" s="165">
        <f t="shared" si="165"/>
        <v>177269391.56999999</v>
      </c>
      <c r="H407" s="165">
        <v>0</v>
      </c>
      <c r="I407" s="165">
        <v>0</v>
      </c>
      <c r="J407" s="165">
        <f t="shared" si="170"/>
        <v>177269391.56999999</v>
      </c>
      <c r="K407" s="165">
        <v>0</v>
      </c>
      <c r="L407" s="165">
        <v>0</v>
      </c>
      <c r="M407" s="165">
        <f t="shared" si="171"/>
        <v>0</v>
      </c>
      <c r="N407" s="165">
        <v>4829000</v>
      </c>
      <c r="O407" s="165">
        <f t="shared" si="172"/>
        <v>4829000</v>
      </c>
      <c r="P407" s="165">
        <f t="shared" si="173"/>
        <v>172440391.56999999</v>
      </c>
      <c r="Q407" s="165">
        <f t="shared" si="174"/>
        <v>0</v>
      </c>
      <c r="V407" s="149">
        <v>172440391.56999999</v>
      </c>
      <c r="X407" s="167"/>
      <c r="Y407" s="168"/>
      <c r="AA407" s="165"/>
      <c r="AC407" s="165"/>
      <c r="AE407" s="165"/>
    </row>
    <row r="408" spans="1:33" ht="30" hidden="1" x14ac:dyDescent="0.25">
      <c r="A408" s="163">
        <v>23531</v>
      </c>
      <c r="B408" s="164" t="s">
        <v>839</v>
      </c>
      <c r="C408" s="165"/>
      <c r="D408" s="165">
        <v>0</v>
      </c>
      <c r="E408" s="165">
        <v>0</v>
      </c>
      <c r="F408" s="165">
        <v>215142209.47999999</v>
      </c>
      <c r="G408" s="165">
        <f t="shared" si="165"/>
        <v>215142209.47999999</v>
      </c>
      <c r="H408" s="165">
        <v>0</v>
      </c>
      <c r="I408" s="165">
        <v>19291193</v>
      </c>
      <c r="J408" s="165">
        <f t="shared" si="170"/>
        <v>195851016.47999999</v>
      </c>
      <c r="K408" s="165">
        <v>3885400</v>
      </c>
      <c r="L408" s="165">
        <v>14282400</v>
      </c>
      <c r="M408" s="165">
        <f t="shared" si="171"/>
        <v>5008793</v>
      </c>
      <c r="N408" s="165">
        <v>47556650</v>
      </c>
      <c r="O408" s="165">
        <f t="shared" si="172"/>
        <v>28265457</v>
      </c>
      <c r="P408" s="165">
        <f t="shared" si="173"/>
        <v>167585559.47999999</v>
      </c>
      <c r="Q408" s="165">
        <f t="shared" si="174"/>
        <v>14282400</v>
      </c>
      <c r="V408" s="149">
        <v>167585559.47999999</v>
      </c>
      <c r="X408" s="167"/>
      <c r="Y408" s="168"/>
      <c r="AA408" s="165"/>
      <c r="AC408" s="165"/>
      <c r="AE408" s="165"/>
    </row>
    <row r="409" spans="1:33" hidden="1" x14ac:dyDescent="0.25">
      <c r="U409" s="100"/>
      <c r="X409" s="167"/>
      <c r="Y409" s="168"/>
    </row>
    <row r="410" spans="1:33" hidden="1" x14ac:dyDescent="0.25">
      <c r="X410" s="167"/>
      <c r="Y410" s="168"/>
    </row>
    <row r="411" spans="1:33" hidden="1" x14ac:dyDescent="0.25">
      <c r="X411" s="167"/>
      <c r="Y411" s="168"/>
    </row>
    <row r="412" spans="1:33" ht="45" x14ac:dyDescent="0.25">
      <c r="A412" s="44"/>
      <c r="B412" s="44" t="str">
        <f>+B5</f>
        <v>NOMBRE</v>
      </c>
      <c r="C412" s="45" t="str">
        <f t="shared" ref="C412:Q412" si="175">+C5</f>
        <v>SALDOINICIAL</v>
      </c>
      <c r="D412" s="45" t="str">
        <f t="shared" si="175"/>
        <v>CREDITOS</v>
      </c>
      <c r="E412" s="45" t="str">
        <f t="shared" si="175"/>
        <v>CONTRACREDITOS</v>
      </c>
      <c r="F412" s="45" t="str">
        <f t="shared" si="175"/>
        <v>ADICIONES</v>
      </c>
      <c r="G412" s="45" t="str">
        <f t="shared" si="175"/>
        <v>PPTO DEFINITIVO</v>
      </c>
      <c r="H412" s="45" t="str">
        <f t="shared" si="175"/>
        <v>COMPROMES</v>
      </c>
      <c r="I412" s="45" t="str">
        <f t="shared" si="175"/>
        <v>NETOCOMPROMETIDO</v>
      </c>
      <c r="J412" s="45" t="str">
        <f t="shared" si="175"/>
        <v>SALDO POR COMPROMETER</v>
      </c>
      <c r="K412" s="45" t="str">
        <f t="shared" si="175"/>
        <v>GIROSMES</v>
      </c>
      <c r="L412" s="45" t="str">
        <f t="shared" si="175"/>
        <v>TOTAL GIROS</v>
      </c>
      <c r="M412" s="45" t="str">
        <f t="shared" si="175"/>
        <v>CXPAGAR</v>
      </c>
      <c r="N412" s="45" t="str">
        <f t="shared" si="175"/>
        <v>NETOCDP</v>
      </c>
      <c r="O412" s="45" t="str">
        <f t="shared" si="175"/>
        <v>CDP´S  X COMPROMETER</v>
      </c>
      <c r="P412" s="45" t="str">
        <f t="shared" si="175"/>
        <v>SALDO DISPONIBLE</v>
      </c>
      <c r="Q412" s="45" t="str">
        <f t="shared" si="175"/>
        <v>TOTAL PAC</v>
      </c>
      <c r="S412" s="45"/>
      <c r="T412" s="45"/>
      <c r="V412" s="94"/>
      <c r="AA412" s="45" t="s">
        <v>976</v>
      </c>
      <c r="AC412" s="45" t="s">
        <v>891</v>
      </c>
      <c r="AE412" s="45" t="s">
        <v>977</v>
      </c>
    </row>
    <row r="413" spans="1:33" s="100" customFormat="1" x14ac:dyDescent="0.25">
      <c r="A413" s="151"/>
      <c r="B413" s="152" t="str">
        <f>+B6</f>
        <v>GASTOS</v>
      </c>
      <c r="C413" s="153"/>
      <c r="D413" s="153"/>
      <c r="E413" s="153"/>
      <c r="F413" s="153"/>
      <c r="G413" s="153">
        <f>+G414+G436</f>
        <v>152915647558.23999</v>
      </c>
      <c r="H413" s="153">
        <f t="shared" ref="H413:P413" si="176">+H414+H436</f>
        <v>8978329077.0900002</v>
      </c>
      <c r="I413" s="153">
        <f t="shared" si="176"/>
        <v>79472839970.669998</v>
      </c>
      <c r="J413" s="153">
        <f t="shared" si="176"/>
        <v>73524274068.300003</v>
      </c>
      <c r="K413" s="153">
        <f t="shared" si="176"/>
        <v>9411040145.7700005</v>
      </c>
      <c r="L413" s="153">
        <f t="shared" si="176"/>
        <v>65702885104.329994</v>
      </c>
      <c r="M413" s="153">
        <f t="shared" si="176"/>
        <v>13769954866.34</v>
      </c>
      <c r="N413" s="153">
        <f t="shared" si="176"/>
        <v>85439095777.419998</v>
      </c>
      <c r="O413" s="153">
        <f t="shared" si="176"/>
        <v>5966255806.7500019</v>
      </c>
      <c r="P413" s="153">
        <f t="shared" si="176"/>
        <v>67476551780.82</v>
      </c>
      <c r="Q413" s="153">
        <f t="shared" ref="Q413" si="177">+Q6</f>
        <v>65815676234.329994</v>
      </c>
      <c r="V413" s="149"/>
      <c r="X413" s="167"/>
      <c r="Y413" s="168"/>
      <c r="AA413" s="153">
        <f>+AA414+AA436</f>
        <v>44340887737.75</v>
      </c>
      <c r="AC413" s="279">
        <f t="shared" ref="AC413:AC436" si="178">+P413-AA413</f>
        <v>23135664043.07</v>
      </c>
      <c r="AD413" s="118"/>
      <c r="AE413" s="153">
        <f>+AE420</f>
        <v>1585300777.99</v>
      </c>
    </row>
    <row r="414" spans="1:33" s="100" customFormat="1" x14ac:dyDescent="0.25">
      <c r="A414" s="151"/>
      <c r="B414" s="152" t="str">
        <f>+B7</f>
        <v>GASTOS DE FUNCIONAMIENTO</v>
      </c>
      <c r="C414" s="153"/>
      <c r="D414" s="153"/>
      <c r="E414" s="153"/>
      <c r="F414" s="153"/>
      <c r="G414" s="153">
        <f>+G415+G420+G435</f>
        <v>121455797459.73</v>
      </c>
      <c r="H414" s="153">
        <f t="shared" ref="H414:P414" si="179">+H415+H420+H435</f>
        <v>7760473465.0200005</v>
      </c>
      <c r="I414" s="153">
        <f t="shared" si="179"/>
        <v>70850603271.770004</v>
      </c>
      <c r="J414" s="153">
        <f t="shared" si="179"/>
        <v>50686660668.690002</v>
      </c>
      <c r="K414" s="153">
        <f t="shared" si="179"/>
        <v>8071590334.1899996</v>
      </c>
      <c r="L414" s="153">
        <f t="shared" si="179"/>
        <v>61713784340.059998</v>
      </c>
      <c r="M414" s="153">
        <f t="shared" si="179"/>
        <v>9136818931.710001</v>
      </c>
      <c r="N414" s="153">
        <f t="shared" si="179"/>
        <v>73471263983.080002</v>
      </c>
      <c r="O414" s="153">
        <f t="shared" si="179"/>
        <v>2620660711.3099995</v>
      </c>
      <c r="P414" s="153">
        <f t="shared" si="179"/>
        <v>47984533476.650002</v>
      </c>
      <c r="Q414" s="153">
        <f t="shared" ref="Q414" si="180">+Q7</f>
        <v>61826575470.059998</v>
      </c>
      <c r="V414" s="149"/>
      <c r="X414" s="167"/>
      <c r="Y414" s="168"/>
      <c r="AA414" s="153">
        <f>+AA415+AA420</f>
        <v>44340887737.75</v>
      </c>
      <c r="AC414" s="279">
        <f t="shared" si="178"/>
        <v>3643645738.9000015</v>
      </c>
      <c r="AE414" s="153">
        <f>+AE420</f>
        <v>1585300777.99</v>
      </c>
      <c r="AF414" s="284">
        <f>+AE414+AC414</f>
        <v>5228946516.8900013</v>
      </c>
    </row>
    <row r="415" spans="1:33" x14ac:dyDescent="0.25">
      <c r="A415" s="160"/>
      <c r="B415" s="161" t="str">
        <f>+B8</f>
        <v>GASTOS DE PERSONAL</v>
      </c>
      <c r="C415" s="162"/>
      <c r="D415" s="162"/>
      <c r="E415" s="162"/>
      <c r="F415" s="162"/>
      <c r="G415" s="162">
        <f>+G416+G417</f>
        <v>107991226915</v>
      </c>
      <c r="H415" s="162">
        <f t="shared" ref="H415:P415" si="181">+H416+H417</f>
        <v>7049685451</v>
      </c>
      <c r="I415" s="162">
        <f t="shared" si="181"/>
        <v>62827180169.849998</v>
      </c>
      <c r="J415" s="162">
        <f t="shared" si="181"/>
        <v>45164046745.150002</v>
      </c>
      <c r="K415" s="162">
        <f t="shared" si="181"/>
        <v>7267352836</v>
      </c>
      <c r="L415" s="162">
        <f t="shared" si="181"/>
        <v>56961502234.649994</v>
      </c>
      <c r="M415" s="162">
        <f t="shared" si="181"/>
        <v>5865677935.2000008</v>
      </c>
      <c r="N415" s="162">
        <f t="shared" si="181"/>
        <v>63506032699.169998</v>
      </c>
      <c r="O415" s="162">
        <f t="shared" si="181"/>
        <v>678852529.31999969</v>
      </c>
      <c r="P415" s="162">
        <f t="shared" si="181"/>
        <v>44485194215.830002</v>
      </c>
      <c r="Q415" s="162">
        <f t="shared" ref="Q415" si="182">+Q8</f>
        <v>52813808538.649994</v>
      </c>
      <c r="V415" s="149"/>
      <c r="X415" s="100"/>
      <c r="Y415" s="100"/>
      <c r="AA415" s="162">
        <f>+AA416+AA417</f>
        <v>42952621610</v>
      </c>
      <c r="AC415" s="280">
        <f t="shared" si="178"/>
        <v>1532572605.8300018</v>
      </c>
      <c r="AE415" s="162"/>
    </row>
    <row r="416" spans="1:33" x14ac:dyDescent="0.25">
      <c r="A416" s="163"/>
      <c r="B416" s="164" t="str">
        <f>+B9</f>
        <v>PLANTA DE PERSONAL PERMANENTE</v>
      </c>
      <c r="C416" s="165"/>
      <c r="D416" s="165"/>
      <c r="E416" s="165"/>
      <c r="F416" s="165"/>
      <c r="G416" s="165">
        <f>+G9+G240</f>
        <v>79111011460</v>
      </c>
      <c r="H416" s="165">
        <f t="shared" ref="H416:Q416" si="183">+H9+H240</f>
        <v>6077289560</v>
      </c>
      <c r="I416" s="165">
        <f t="shared" si="183"/>
        <v>43937492704.169998</v>
      </c>
      <c r="J416" s="165">
        <f t="shared" si="183"/>
        <v>35173518755.830002</v>
      </c>
      <c r="K416" s="165">
        <f t="shared" si="183"/>
        <v>6000884490</v>
      </c>
      <c r="L416" s="165">
        <f t="shared" si="183"/>
        <v>43797124457.169998</v>
      </c>
      <c r="M416" s="165">
        <f t="shared" si="183"/>
        <v>140368247</v>
      </c>
      <c r="N416" s="165">
        <f t="shared" si="183"/>
        <v>43941991054.169998</v>
      </c>
      <c r="O416" s="165">
        <f t="shared" si="183"/>
        <v>4498350</v>
      </c>
      <c r="P416" s="165">
        <f t="shared" ref="P416:P436" si="184">+G416-N416</f>
        <v>35169020405.830002</v>
      </c>
      <c r="Q416" s="165">
        <f t="shared" si="183"/>
        <v>43797124457.169998</v>
      </c>
      <c r="V416" s="149"/>
      <c r="X416" s="100"/>
      <c r="Y416" s="100"/>
      <c r="AA416" s="165">
        <f>(H416-850000000)*5+7500000000</f>
        <v>33636447800</v>
      </c>
      <c r="AC416" s="281">
        <f t="shared" si="178"/>
        <v>1532572605.8300018</v>
      </c>
      <c r="AE416" s="165"/>
      <c r="AF416" s="283"/>
      <c r="AG416" s="121"/>
    </row>
    <row r="417" spans="1:33" ht="30" x14ac:dyDescent="0.25">
      <c r="A417" s="163"/>
      <c r="B417" s="276" t="str">
        <f>+B43</f>
        <v>PERSONAL SUPERNUMERARIO Y PLANTA TEMPORAL - CATEDRAS -SENA</v>
      </c>
      <c r="C417" s="277"/>
      <c r="D417" s="277"/>
      <c r="E417" s="277"/>
      <c r="F417" s="277"/>
      <c r="G417" s="277">
        <f t="shared" ref="G417:Q417" si="185">+G43</f>
        <v>28880215455</v>
      </c>
      <c r="H417" s="277">
        <f t="shared" si="185"/>
        <v>972395891</v>
      </c>
      <c r="I417" s="277">
        <f t="shared" si="185"/>
        <v>18889687465.68</v>
      </c>
      <c r="J417" s="277">
        <f t="shared" si="185"/>
        <v>9990527989.3199997</v>
      </c>
      <c r="K417" s="277">
        <f t="shared" si="185"/>
        <v>1266468346</v>
      </c>
      <c r="L417" s="277">
        <f t="shared" si="185"/>
        <v>13164377777.48</v>
      </c>
      <c r="M417" s="277">
        <f t="shared" si="185"/>
        <v>5725309688.2000008</v>
      </c>
      <c r="N417" s="277">
        <f t="shared" si="185"/>
        <v>19564041645</v>
      </c>
      <c r="O417" s="277">
        <f t="shared" si="185"/>
        <v>674354179.31999969</v>
      </c>
      <c r="P417" s="277">
        <f t="shared" si="184"/>
        <v>9316173810</v>
      </c>
      <c r="Q417" s="277">
        <f t="shared" si="185"/>
        <v>13164377777.48</v>
      </c>
      <c r="R417" s="275"/>
      <c r="S417" s="275"/>
      <c r="T417" s="275"/>
      <c r="U417" s="275"/>
      <c r="V417" s="278"/>
      <c r="W417" s="275"/>
      <c r="X417" s="275"/>
      <c r="Y417" s="275"/>
      <c r="Z417" s="275"/>
      <c r="AA417" s="277">
        <f>+AA418+AA419</f>
        <v>9316173810</v>
      </c>
      <c r="AB417" s="275"/>
      <c r="AC417" s="282">
        <f t="shared" si="178"/>
        <v>0</v>
      </c>
      <c r="AE417" s="277"/>
      <c r="AG417" s="121"/>
    </row>
    <row r="418" spans="1:33" x14ac:dyDescent="0.25">
      <c r="A418" s="271"/>
      <c r="B418" s="272" t="s">
        <v>974</v>
      </c>
      <c r="C418" s="273"/>
      <c r="D418" s="273"/>
      <c r="E418" s="273"/>
      <c r="F418" s="273"/>
      <c r="G418" s="273">
        <f>+G417-G419</f>
        <v>25193644614</v>
      </c>
      <c r="H418" s="273">
        <f t="shared" ref="H418:Q418" si="186">+H417-H419</f>
        <v>972395891</v>
      </c>
      <c r="I418" s="273">
        <f t="shared" si="186"/>
        <v>15203116624.68</v>
      </c>
      <c r="J418" s="273">
        <f t="shared" si="186"/>
        <v>9990527989.3199997</v>
      </c>
      <c r="K418" s="273">
        <f t="shared" si="186"/>
        <v>1065310443</v>
      </c>
      <c r="L418" s="273">
        <f t="shared" si="186"/>
        <v>11328927812.48</v>
      </c>
      <c r="M418" s="273">
        <f>+I418-L418</f>
        <v>3874188812.2000008</v>
      </c>
      <c r="N418" s="273">
        <f t="shared" si="186"/>
        <v>15877470804</v>
      </c>
      <c r="O418" s="273">
        <f t="shared" si="186"/>
        <v>674354179.31999969</v>
      </c>
      <c r="P418" s="165">
        <f t="shared" si="184"/>
        <v>9316173810</v>
      </c>
      <c r="Q418" s="273">
        <f t="shared" si="186"/>
        <v>11328927812.48</v>
      </c>
      <c r="V418" s="274"/>
      <c r="X418" s="100"/>
      <c r="Y418" s="100"/>
      <c r="AA418" s="273">
        <f>+P418</f>
        <v>9316173810</v>
      </c>
      <c r="AC418" s="281">
        <f t="shared" si="178"/>
        <v>0</v>
      </c>
      <c r="AE418" s="273"/>
      <c r="AF418" s="283"/>
    </row>
    <row r="419" spans="1:33" x14ac:dyDescent="0.25">
      <c r="A419" s="271"/>
      <c r="B419" s="272" t="s">
        <v>975</v>
      </c>
      <c r="C419" s="273"/>
      <c r="D419" s="273"/>
      <c r="E419" s="273"/>
      <c r="F419" s="273"/>
      <c r="G419" s="273">
        <v>3686570841</v>
      </c>
      <c r="H419" s="273"/>
      <c r="I419" s="273">
        <f>+G419</f>
        <v>3686570841</v>
      </c>
      <c r="J419" s="273">
        <f>+G419-I419</f>
        <v>0</v>
      </c>
      <c r="K419" s="273">
        <v>201157903</v>
      </c>
      <c r="L419" s="273">
        <v>1835449965</v>
      </c>
      <c r="M419" s="273">
        <f>+I419-L419</f>
        <v>1851120876</v>
      </c>
      <c r="N419" s="273">
        <f>+G419</f>
        <v>3686570841</v>
      </c>
      <c r="O419" s="273">
        <f>+N419-I419</f>
        <v>0</v>
      </c>
      <c r="P419" s="165">
        <f t="shared" si="184"/>
        <v>0</v>
      </c>
      <c r="Q419" s="273">
        <f>+L419</f>
        <v>1835449965</v>
      </c>
      <c r="V419" s="274"/>
      <c r="X419" s="100"/>
      <c r="Y419" s="100"/>
      <c r="AA419" s="273"/>
      <c r="AC419" s="281">
        <f t="shared" si="178"/>
        <v>0</v>
      </c>
      <c r="AE419" s="273"/>
    </row>
    <row r="420" spans="1:33" x14ac:dyDescent="0.25">
      <c r="A420" s="160"/>
      <c r="B420" s="161" t="str">
        <f>+B63</f>
        <v>ADQUISICIÓN DE BIENES  Y SERVICIOS</v>
      </c>
      <c r="C420" s="162"/>
      <c r="D420" s="162"/>
      <c r="E420" s="162"/>
      <c r="F420" s="162"/>
      <c r="G420" s="162">
        <f>SUM(G421:G434)</f>
        <v>12889657835</v>
      </c>
      <c r="H420" s="162">
        <f t="shared" ref="H420:P420" si="187">SUM(H421:H434)</f>
        <v>588263306.01999998</v>
      </c>
      <c r="I420" s="162">
        <f t="shared" si="187"/>
        <v>7608605838.9200001</v>
      </c>
      <c r="J420" s="162">
        <f t="shared" si="187"/>
        <v>5362518476.8099995</v>
      </c>
      <c r="K420" s="162">
        <f t="shared" si="187"/>
        <v>681712790.18999994</v>
      </c>
      <c r="L420" s="162">
        <f t="shared" si="187"/>
        <v>4361557938.4099998</v>
      </c>
      <c r="M420" s="162">
        <f t="shared" si="187"/>
        <v>3247047900.5099998</v>
      </c>
      <c r="N420" s="162">
        <f t="shared" si="187"/>
        <v>9516317116.9099998</v>
      </c>
      <c r="O420" s="162">
        <f t="shared" si="187"/>
        <v>1907711277.99</v>
      </c>
      <c r="P420" s="162">
        <f t="shared" si="187"/>
        <v>3373340718.0900002</v>
      </c>
      <c r="Q420" s="162">
        <f t="shared" ref="Q420" si="188">+Q63</f>
        <v>4474349068.4099998</v>
      </c>
      <c r="V420" s="149"/>
      <c r="X420" s="100"/>
      <c r="Y420" s="100"/>
      <c r="AA420" s="162">
        <f>SUM(AA421:AA434)</f>
        <v>1388266127.7499998</v>
      </c>
      <c r="AC420" s="280">
        <f t="shared" si="178"/>
        <v>1985074590.3400004</v>
      </c>
      <c r="AE420" s="162">
        <f>SUM(AE421:AE434)</f>
        <v>1585300777.99</v>
      </c>
    </row>
    <row r="421" spans="1:33" x14ac:dyDescent="0.25">
      <c r="A421" s="163"/>
      <c r="B421" s="164" t="s">
        <v>23</v>
      </c>
      <c r="C421" s="165"/>
      <c r="D421" s="165"/>
      <c r="E421" s="165"/>
      <c r="F421" s="165"/>
      <c r="G421" s="165">
        <f>+G70+G95</f>
        <v>1607803006</v>
      </c>
      <c r="H421" s="165">
        <f t="shared" ref="H421:Y421" si="189">+H70+H95</f>
        <v>46977188</v>
      </c>
      <c r="I421" s="165">
        <f t="shared" si="189"/>
        <v>641855906</v>
      </c>
      <c r="J421" s="165">
        <f t="shared" si="189"/>
        <v>965947100</v>
      </c>
      <c r="K421" s="165">
        <f t="shared" si="189"/>
        <v>7299577</v>
      </c>
      <c r="L421" s="165">
        <f t="shared" si="189"/>
        <v>506321959</v>
      </c>
      <c r="M421" s="165">
        <f t="shared" si="189"/>
        <v>135533947</v>
      </c>
      <c r="N421" s="165">
        <f t="shared" si="189"/>
        <v>803716643</v>
      </c>
      <c r="O421" s="165">
        <f>+N421-I421</f>
        <v>161860737</v>
      </c>
      <c r="P421" s="165">
        <f t="shared" si="184"/>
        <v>804086363</v>
      </c>
      <c r="Q421" s="165">
        <f t="shared" si="189"/>
        <v>506321959</v>
      </c>
      <c r="R421" s="84">
        <f t="shared" si="189"/>
        <v>0</v>
      </c>
      <c r="S421" s="84">
        <f t="shared" si="189"/>
        <v>0</v>
      </c>
      <c r="T421" s="84">
        <f t="shared" si="189"/>
        <v>0</v>
      </c>
      <c r="U421" s="84">
        <f t="shared" si="189"/>
        <v>0</v>
      </c>
      <c r="V421" s="149">
        <f t="shared" si="189"/>
        <v>804086363</v>
      </c>
      <c r="W421" s="84">
        <f t="shared" si="189"/>
        <v>0</v>
      </c>
      <c r="X421" s="100">
        <f t="shared" si="189"/>
        <v>0</v>
      </c>
      <c r="Y421" s="100">
        <f t="shared" si="189"/>
        <v>0</v>
      </c>
      <c r="AA421" s="165">
        <f>+H421*5+133000000</f>
        <v>367885940</v>
      </c>
      <c r="AC421" s="281">
        <f>+P421-AA421</f>
        <v>436200423</v>
      </c>
      <c r="AE421" s="165">
        <f t="shared" ref="AE421:AE429" si="190">+O421</f>
        <v>161860737</v>
      </c>
    </row>
    <row r="422" spans="1:33" x14ac:dyDescent="0.25">
      <c r="A422" s="163"/>
      <c r="B422" s="164" t="s">
        <v>44</v>
      </c>
      <c r="C422" s="165"/>
      <c r="D422" s="165"/>
      <c r="E422" s="165"/>
      <c r="F422" s="165"/>
      <c r="G422" s="165">
        <f>+G110+G130+G137</f>
        <v>1231910500</v>
      </c>
      <c r="H422" s="165">
        <f t="shared" ref="H422:Y422" si="191">+H110+H130+H137</f>
        <v>8665406.0099999998</v>
      </c>
      <c r="I422" s="165">
        <f t="shared" si="191"/>
        <v>209613380.00999999</v>
      </c>
      <c r="J422" s="165">
        <f t="shared" si="191"/>
        <v>1022297119.99</v>
      </c>
      <c r="K422" s="165">
        <f t="shared" si="191"/>
        <v>10535676</v>
      </c>
      <c r="L422" s="165">
        <f t="shared" si="191"/>
        <v>160947077</v>
      </c>
      <c r="M422" s="165">
        <f t="shared" si="191"/>
        <v>48666303.00999999</v>
      </c>
      <c r="N422" s="165">
        <f t="shared" si="191"/>
        <v>611261024.00999999</v>
      </c>
      <c r="O422" s="165">
        <f t="shared" ref="O422:O434" si="192">+N422-I422</f>
        <v>401647644</v>
      </c>
      <c r="P422" s="165">
        <f t="shared" si="184"/>
        <v>620649475.99000001</v>
      </c>
      <c r="Q422" s="165">
        <f t="shared" si="191"/>
        <v>160947077</v>
      </c>
      <c r="R422" s="84">
        <f t="shared" si="191"/>
        <v>0</v>
      </c>
      <c r="S422" s="84">
        <f t="shared" si="191"/>
        <v>0</v>
      </c>
      <c r="T422" s="84">
        <f t="shared" si="191"/>
        <v>0</v>
      </c>
      <c r="U422" s="84">
        <f t="shared" si="191"/>
        <v>0</v>
      </c>
      <c r="V422" s="149">
        <f t="shared" si="191"/>
        <v>620649475.99000001</v>
      </c>
      <c r="W422" s="84">
        <f t="shared" si="191"/>
        <v>0</v>
      </c>
      <c r="X422" s="100">
        <f t="shared" si="191"/>
        <v>0</v>
      </c>
      <c r="Y422" s="100">
        <f t="shared" si="191"/>
        <v>0</v>
      </c>
      <c r="AA422" s="165">
        <f>+H422*5+'EJEC-GASTOS-JULIO-2020'!P149+'EJEC-GASTOS-JULIO-2020'!P150+'EJEC-GASTOS-JULIO-2020'!P151</f>
        <v>288774428.05000001</v>
      </c>
      <c r="AC422" s="281">
        <f t="shared" si="178"/>
        <v>331875047.94</v>
      </c>
      <c r="AE422" s="165">
        <f>+O422-'EJEC-GASTOS-JULIO-2020'!N136</f>
        <v>142237144</v>
      </c>
    </row>
    <row r="423" spans="1:33" x14ac:dyDescent="0.25">
      <c r="A423" s="163"/>
      <c r="B423" s="164" t="s">
        <v>967</v>
      </c>
      <c r="C423" s="165"/>
      <c r="D423" s="165"/>
      <c r="E423" s="165"/>
      <c r="F423" s="165"/>
      <c r="G423" s="165">
        <f>+G202+G127+G224</f>
        <v>1825744916</v>
      </c>
      <c r="H423" s="165">
        <f t="shared" ref="H423:Y423" si="193">+H202+H127+H224</f>
        <v>70090090.379999995</v>
      </c>
      <c r="I423" s="165">
        <f t="shared" si="193"/>
        <v>1139207790.52</v>
      </c>
      <c r="J423" s="165">
        <f t="shared" si="193"/>
        <v>686537125.48000002</v>
      </c>
      <c r="K423" s="165">
        <f t="shared" si="193"/>
        <v>97189379.379999995</v>
      </c>
      <c r="L423" s="165">
        <f t="shared" si="193"/>
        <v>850442563.51999998</v>
      </c>
      <c r="M423" s="165">
        <f t="shared" si="193"/>
        <v>288765227</v>
      </c>
      <c r="N423" s="165">
        <f t="shared" si="193"/>
        <v>1173876966</v>
      </c>
      <c r="O423" s="165">
        <f t="shared" si="192"/>
        <v>34669175.480000019</v>
      </c>
      <c r="P423" s="165">
        <f t="shared" si="184"/>
        <v>651867950</v>
      </c>
      <c r="Q423" s="165">
        <f t="shared" si="193"/>
        <v>850442563.51999998</v>
      </c>
      <c r="R423" s="84">
        <f t="shared" si="193"/>
        <v>0</v>
      </c>
      <c r="S423" s="84">
        <f t="shared" si="193"/>
        <v>0</v>
      </c>
      <c r="T423" s="84">
        <f t="shared" si="193"/>
        <v>0</v>
      </c>
      <c r="U423" s="84">
        <f t="shared" si="193"/>
        <v>0</v>
      </c>
      <c r="V423" s="149">
        <f t="shared" si="193"/>
        <v>651667950</v>
      </c>
      <c r="W423" s="84">
        <f t="shared" si="193"/>
        <v>0</v>
      </c>
      <c r="X423" s="100">
        <f t="shared" si="193"/>
        <v>0</v>
      </c>
      <c r="Y423" s="100">
        <f t="shared" si="193"/>
        <v>0</v>
      </c>
      <c r="AA423" s="165">
        <f t="shared" ref="AA423:AA434" si="194">+H423*5</f>
        <v>350450451.89999998</v>
      </c>
      <c r="AC423" s="281">
        <f t="shared" si="178"/>
        <v>301417498.10000002</v>
      </c>
      <c r="AE423" s="165">
        <f t="shared" si="190"/>
        <v>34669175.480000019</v>
      </c>
    </row>
    <row r="424" spans="1:33" x14ac:dyDescent="0.25">
      <c r="A424" s="163"/>
      <c r="B424" s="164" t="s">
        <v>963</v>
      </c>
      <c r="C424" s="165"/>
      <c r="D424" s="165"/>
      <c r="E424" s="165"/>
      <c r="F424" s="165"/>
      <c r="G424" s="165">
        <f>+G219+G201+G203</f>
        <v>272000000</v>
      </c>
      <c r="H424" s="165">
        <f t="shared" ref="H424:Y424" si="195">+H219+H201+H203</f>
        <v>0</v>
      </c>
      <c r="I424" s="165">
        <f t="shared" si="195"/>
        <v>90450000</v>
      </c>
      <c r="J424" s="165">
        <f t="shared" si="195"/>
        <v>181550000</v>
      </c>
      <c r="K424" s="165">
        <f t="shared" si="195"/>
        <v>0</v>
      </c>
      <c r="L424" s="165">
        <f t="shared" si="195"/>
        <v>3450000</v>
      </c>
      <c r="M424" s="165">
        <f t="shared" si="195"/>
        <v>87000000</v>
      </c>
      <c r="N424" s="165">
        <f t="shared" si="195"/>
        <v>153450000</v>
      </c>
      <c r="O424" s="165">
        <f t="shared" si="192"/>
        <v>63000000</v>
      </c>
      <c r="P424" s="165">
        <f t="shared" si="184"/>
        <v>118550000</v>
      </c>
      <c r="Q424" s="165">
        <f t="shared" si="195"/>
        <v>3450000</v>
      </c>
      <c r="R424" s="84">
        <f t="shared" si="195"/>
        <v>0</v>
      </c>
      <c r="S424" s="84">
        <f t="shared" si="195"/>
        <v>0</v>
      </c>
      <c r="T424" s="84">
        <f t="shared" si="195"/>
        <v>0</v>
      </c>
      <c r="U424" s="84">
        <f t="shared" si="195"/>
        <v>0</v>
      </c>
      <c r="V424" s="149">
        <f t="shared" si="195"/>
        <v>118550000</v>
      </c>
      <c r="W424" s="84">
        <f t="shared" si="195"/>
        <v>0</v>
      </c>
      <c r="X424" s="100">
        <f t="shared" si="195"/>
        <v>0</v>
      </c>
      <c r="Y424" s="100">
        <f t="shared" si="195"/>
        <v>0</v>
      </c>
      <c r="AA424" s="165">
        <f>+P424</f>
        <v>118550000</v>
      </c>
      <c r="AC424" s="281">
        <f t="shared" ref="AC424" si="196">+P424-AA424</f>
        <v>0</v>
      </c>
      <c r="AE424" s="165">
        <v>0</v>
      </c>
    </row>
    <row r="425" spans="1:33" x14ac:dyDescent="0.25">
      <c r="A425" s="163"/>
      <c r="B425" s="164" t="s">
        <v>964</v>
      </c>
      <c r="C425" s="165"/>
      <c r="D425" s="165"/>
      <c r="E425" s="165"/>
      <c r="F425" s="165"/>
      <c r="G425" s="165">
        <f>+G164</f>
        <v>350000000</v>
      </c>
      <c r="H425" s="165">
        <f t="shared" ref="H425:Y425" si="197">+H164</f>
        <v>4765016</v>
      </c>
      <c r="I425" s="165">
        <f t="shared" si="197"/>
        <v>110082631</v>
      </c>
      <c r="J425" s="165">
        <f t="shared" si="197"/>
        <v>239917369</v>
      </c>
      <c r="K425" s="165">
        <f t="shared" si="197"/>
        <v>3818853</v>
      </c>
      <c r="L425" s="165">
        <f t="shared" si="197"/>
        <v>112000562</v>
      </c>
      <c r="M425" s="165">
        <f t="shared" si="197"/>
        <v>-1917931</v>
      </c>
      <c r="N425" s="165">
        <f t="shared" si="197"/>
        <v>178442765</v>
      </c>
      <c r="O425" s="165">
        <f t="shared" si="192"/>
        <v>68360134</v>
      </c>
      <c r="P425" s="165">
        <f t="shared" si="184"/>
        <v>171557235</v>
      </c>
      <c r="Q425" s="165">
        <f t="shared" si="197"/>
        <v>112000562</v>
      </c>
      <c r="R425" s="84">
        <f t="shared" si="197"/>
        <v>0</v>
      </c>
      <c r="S425" s="84">
        <f t="shared" si="197"/>
        <v>0</v>
      </c>
      <c r="T425" s="84">
        <f t="shared" si="197"/>
        <v>0</v>
      </c>
      <c r="U425" s="84">
        <f t="shared" si="197"/>
        <v>0</v>
      </c>
      <c r="V425" s="149">
        <f t="shared" si="197"/>
        <v>171557235</v>
      </c>
      <c r="W425" s="84">
        <f t="shared" si="197"/>
        <v>0</v>
      </c>
      <c r="X425" s="100">
        <f t="shared" si="197"/>
        <v>0</v>
      </c>
      <c r="Y425" s="100">
        <f t="shared" si="197"/>
        <v>0</v>
      </c>
      <c r="AA425" s="165">
        <f t="shared" si="194"/>
        <v>23825080</v>
      </c>
      <c r="AC425" s="281">
        <f t="shared" si="178"/>
        <v>147732155</v>
      </c>
      <c r="AE425" s="165">
        <f t="shared" si="190"/>
        <v>68360134</v>
      </c>
    </row>
    <row r="426" spans="1:33" x14ac:dyDescent="0.25">
      <c r="A426" s="163"/>
      <c r="B426" s="164" t="s">
        <v>965</v>
      </c>
      <c r="C426" s="165"/>
      <c r="D426" s="165"/>
      <c r="E426" s="165"/>
      <c r="F426" s="165"/>
      <c r="G426" s="165">
        <f>+G213</f>
        <v>84500000</v>
      </c>
      <c r="H426" s="165">
        <f t="shared" ref="H426:Y426" si="198">+H213</f>
        <v>0</v>
      </c>
      <c r="I426" s="165">
        <f t="shared" si="198"/>
        <v>11791004</v>
      </c>
      <c r="J426" s="165">
        <f t="shared" si="198"/>
        <v>72708996</v>
      </c>
      <c r="K426" s="165">
        <f t="shared" si="198"/>
        <v>1376635</v>
      </c>
      <c r="L426" s="165">
        <f t="shared" si="198"/>
        <v>6024635</v>
      </c>
      <c r="M426" s="165">
        <f t="shared" si="198"/>
        <v>5766369</v>
      </c>
      <c r="N426" s="165">
        <f t="shared" si="198"/>
        <v>17951000</v>
      </c>
      <c r="O426" s="165">
        <f t="shared" si="192"/>
        <v>6159996</v>
      </c>
      <c r="P426" s="165">
        <f t="shared" si="184"/>
        <v>66549000</v>
      </c>
      <c r="Q426" s="165">
        <f t="shared" si="198"/>
        <v>6024635</v>
      </c>
      <c r="R426" s="84">
        <f t="shared" si="198"/>
        <v>0</v>
      </c>
      <c r="S426" s="84">
        <f t="shared" si="198"/>
        <v>0</v>
      </c>
      <c r="T426" s="84">
        <f t="shared" si="198"/>
        <v>0</v>
      </c>
      <c r="U426" s="84">
        <f t="shared" si="198"/>
        <v>0</v>
      </c>
      <c r="V426" s="149">
        <f t="shared" si="198"/>
        <v>30300000</v>
      </c>
      <c r="W426" s="84">
        <f t="shared" si="198"/>
        <v>0</v>
      </c>
      <c r="X426" s="100">
        <f t="shared" si="198"/>
        <v>0</v>
      </c>
      <c r="Y426" s="100">
        <f t="shared" si="198"/>
        <v>0</v>
      </c>
      <c r="AA426" s="165">
        <f t="shared" si="194"/>
        <v>0</v>
      </c>
      <c r="AC426" s="281">
        <f t="shared" si="178"/>
        <v>66549000</v>
      </c>
      <c r="AE426" s="165">
        <f t="shared" si="190"/>
        <v>6159996</v>
      </c>
    </row>
    <row r="427" spans="1:33" x14ac:dyDescent="0.25">
      <c r="A427" s="163"/>
      <c r="B427" s="164" t="s">
        <v>966</v>
      </c>
      <c r="C427" s="165"/>
      <c r="D427" s="165"/>
      <c r="E427" s="165"/>
      <c r="F427" s="165"/>
      <c r="G427" s="165">
        <f>+G221+G193+G194</f>
        <v>3000383649</v>
      </c>
      <c r="H427" s="165">
        <f t="shared" ref="H427:Y427" si="199">+H221+H193+H194</f>
        <v>163990323</v>
      </c>
      <c r="I427" s="165">
        <f t="shared" si="199"/>
        <v>2052230086</v>
      </c>
      <c r="J427" s="165">
        <f t="shared" si="199"/>
        <v>948153563</v>
      </c>
      <c r="K427" s="165">
        <f t="shared" si="199"/>
        <v>321759580.40999997</v>
      </c>
      <c r="L427" s="165">
        <f t="shared" si="199"/>
        <v>1213689072.05</v>
      </c>
      <c r="M427" s="165">
        <f t="shared" si="199"/>
        <v>838541013.95000005</v>
      </c>
      <c r="N427" s="165">
        <f t="shared" si="199"/>
        <v>2531022041</v>
      </c>
      <c r="O427" s="165">
        <f t="shared" si="192"/>
        <v>478791955</v>
      </c>
      <c r="P427" s="165">
        <f t="shared" si="184"/>
        <v>469361608</v>
      </c>
      <c r="Q427" s="165">
        <f t="shared" si="199"/>
        <v>1213689072.05</v>
      </c>
      <c r="R427" s="84">
        <f t="shared" si="199"/>
        <v>0</v>
      </c>
      <c r="S427" s="84">
        <f t="shared" si="199"/>
        <v>0</v>
      </c>
      <c r="T427" s="84">
        <f t="shared" si="199"/>
        <v>0</v>
      </c>
      <c r="U427" s="84">
        <f t="shared" si="199"/>
        <v>0</v>
      </c>
      <c r="V427" s="149">
        <f t="shared" si="199"/>
        <v>469361608</v>
      </c>
      <c r="W427" s="84">
        <f t="shared" si="199"/>
        <v>0</v>
      </c>
      <c r="X427" s="100">
        <f t="shared" si="199"/>
        <v>0</v>
      </c>
      <c r="Y427" s="100">
        <f t="shared" si="199"/>
        <v>0</v>
      </c>
      <c r="AA427" s="165">
        <v>0</v>
      </c>
      <c r="AC427" s="281">
        <f t="shared" si="178"/>
        <v>469361608</v>
      </c>
      <c r="AE427" s="165">
        <f t="shared" si="190"/>
        <v>478791955</v>
      </c>
    </row>
    <row r="428" spans="1:33" x14ac:dyDescent="0.25">
      <c r="A428" s="163"/>
      <c r="B428" s="164" t="s">
        <v>968</v>
      </c>
      <c r="C428" s="165"/>
      <c r="D428" s="165"/>
      <c r="E428" s="165"/>
      <c r="F428" s="165"/>
      <c r="G428" s="165">
        <f t="shared" ref="G428:N428" si="200">+G182+G180</f>
        <v>1019000000</v>
      </c>
      <c r="H428" s="165">
        <f t="shared" si="200"/>
        <v>0</v>
      </c>
      <c r="I428" s="165">
        <f t="shared" si="200"/>
        <v>1019000000</v>
      </c>
      <c r="J428" s="165">
        <f t="shared" si="200"/>
        <v>0</v>
      </c>
      <c r="K428" s="165">
        <f t="shared" si="200"/>
        <v>0</v>
      </c>
      <c r="L428" s="165">
        <f t="shared" si="200"/>
        <v>1016580752</v>
      </c>
      <c r="M428" s="165">
        <f t="shared" si="200"/>
        <v>2419248</v>
      </c>
      <c r="N428" s="165">
        <f t="shared" si="200"/>
        <v>1019000000</v>
      </c>
      <c r="O428" s="165">
        <f t="shared" si="192"/>
        <v>0</v>
      </c>
      <c r="P428" s="165">
        <f t="shared" si="184"/>
        <v>0</v>
      </c>
      <c r="Q428" s="165">
        <f t="shared" ref="Q428:Y428" si="201">+Q182+Q180</f>
        <v>1016580752</v>
      </c>
      <c r="R428" s="84">
        <f t="shared" si="201"/>
        <v>0</v>
      </c>
      <c r="S428" s="84">
        <f t="shared" si="201"/>
        <v>0</v>
      </c>
      <c r="T428" s="84">
        <f t="shared" si="201"/>
        <v>0</v>
      </c>
      <c r="U428" s="84">
        <f t="shared" si="201"/>
        <v>0</v>
      </c>
      <c r="V428" s="149">
        <f t="shared" si="201"/>
        <v>0</v>
      </c>
      <c r="W428" s="84">
        <f t="shared" si="201"/>
        <v>0</v>
      </c>
      <c r="X428" s="100">
        <f t="shared" si="201"/>
        <v>0</v>
      </c>
      <c r="Y428" s="100">
        <f t="shared" si="201"/>
        <v>0</v>
      </c>
      <c r="AA428" s="165">
        <f t="shared" si="194"/>
        <v>0</v>
      </c>
      <c r="AC428" s="281">
        <f t="shared" si="178"/>
        <v>0</v>
      </c>
      <c r="AE428" s="165">
        <f t="shared" si="190"/>
        <v>0</v>
      </c>
    </row>
    <row r="429" spans="1:33" x14ac:dyDescent="0.25">
      <c r="A429" s="163"/>
      <c r="B429" s="164" t="s">
        <v>969</v>
      </c>
      <c r="C429" s="165"/>
      <c r="D429" s="165"/>
      <c r="E429" s="165"/>
      <c r="F429" s="165"/>
      <c r="G429" s="165">
        <f t="shared" ref="G429:N429" si="202">+G205</f>
        <v>651800000</v>
      </c>
      <c r="H429" s="165">
        <f t="shared" si="202"/>
        <v>0</v>
      </c>
      <c r="I429" s="165">
        <f t="shared" si="202"/>
        <v>593650709.04999995</v>
      </c>
      <c r="J429" s="165">
        <f t="shared" si="202"/>
        <v>58149290.950000048</v>
      </c>
      <c r="K429" s="165">
        <f t="shared" si="202"/>
        <v>170199254.49000001</v>
      </c>
      <c r="L429" s="165">
        <f t="shared" si="202"/>
        <v>196519115.19</v>
      </c>
      <c r="M429" s="165">
        <f t="shared" si="202"/>
        <v>397131593.85999995</v>
      </c>
      <c r="N429" s="165">
        <f t="shared" si="202"/>
        <v>594372408.70000005</v>
      </c>
      <c r="O429" s="165">
        <f t="shared" si="192"/>
        <v>721699.65000009537</v>
      </c>
      <c r="P429" s="165">
        <f t="shared" si="184"/>
        <v>57427591.299999952</v>
      </c>
      <c r="Q429" s="165">
        <f t="shared" ref="Q429:Y429" si="203">+Q205</f>
        <v>196519115.19</v>
      </c>
      <c r="R429" s="84">
        <f t="shared" si="203"/>
        <v>0</v>
      </c>
      <c r="S429" s="84">
        <f t="shared" si="203"/>
        <v>0</v>
      </c>
      <c r="T429" s="84">
        <f t="shared" si="203"/>
        <v>0</v>
      </c>
      <c r="U429" s="84">
        <f t="shared" si="203"/>
        <v>0</v>
      </c>
      <c r="V429" s="149">
        <f t="shared" si="203"/>
        <v>57427591.299999952</v>
      </c>
      <c r="W429" s="84">
        <f t="shared" si="203"/>
        <v>0</v>
      </c>
      <c r="X429" s="100">
        <f t="shared" si="203"/>
        <v>0</v>
      </c>
      <c r="Y429" s="100">
        <f t="shared" si="203"/>
        <v>0</v>
      </c>
      <c r="AA429" s="165">
        <f t="shared" si="194"/>
        <v>0</v>
      </c>
      <c r="AC429" s="281">
        <f t="shared" si="178"/>
        <v>57427591.299999952</v>
      </c>
      <c r="AE429" s="165">
        <f t="shared" si="190"/>
        <v>721699.65000009537</v>
      </c>
    </row>
    <row r="430" spans="1:33" x14ac:dyDescent="0.25">
      <c r="A430" s="163"/>
      <c r="B430" s="164" t="s">
        <v>970</v>
      </c>
      <c r="C430" s="165"/>
      <c r="D430" s="165"/>
      <c r="E430" s="165"/>
      <c r="F430" s="165"/>
      <c r="G430" s="165">
        <f t="shared" ref="G430:N430" si="204">+G184+G190+G189</f>
        <v>1609000000</v>
      </c>
      <c r="H430" s="165">
        <f t="shared" si="204"/>
        <v>0</v>
      </c>
      <c r="I430" s="165">
        <f t="shared" si="204"/>
        <v>967181791</v>
      </c>
      <c r="J430" s="165">
        <f t="shared" si="204"/>
        <v>641818209</v>
      </c>
      <c r="K430" s="165">
        <f t="shared" si="204"/>
        <v>25193708</v>
      </c>
      <c r="L430" s="165">
        <f t="shared" si="204"/>
        <v>113709132</v>
      </c>
      <c r="M430" s="165">
        <f t="shared" si="204"/>
        <v>853472659</v>
      </c>
      <c r="N430" s="165">
        <f t="shared" si="204"/>
        <v>1582617448</v>
      </c>
      <c r="O430" s="165">
        <f t="shared" si="192"/>
        <v>615435657</v>
      </c>
      <c r="P430" s="165">
        <f t="shared" si="184"/>
        <v>26382552</v>
      </c>
      <c r="Q430" s="165">
        <f t="shared" ref="Q430:Y430" si="205">+Q184+Q190+Q189</f>
        <v>113709132</v>
      </c>
      <c r="R430" s="84">
        <f t="shared" si="205"/>
        <v>0</v>
      </c>
      <c r="S430" s="84">
        <f t="shared" si="205"/>
        <v>0</v>
      </c>
      <c r="T430" s="84">
        <f t="shared" si="205"/>
        <v>0</v>
      </c>
      <c r="U430" s="84">
        <f t="shared" si="205"/>
        <v>0</v>
      </c>
      <c r="V430" s="149">
        <f t="shared" si="205"/>
        <v>26382552</v>
      </c>
      <c r="W430" s="84">
        <f t="shared" si="205"/>
        <v>0</v>
      </c>
      <c r="X430" s="100">
        <f t="shared" si="205"/>
        <v>0</v>
      </c>
      <c r="Y430" s="100">
        <f t="shared" si="205"/>
        <v>0</v>
      </c>
      <c r="AA430" s="165">
        <f t="shared" si="194"/>
        <v>0</v>
      </c>
      <c r="AC430" s="281">
        <f t="shared" si="178"/>
        <v>26382552</v>
      </c>
      <c r="AE430" s="165">
        <f>+O430</f>
        <v>615435657</v>
      </c>
    </row>
    <row r="431" spans="1:33" x14ac:dyDescent="0.25">
      <c r="A431" s="163"/>
      <c r="B431" s="164" t="s">
        <v>971</v>
      </c>
      <c r="C431" s="165"/>
      <c r="D431" s="165"/>
      <c r="E431" s="165"/>
      <c r="F431" s="165"/>
      <c r="G431" s="165">
        <f t="shared" ref="G431:N431" si="206">+G168</f>
        <v>470000000</v>
      </c>
      <c r="H431" s="165">
        <f t="shared" si="206"/>
        <v>0</v>
      </c>
      <c r="I431" s="165">
        <f t="shared" si="206"/>
        <v>291265502</v>
      </c>
      <c r="J431" s="165">
        <f t="shared" si="206"/>
        <v>178734498</v>
      </c>
      <c r="K431" s="165">
        <f t="shared" si="206"/>
        <v>8197422.6699999999</v>
      </c>
      <c r="L431" s="165">
        <f t="shared" si="206"/>
        <v>15519464.67</v>
      </c>
      <c r="M431" s="165">
        <f t="shared" si="206"/>
        <v>275746037.32999998</v>
      </c>
      <c r="N431" s="165">
        <f t="shared" si="206"/>
        <v>331365502</v>
      </c>
      <c r="O431" s="165">
        <f t="shared" si="192"/>
        <v>40100000</v>
      </c>
      <c r="P431" s="165">
        <f t="shared" si="184"/>
        <v>138634498</v>
      </c>
      <c r="Q431" s="165">
        <f t="shared" ref="Q431:Y431" si="207">+Q168</f>
        <v>15519464.67</v>
      </c>
      <c r="R431" s="84">
        <f t="shared" si="207"/>
        <v>0</v>
      </c>
      <c r="S431" s="84">
        <f t="shared" si="207"/>
        <v>0</v>
      </c>
      <c r="T431" s="84">
        <f t="shared" si="207"/>
        <v>0</v>
      </c>
      <c r="U431" s="84">
        <f t="shared" si="207"/>
        <v>0</v>
      </c>
      <c r="V431" s="149">
        <f t="shared" si="207"/>
        <v>138634498</v>
      </c>
      <c r="W431" s="84">
        <f t="shared" si="207"/>
        <v>0</v>
      </c>
      <c r="X431" s="100">
        <f t="shared" si="207"/>
        <v>0</v>
      </c>
      <c r="Y431" s="100">
        <f t="shared" si="207"/>
        <v>0</v>
      </c>
      <c r="AA431" s="165">
        <f t="shared" si="194"/>
        <v>0</v>
      </c>
      <c r="AC431" s="281">
        <f t="shared" si="178"/>
        <v>138634498</v>
      </c>
      <c r="AE431" s="165">
        <f t="shared" ref="AE431:AE434" si="208">+O431</f>
        <v>40100000</v>
      </c>
    </row>
    <row r="432" spans="1:33" x14ac:dyDescent="0.25">
      <c r="A432" s="163"/>
      <c r="B432" s="164" t="s">
        <v>972</v>
      </c>
      <c r="C432" s="165"/>
      <c r="D432" s="165"/>
      <c r="E432" s="165"/>
      <c r="F432" s="165"/>
      <c r="G432" s="165">
        <f>+G183+G178</f>
        <v>185000000</v>
      </c>
      <c r="H432" s="165">
        <f t="shared" ref="H432:Y432" si="209">+H183+H178</f>
        <v>19227459.629999999</v>
      </c>
      <c r="I432" s="165">
        <f t="shared" si="209"/>
        <v>98340395.340000004</v>
      </c>
      <c r="J432" s="165">
        <f t="shared" si="209"/>
        <v>86659604.659999996</v>
      </c>
      <c r="K432" s="165">
        <f t="shared" si="209"/>
        <v>19204147.239999998</v>
      </c>
      <c r="L432" s="165">
        <f t="shared" si="209"/>
        <v>97948225.980000004</v>
      </c>
      <c r="M432" s="165">
        <f t="shared" si="209"/>
        <v>392169.3599999994</v>
      </c>
      <c r="N432" s="165">
        <f t="shared" si="209"/>
        <v>101187713.2</v>
      </c>
      <c r="O432" s="165">
        <f t="shared" si="192"/>
        <v>2847317.8599999994</v>
      </c>
      <c r="P432" s="165">
        <f t="shared" si="184"/>
        <v>83812286.799999997</v>
      </c>
      <c r="Q432" s="165">
        <f t="shared" si="209"/>
        <v>97948225.980000004</v>
      </c>
      <c r="R432" s="84">
        <f t="shared" si="209"/>
        <v>0</v>
      </c>
      <c r="S432" s="84">
        <f t="shared" si="209"/>
        <v>0</v>
      </c>
      <c r="T432" s="84">
        <f t="shared" si="209"/>
        <v>0</v>
      </c>
      <c r="U432" s="84">
        <f t="shared" si="209"/>
        <v>0</v>
      </c>
      <c r="V432" s="149">
        <f t="shared" si="209"/>
        <v>83812286.799999997</v>
      </c>
      <c r="W432" s="84">
        <f t="shared" si="209"/>
        <v>0</v>
      </c>
      <c r="X432" s="100">
        <f t="shared" si="209"/>
        <v>0</v>
      </c>
      <c r="Y432" s="100">
        <f t="shared" si="209"/>
        <v>0</v>
      </c>
      <c r="AA432" s="165">
        <f>+P432</f>
        <v>83812286.799999997</v>
      </c>
      <c r="AC432" s="281">
        <f t="shared" si="178"/>
        <v>0</v>
      </c>
      <c r="AE432" s="165">
        <f t="shared" si="208"/>
        <v>2847317.8599999994</v>
      </c>
    </row>
    <row r="433" spans="1:31" x14ac:dyDescent="0.25">
      <c r="A433" s="163"/>
      <c r="B433" s="164" t="str">
        <f>+B165</f>
        <v>SERVICIOS DE LA CONSTRUCCIÓN</v>
      </c>
      <c r="C433" s="165"/>
      <c r="D433" s="165"/>
      <c r="E433" s="165"/>
      <c r="F433" s="165"/>
      <c r="G433" s="165">
        <f>+G165</f>
        <v>463515764</v>
      </c>
      <c r="H433" s="165">
        <f t="shared" ref="H433:Y433" si="210">+H165</f>
        <v>274547823</v>
      </c>
      <c r="I433" s="165">
        <f t="shared" si="210"/>
        <v>308547823</v>
      </c>
      <c r="J433" s="165">
        <f t="shared" si="210"/>
        <v>154967941</v>
      </c>
      <c r="K433" s="165">
        <f t="shared" si="210"/>
        <v>0</v>
      </c>
      <c r="L433" s="165">
        <f t="shared" si="210"/>
        <v>34000000</v>
      </c>
      <c r="M433" s="165">
        <f t="shared" si="210"/>
        <v>274547823</v>
      </c>
      <c r="N433" s="165">
        <f t="shared" si="210"/>
        <v>308547823</v>
      </c>
      <c r="O433" s="165">
        <f t="shared" si="192"/>
        <v>0</v>
      </c>
      <c r="P433" s="165">
        <f t="shared" si="184"/>
        <v>154967941</v>
      </c>
      <c r="Q433" s="165">
        <f t="shared" si="210"/>
        <v>34000000</v>
      </c>
      <c r="R433" s="84">
        <f t="shared" si="210"/>
        <v>0</v>
      </c>
      <c r="S433" s="84">
        <f t="shared" si="210"/>
        <v>0</v>
      </c>
      <c r="T433" s="84">
        <f t="shared" si="210"/>
        <v>0</v>
      </c>
      <c r="U433" s="84">
        <f t="shared" si="210"/>
        <v>0</v>
      </c>
      <c r="V433" s="149">
        <f t="shared" si="210"/>
        <v>154967941</v>
      </c>
      <c r="W433" s="84">
        <f t="shared" si="210"/>
        <v>0</v>
      </c>
      <c r="X433" s="100">
        <f t="shared" si="210"/>
        <v>0</v>
      </c>
      <c r="Y433" s="100">
        <f t="shared" si="210"/>
        <v>0</v>
      </c>
      <c r="AA433" s="165">
        <f>+P433</f>
        <v>154967941</v>
      </c>
      <c r="AC433" s="281">
        <f t="shared" si="178"/>
        <v>0</v>
      </c>
      <c r="AE433" s="165">
        <f t="shared" si="208"/>
        <v>0</v>
      </c>
    </row>
    <row r="434" spans="1:31" x14ac:dyDescent="0.25">
      <c r="A434" s="163"/>
      <c r="B434" s="164" t="s">
        <v>98</v>
      </c>
      <c r="C434" s="165"/>
      <c r="D434" s="165"/>
      <c r="E434" s="165"/>
      <c r="F434" s="165"/>
      <c r="G434" s="165">
        <f>+G230+G203+G201</f>
        <v>119000000</v>
      </c>
      <c r="H434" s="165">
        <f t="shared" ref="H434:Y434" si="211">+H238+H230+H203+H201</f>
        <v>0</v>
      </c>
      <c r="I434" s="165">
        <f t="shared" si="211"/>
        <v>75388821</v>
      </c>
      <c r="J434" s="165">
        <f t="shared" si="211"/>
        <v>125077659.73</v>
      </c>
      <c r="K434" s="165">
        <f t="shared" si="211"/>
        <v>16938557</v>
      </c>
      <c r="L434" s="165">
        <f t="shared" si="211"/>
        <v>34405380</v>
      </c>
      <c r="M434" s="165">
        <f t="shared" si="211"/>
        <v>40983441</v>
      </c>
      <c r="N434" s="165">
        <f t="shared" si="211"/>
        <v>109505783</v>
      </c>
      <c r="O434" s="165">
        <f t="shared" si="192"/>
        <v>34116962</v>
      </c>
      <c r="P434" s="165">
        <f t="shared" si="184"/>
        <v>9494217</v>
      </c>
      <c r="Q434" s="165">
        <f t="shared" si="211"/>
        <v>34405380</v>
      </c>
      <c r="R434" s="84">
        <f t="shared" si="211"/>
        <v>0</v>
      </c>
      <c r="S434" s="84">
        <f t="shared" si="211"/>
        <v>0</v>
      </c>
      <c r="T434" s="84">
        <f t="shared" si="211"/>
        <v>0</v>
      </c>
      <c r="U434" s="84">
        <f t="shared" si="211"/>
        <v>0</v>
      </c>
      <c r="V434" s="149">
        <f t="shared" si="211"/>
        <v>90960697.730000004</v>
      </c>
      <c r="W434" s="84">
        <f t="shared" si="211"/>
        <v>0</v>
      </c>
      <c r="X434" s="100">
        <f t="shared" si="211"/>
        <v>0</v>
      </c>
      <c r="Y434" s="100">
        <f t="shared" si="211"/>
        <v>0</v>
      </c>
      <c r="AA434" s="165">
        <f t="shared" si="194"/>
        <v>0</v>
      </c>
      <c r="AC434" s="281">
        <f t="shared" si="178"/>
        <v>9494217</v>
      </c>
      <c r="AE434" s="165">
        <f t="shared" si="208"/>
        <v>34116962</v>
      </c>
    </row>
    <row r="435" spans="1:31" ht="30" x14ac:dyDescent="0.25">
      <c r="A435" s="160"/>
      <c r="B435" s="161" t="s">
        <v>1002</v>
      </c>
      <c r="C435" s="162"/>
      <c r="D435" s="162"/>
      <c r="E435" s="162"/>
      <c r="F435" s="162"/>
      <c r="G435" s="162">
        <f>+G241+G238</f>
        <v>574912709.73000002</v>
      </c>
      <c r="H435" s="162">
        <f t="shared" ref="H435:P435" si="212">+H241+H238</f>
        <v>122524708</v>
      </c>
      <c r="I435" s="162">
        <f t="shared" si="212"/>
        <v>414817263</v>
      </c>
      <c r="J435" s="162">
        <f t="shared" si="212"/>
        <v>160095446.73000002</v>
      </c>
      <c r="K435" s="162">
        <f t="shared" si="212"/>
        <v>122524708</v>
      </c>
      <c r="L435" s="162">
        <f t="shared" si="212"/>
        <v>390724167</v>
      </c>
      <c r="M435" s="162">
        <f t="shared" si="212"/>
        <v>24093096</v>
      </c>
      <c r="N435" s="162">
        <f t="shared" si="212"/>
        <v>448914167</v>
      </c>
      <c r="O435" s="162">
        <f t="shared" si="212"/>
        <v>34096904</v>
      </c>
      <c r="P435" s="162">
        <f t="shared" si="212"/>
        <v>125998542.73</v>
      </c>
      <c r="Q435" s="162">
        <f t="shared" ref="Q435:Y435" si="213">+Q241</f>
        <v>390724167</v>
      </c>
      <c r="R435" s="84">
        <f t="shared" si="213"/>
        <v>0</v>
      </c>
      <c r="S435" s="84">
        <f t="shared" si="213"/>
        <v>0</v>
      </c>
      <c r="T435" s="84">
        <f t="shared" si="213"/>
        <v>0</v>
      </c>
      <c r="U435" s="84">
        <f t="shared" si="213"/>
        <v>0</v>
      </c>
      <c r="V435" s="149">
        <f t="shared" si="213"/>
        <v>102722062</v>
      </c>
      <c r="W435" s="84">
        <f t="shared" si="213"/>
        <v>0</v>
      </c>
      <c r="X435" s="100">
        <f t="shared" si="213"/>
        <v>0</v>
      </c>
      <c r="Y435" s="100">
        <f t="shared" si="213"/>
        <v>0</v>
      </c>
      <c r="AA435" s="162">
        <f>+AA241+AA238</f>
        <v>0</v>
      </c>
      <c r="AC435" s="280">
        <f>+P435-AA435</f>
        <v>125998542.73</v>
      </c>
      <c r="AE435" s="162">
        <f>+O435</f>
        <v>34096904</v>
      </c>
    </row>
    <row r="436" spans="1:31" s="100" customFormat="1" x14ac:dyDescent="0.25">
      <c r="A436" s="151"/>
      <c r="B436" s="152" t="s">
        <v>973</v>
      </c>
      <c r="C436" s="153"/>
      <c r="D436" s="153"/>
      <c r="E436" s="153"/>
      <c r="F436" s="153"/>
      <c r="G436" s="153">
        <f>+G249</f>
        <v>31459850098.510002</v>
      </c>
      <c r="H436" s="153">
        <f t="shared" ref="H436:Q436" si="214">+H249</f>
        <v>1217855612.0700002</v>
      </c>
      <c r="I436" s="153">
        <f t="shared" si="214"/>
        <v>8622236698.8999996</v>
      </c>
      <c r="J436" s="153">
        <f t="shared" si="214"/>
        <v>22837613399.610001</v>
      </c>
      <c r="K436" s="153">
        <f t="shared" si="214"/>
        <v>1339449811.5799999</v>
      </c>
      <c r="L436" s="153">
        <f t="shared" si="214"/>
        <v>3989100764.27</v>
      </c>
      <c r="M436" s="153">
        <f t="shared" si="214"/>
        <v>4633135934.6299992</v>
      </c>
      <c r="N436" s="153">
        <f t="shared" si="214"/>
        <v>11967831794.340002</v>
      </c>
      <c r="O436" s="153">
        <f t="shared" si="214"/>
        <v>3345595095.4400024</v>
      </c>
      <c r="P436" s="153">
        <f t="shared" si="184"/>
        <v>19492018304.169998</v>
      </c>
      <c r="Q436" s="153">
        <f t="shared" si="214"/>
        <v>3989100764.27</v>
      </c>
      <c r="V436" s="149"/>
      <c r="X436" s="167"/>
      <c r="Y436" s="168"/>
      <c r="AA436" s="153"/>
      <c r="AC436" s="279">
        <f t="shared" si="178"/>
        <v>19492018304.169998</v>
      </c>
      <c r="AE436" s="153">
        <f>+Hoja1!K5-'FUENTES Y USOS'!U15</f>
        <v>2440453437.25</v>
      </c>
    </row>
    <row r="437" spans="1:31" x14ac:dyDescent="0.25">
      <c r="X437" s="20"/>
      <c r="Y437" s="168"/>
    </row>
    <row r="438" spans="1:31" x14ac:dyDescent="0.25">
      <c r="X438" s="20"/>
      <c r="Y438" s="168"/>
    </row>
    <row r="439" spans="1:31" x14ac:dyDescent="0.25">
      <c r="X439" s="20"/>
      <c r="Y439" s="168"/>
    </row>
    <row r="440" spans="1:31" x14ac:dyDescent="0.25">
      <c r="X440" s="20"/>
      <c r="Y440" s="168"/>
    </row>
    <row r="441" spans="1:31" x14ac:dyDescent="0.25">
      <c r="X441" s="20"/>
      <c r="Y441" s="168"/>
    </row>
    <row r="442" spans="1:31" x14ac:dyDescent="0.25">
      <c r="X442" s="20"/>
      <c r="Y442" s="168"/>
    </row>
    <row r="443" spans="1:31" x14ac:dyDescent="0.25">
      <c r="X443" s="20"/>
      <c r="Y443" s="168"/>
    </row>
    <row r="444" spans="1:31" x14ac:dyDescent="0.25">
      <c r="X444" s="20"/>
      <c r="Y444" s="168"/>
    </row>
    <row r="445" spans="1:31" s="100" customFormat="1" x14ac:dyDescent="0.25">
      <c r="A445" s="151"/>
      <c r="B445" s="152" t="s">
        <v>6</v>
      </c>
      <c r="C445" s="153"/>
      <c r="D445" s="153"/>
      <c r="E445" s="153"/>
      <c r="F445" s="153"/>
      <c r="G445" s="153">
        <v>152915847558.23999</v>
      </c>
      <c r="H445" s="153">
        <v>8978329077.0900002</v>
      </c>
      <c r="I445" s="153">
        <v>79561538004.669983</v>
      </c>
      <c r="J445" s="153">
        <v>73354309553.570007</v>
      </c>
      <c r="K445" s="153">
        <v>9413215010.7700005</v>
      </c>
      <c r="L445" s="153">
        <v>65815676234.329994</v>
      </c>
      <c r="M445" s="153">
        <v>13745861770.339989</v>
      </c>
      <c r="N445" s="153">
        <v>85384605777.419998</v>
      </c>
      <c r="O445" s="153">
        <v>5823067772.7500153</v>
      </c>
      <c r="P445" s="153">
        <v>67531241780.819992</v>
      </c>
      <c r="Q445" s="153">
        <v>65815676234.329994</v>
      </c>
      <c r="V445" s="149"/>
      <c r="X445" s="167"/>
      <c r="Y445" s="168"/>
      <c r="AA445" s="153">
        <v>44340887737.75</v>
      </c>
      <c r="AC445" s="279">
        <v>23190354043.069992</v>
      </c>
      <c r="AD445" s="118"/>
      <c r="AE445" s="153">
        <v>1585300777.99</v>
      </c>
    </row>
    <row r="446" spans="1:31" x14ac:dyDescent="0.25">
      <c r="X446" s="20"/>
      <c r="Y446" s="168"/>
    </row>
    <row r="447" spans="1:31" x14ac:dyDescent="0.25">
      <c r="X447" s="20"/>
      <c r="Y447" s="168"/>
    </row>
    <row r="448" spans="1:31" x14ac:dyDescent="0.25">
      <c r="X448" s="20"/>
      <c r="Y448" s="168"/>
    </row>
    <row r="449" spans="24:25" x14ac:dyDescent="0.25">
      <c r="X449" s="20"/>
      <c r="Y449" s="168"/>
    </row>
    <row r="450" spans="24:25" x14ac:dyDescent="0.25">
      <c r="X450" s="20"/>
      <c r="Y450" s="168"/>
    </row>
    <row r="451" spans="24:25" x14ac:dyDescent="0.25">
      <c r="X451" s="20"/>
      <c r="Y451" s="168"/>
    </row>
    <row r="452" spans="24:25" x14ac:dyDescent="0.25">
      <c r="X452" s="20"/>
      <c r="Y452" s="168"/>
    </row>
    <row r="453" spans="24:25" x14ac:dyDescent="0.25">
      <c r="X453" s="20"/>
      <c r="Y453" s="168"/>
    </row>
    <row r="454" spans="24:25" x14ac:dyDescent="0.25">
      <c r="X454" s="20"/>
      <c r="Y454" s="168"/>
    </row>
    <row r="455" spans="24:25" x14ac:dyDescent="0.25">
      <c r="X455" s="20"/>
      <c r="Y455" s="168"/>
    </row>
    <row r="456" spans="24:25" x14ac:dyDescent="0.25">
      <c r="X456" s="100"/>
      <c r="Y456" s="167"/>
    </row>
    <row r="457" spans="24:25" x14ac:dyDescent="0.25">
      <c r="X457" s="167"/>
      <c r="Y457" s="168"/>
    </row>
    <row r="458" spans="24:25" x14ac:dyDescent="0.25">
      <c r="X458" s="167"/>
      <c r="Y458" s="168"/>
    </row>
    <row r="459" spans="24:25" x14ac:dyDescent="0.25">
      <c r="X459" s="167"/>
      <c r="Y459" s="168"/>
    </row>
    <row r="460" spans="24:25" x14ac:dyDescent="0.25">
      <c r="X460" s="167"/>
      <c r="Y460" s="168"/>
    </row>
    <row r="461" spans="24:25" x14ac:dyDescent="0.25">
      <c r="X461" s="167"/>
      <c r="Y461" s="168"/>
    </row>
    <row r="462" spans="24:25" x14ac:dyDescent="0.25">
      <c r="X462" s="167"/>
      <c r="Y462" s="168"/>
    </row>
    <row r="463" spans="24:25" x14ac:dyDescent="0.25">
      <c r="X463" s="167"/>
      <c r="Y463" s="168"/>
    </row>
    <row r="464" spans="24:25" x14ac:dyDescent="0.25">
      <c r="X464" s="167"/>
      <c r="Y464" s="168"/>
    </row>
    <row r="466" spans="24:25" x14ac:dyDescent="0.25">
      <c r="X466" s="167"/>
      <c r="Y466" s="168"/>
    </row>
    <row r="467" spans="24:25" x14ac:dyDescent="0.25">
      <c r="X467" s="167"/>
      <c r="Y467" s="168"/>
    </row>
    <row r="468" spans="24:25" x14ac:dyDescent="0.25">
      <c r="X468" s="167"/>
      <c r="Y468" s="168"/>
    </row>
    <row r="469" spans="24:25" x14ac:dyDescent="0.25">
      <c r="X469" s="167"/>
      <c r="Y469" s="168"/>
    </row>
    <row r="470" spans="24:25" x14ac:dyDescent="0.25">
      <c r="X470" s="167"/>
      <c r="Y470" s="168"/>
    </row>
    <row r="471" spans="24:25" x14ac:dyDescent="0.25">
      <c r="X471" s="167"/>
      <c r="Y471" s="168"/>
    </row>
    <row r="472" spans="24:25" x14ac:dyDescent="0.25">
      <c r="X472" s="167"/>
      <c r="Y472" s="168"/>
    </row>
    <row r="473" spans="24:25" x14ac:dyDescent="0.25">
      <c r="X473" s="167"/>
      <c r="Y473" s="168"/>
    </row>
    <row r="474" spans="24:25" x14ac:dyDescent="0.25">
      <c r="X474" s="167"/>
      <c r="Y474" s="168"/>
    </row>
    <row r="475" spans="24:25" x14ac:dyDescent="0.25">
      <c r="X475" s="167"/>
      <c r="Y475" s="168"/>
    </row>
    <row r="476" spans="24:25" x14ac:dyDescent="0.25">
      <c r="X476" s="167"/>
      <c r="Y476" s="168"/>
    </row>
    <row r="477" spans="24:25" x14ac:dyDescent="0.25">
      <c r="X477" s="167"/>
      <c r="Y477" s="168"/>
    </row>
    <row r="478" spans="24:25" x14ac:dyDescent="0.25">
      <c r="X478" s="167"/>
      <c r="Y478" s="168"/>
    </row>
    <row r="479" spans="24:25" x14ac:dyDescent="0.25">
      <c r="X479" s="167"/>
      <c r="Y479" s="168"/>
    </row>
    <row r="480" spans="24:25" x14ac:dyDescent="0.25">
      <c r="X480" s="167"/>
      <c r="Y480" s="168"/>
    </row>
    <row r="481" spans="24:25" x14ac:dyDescent="0.25">
      <c r="X481" s="167"/>
      <c r="Y481" s="168"/>
    </row>
    <row r="482" spans="24:25" x14ac:dyDescent="0.25">
      <c r="X482" s="167"/>
      <c r="Y482" s="168"/>
    </row>
    <row r="483" spans="24:25" x14ac:dyDescent="0.25">
      <c r="X483" s="167"/>
      <c r="Y483" s="168"/>
    </row>
    <row r="484" spans="24:25" x14ac:dyDescent="0.25">
      <c r="X484" s="167"/>
      <c r="Y484" s="168"/>
    </row>
    <row r="485" spans="24:25" x14ac:dyDescent="0.25">
      <c r="X485" s="167"/>
      <c r="Y485" s="168"/>
    </row>
    <row r="486" spans="24:25" x14ac:dyDescent="0.25">
      <c r="X486" s="167"/>
      <c r="Y486" s="168"/>
    </row>
    <row r="487" spans="24:25" x14ac:dyDescent="0.25">
      <c r="X487" s="167"/>
      <c r="Y487" s="168"/>
    </row>
    <row r="488" spans="24:25" x14ac:dyDescent="0.25">
      <c r="X488" s="167"/>
      <c r="Y488" s="168"/>
    </row>
    <row r="489" spans="24:25" x14ac:dyDescent="0.25">
      <c r="X489" s="167"/>
      <c r="Y489" s="168"/>
    </row>
    <row r="490" spans="24:25" x14ac:dyDescent="0.25">
      <c r="X490" s="167"/>
      <c r="Y490" s="168"/>
    </row>
    <row r="491" spans="24:25" x14ac:dyDescent="0.25">
      <c r="X491" s="167"/>
      <c r="Y491" s="168"/>
    </row>
    <row r="492" spans="24:25" x14ac:dyDescent="0.25">
      <c r="X492" s="167"/>
      <c r="Y492" s="168"/>
    </row>
    <row r="493" spans="24:25" x14ac:dyDescent="0.25">
      <c r="X493" s="167"/>
      <c r="Y493" s="168"/>
    </row>
    <row r="494" spans="24:25" x14ac:dyDescent="0.25">
      <c r="X494" s="167"/>
      <c r="Y494" s="168"/>
    </row>
    <row r="495" spans="24:25" x14ac:dyDescent="0.25">
      <c r="X495" s="167"/>
      <c r="Y495" s="168"/>
    </row>
    <row r="496" spans="24:25" x14ac:dyDescent="0.25">
      <c r="X496" s="167"/>
      <c r="Y496" s="168"/>
    </row>
    <row r="497" spans="24:25" x14ac:dyDescent="0.25">
      <c r="X497" s="167"/>
      <c r="Y497" s="168"/>
    </row>
    <row r="498" spans="24:25" x14ac:dyDescent="0.25">
      <c r="X498" s="167"/>
      <c r="Y498" s="168"/>
    </row>
    <row r="499" spans="24:25" x14ac:dyDescent="0.25">
      <c r="X499" s="167"/>
      <c r="Y499" s="168"/>
    </row>
    <row r="500" spans="24:25" x14ac:dyDescent="0.25">
      <c r="X500" s="167"/>
      <c r="Y500" s="168"/>
    </row>
    <row r="501" spans="24:25" x14ac:dyDescent="0.25">
      <c r="X501" s="167"/>
      <c r="Y501" s="168"/>
    </row>
    <row r="502" spans="24:25" x14ac:dyDescent="0.25">
      <c r="X502" s="167"/>
      <c r="Y502" s="168"/>
    </row>
    <row r="503" spans="24:25" x14ac:dyDescent="0.25">
      <c r="X503" s="167"/>
      <c r="Y503" s="168"/>
    </row>
    <row r="504" spans="24:25" x14ac:dyDescent="0.25">
      <c r="X504" s="167"/>
      <c r="Y504" s="168"/>
    </row>
    <row r="505" spans="24:25" x14ac:dyDescent="0.25">
      <c r="X505" s="167"/>
      <c r="Y505" s="168"/>
    </row>
    <row r="506" spans="24:25" x14ac:dyDescent="0.25">
      <c r="X506" s="167"/>
      <c r="Y506" s="168"/>
    </row>
    <row r="507" spans="24:25" x14ac:dyDescent="0.25">
      <c r="X507" s="167"/>
      <c r="Y507" s="168"/>
    </row>
    <row r="508" spans="24:25" x14ac:dyDescent="0.25">
      <c r="X508" s="167"/>
      <c r="Y508" s="168"/>
    </row>
    <row r="509" spans="24:25" x14ac:dyDescent="0.25">
      <c r="X509" s="167"/>
      <c r="Y509" s="168"/>
    </row>
    <row r="510" spans="24:25" x14ac:dyDescent="0.25">
      <c r="X510" s="167"/>
      <c r="Y510" s="168"/>
    </row>
    <row r="511" spans="24:25" x14ac:dyDescent="0.25">
      <c r="X511" s="167"/>
      <c r="Y511" s="168"/>
    </row>
    <row r="512" spans="24:25" x14ac:dyDescent="0.25">
      <c r="X512" s="167"/>
      <c r="Y512" s="168"/>
    </row>
    <row r="513" spans="24:25" x14ac:dyDescent="0.25">
      <c r="X513" s="167"/>
      <c r="Y513" s="168"/>
    </row>
    <row r="514" spans="24:25" x14ac:dyDescent="0.25">
      <c r="X514" s="167"/>
      <c r="Y514" s="168"/>
    </row>
    <row r="515" spans="24:25" x14ac:dyDescent="0.25">
      <c r="X515" s="167"/>
      <c r="Y515" s="168"/>
    </row>
    <row r="516" spans="24:25" x14ac:dyDescent="0.25">
      <c r="X516" s="167"/>
      <c r="Y516" s="168"/>
    </row>
    <row r="517" spans="24:25" x14ac:dyDescent="0.25">
      <c r="X517" s="167"/>
      <c r="Y517" s="168"/>
    </row>
    <row r="518" spans="24:25" x14ac:dyDescent="0.25">
      <c r="X518" s="167"/>
      <c r="Y518" s="168"/>
    </row>
    <row r="519" spans="24:25" x14ac:dyDescent="0.25">
      <c r="X519" s="167"/>
      <c r="Y519" s="168"/>
    </row>
    <row r="520" spans="24:25" x14ac:dyDescent="0.25">
      <c r="X520" s="167"/>
      <c r="Y520" s="168"/>
    </row>
    <row r="521" spans="24:25" x14ac:dyDescent="0.25">
      <c r="X521" s="167"/>
      <c r="Y521" s="168"/>
    </row>
    <row r="522" spans="24:25" x14ac:dyDescent="0.25">
      <c r="X522" s="167"/>
      <c r="Y522" s="168"/>
    </row>
    <row r="523" spans="24:25" x14ac:dyDescent="0.25">
      <c r="X523" s="167"/>
      <c r="Y523" s="168"/>
    </row>
    <row r="524" spans="24:25" x14ac:dyDescent="0.25">
      <c r="X524" s="167"/>
      <c r="Y524" s="168"/>
    </row>
    <row r="525" spans="24:25" x14ac:dyDescent="0.25">
      <c r="X525" s="167"/>
      <c r="Y525" s="168"/>
    </row>
    <row r="526" spans="24:25" x14ac:dyDescent="0.25">
      <c r="X526" s="167"/>
      <c r="Y526" s="168"/>
    </row>
    <row r="527" spans="24:25" x14ac:dyDescent="0.25">
      <c r="X527" s="167"/>
      <c r="Y527" s="168"/>
    </row>
    <row r="528" spans="24:25" x14ac:dyDescent="0.25">
      <c r="X528" s="167"/>
      <c r="Y528" s="168"/>
    </row>
    <row r="529" spans="24:25" x14ac:dyDescent="0.25">
      <c r="X529" s="167"/>
      <c r="Y529" s="168"/>
    </row>
    <row r="530" spans="24:25" x14ac:dyDescent="0.25">
      <c r="X530" s="167"/>
      <c r="Y530" s="168"/>
    </row>
    <row r="531" spans="24:25" x14ac:dyDescent="0.25">
      <c r="X531" s="167"/>
      <c r="Y531" s="168"/>
    </row>
    <row r="532" spans="24:25" x14ac:dyDescent="0.25">
      <c r="X532" s="167"/>
      <c r="Y532" s="168"/>
    </row>
    <row r="533" spans="24:25" x14ac:dyDescent="0.25">
      <c r="X533" s="167"/>
      <c r="Y533" s="168"/>
    </row>
    <row r="534" spans="24:25" x14ac:dyDescent="0.25">
      <c r="X534" s="167"/>
      <c r="Y534" s="168"/>
    </row>
    <row r="535" spans="24:25" x14ac:dyDescent="0.25">
      <c r="X535" s="167"/>
      <c r="Y535" s="168"/>
    </row>
    <row r="536" spans="24:25" x14ac:dyDescent="0.25">
      <c r="X536" s="167"/>
      <c r="Y536" s="168"/>
    </row>
    <row r="537" spans="24:25" x14ac:dyDescent="0.25">
      <c r="X537" s="167"/>
      <c r="Y537" s="168"/>
    </row>
    <row r="538" spans="24:25" x14ac:dyDescent="0.25">
      <c r="X538" s="167"/>
      <c r="Y538" s="168"/>
    </row>
    <row r="539" spans="24:25" x14ac:dyDescent="0.25">
      <c r="X539" s="167"/>
      <c r="Y539" s="168"/>
    </row>
    <row r="540" spans="24:25" x14ac:dyDescent="0.25">
      <c r="X540" s="167"/>
      <c r="Y540" s="168"/>
    </row>
    <row r="541" spans="24:25" x14ac:dyDescent="0.25">
      <c r="X541" s="167"/>
      <c r="Y541" s="168"/>
    </row>
    <row r="542" spans="24:25" x14ac:dyDescent="0.25">
      <c r="X542" s="167"/>
      <c r="Y542" s="168"/>
    </row>
    <row r="543" spans="24:25" x14ac:dyDescent="0.25">
      <c r="X543" s="167"/>
      <c r="Y543" s="168"/>
    </row>
    <row r="544" spans="24:25" x14ac:dyDescent="0.25">
      <c r="X544" s="167"/>
      <c r="Y544" s="168"/>
    </row>
    <row r="545" spans="24:25" x14ac:dyDescent="0.25">
      <c r="X545" s="167"/>
      <c r="Y545" s="168"/>
    </row>
    <row r="546" spans="24:25" x14ac:dyDescent="0.25">
      <c r="X546" s="20"/>
      <c r="Y546" s="127"/>
    </row>
    <row r="547" spans="24:25" x14ac:dyDescent="0.25">
      <c r="X547" s="167"/>
      <c r="Y547" s="168"/>
    </row>
    <row r="548" spans="24:25" x14ac:dyDescent="0.25">
      <c r="X548" s="167"/>
      <c r="Y548" s="168"/>
    </row>
    <row r="549" spans="24:25" x14ac:dyDescent="0.25">
      <c r="X549" s="167"/>
      <c r="Y549" s="168"/>
    </row>
    <row r="550" spans="24:25" x14ac:dyDescent="0.25">
      <c r="X550" s="167"/>
      <c r="Y550" s="168"/>
    </row>
    <row r="551" spans="24:25" x14ac:dyDescent="0.25">
      <c r="X551" s="167"/>
      <c r="Y551" s="168"/>
    </row>
    <row r="552" spans="24:25" x14ac:dyDescent="0.25">
      <c r="X552" s="167"/>
      <c r="Y552" s="168"/>
    </row>
    <row r="553" spans="24:25" x14ac:dyDescent="0.25">
      <c r="X553" s="167"/>
      <c r="Y553" s="168"/>
    </row>
    <row r="554" spans="24:25" x14ac:dyDescent="0.25">
      <c r="X554" s="167"/>
      <c r="Y554" s="168"/>
    </row>
    <row r="555" spans="24:25" x14ac:dyDescent="0.25">
      <c r="X555" s="167"/>
      <c r="Y555" s="168"/>
    </row>
    <row r="556" spans="24:25" x14ac:dyDescent="0.25">
      <c r="X556" s="167"/>
      <c r="Y556" s="168"/>
    </row>
    <row r="557" spans="24:25" x14ac:dyDescent="0.25">
      <c r="X557" s="167"/>
      <c r="Y557" s="168"/>
    </row>
    <row r="558" spans="24:25" x14ac:dyDescent="0.25">
      <c r="X558" s="167"/>
      <c r="Y558" s="168"/>
    </row>
    <row r="559" spans="24:25" x14ac:dyDescent="0.25">
      <c r="X559" s="167"/>
      <c r="Y559" s="168"/>
    </row>
    <row r="560" spans="24:25" x14ac:dyDescent="0.25">
      <c r="X560" s="167"/>
      <c r="Y560" s="168"/>
    </row>
    <row r="561" spans="24:25" x14ac:dyDescent="0.25">
      <c r="X561" s="167"/>
      <c r="Y561" s="168"/>
    </row>
    <row r="562" spans="24:25" x14ac:dyDescent="0.25">
      <c r="X562" s="167"/>
      <c r="Y562" s="168"/>
    </row>
    <row r="563" spans="24:25" x14ac:dyDescent="0.25">
      <c r="X563" s="167"/>
      <c r="Y563" s="168"/>
    </row>
    <row r="564" spans="24:25" x14ac:dyDescent="0.25">
      <c r="X564" s="167"/>
      <c r="Y564" s="168"/>
    </row>
    <row r="565" spans="24:25" x14ac:dyDescent="0.25">
      <c r="X565" s="167"/>
      <c r="Y565" s="168"/>
    </row>
    <row r="566" spans="24:25" x14ac:dyDescent="0.25">
      <c r="X566" s="167"/>
      <c r="Y566" s="168"/>
    </row>
    <row r="567" spans="24:25" x14ac:dyDescent="0.25">
      <c r="X567" s="167"/>
      <c r="Y567" s="168"/>
    </row>
    <row r="568" spans="24:25" x14ac:dyDescent="0.25">
      <c r="X568" s="167"/>
      <c r="Y568" s="168"/>
    </row>
    <row r="569" spans="24:25" x14ac:dyDescent="0.25">
      <c r="X569" s="167"/>
      <c r="Y569" s="168"/>
    </row>
    <row r="570" spans="24:25" x14ac:dyDescent="0.25">
      <c r="X570" s="167"/>
      <c r="Y570" s="168"/>
    </row>
    <row r="571" spans="24:25" x14ac:dyDescent="0.25">
      <c r="X571" s="167"/>
      <c r="Y571" s="168"/>
    </row>
    <row r="572" spans="24:25" x14ac:dyDescent="0.25">
      <c r="X572" s="167"/>
      <c r="Y572" s="168"/>
    </row>
    <row r="573" spans="24:25" x14ac:dyDescent="0.25">
      <c r="X573" s="167"/>
      <c r="Y573" s="168"/>
    </row>
    <row r="574" spans="24:25" x14ac:dyDescent="0.25">
      <c r="X574" s="167"/>
      <c r="Y574" s="168"/>
    </row>
    <row r="575" spans="24:25" x14ac:dyDescent="0.25">
      <c r="X575" s="167"/>
      <c r="Y575" s="168"/>
    </row>
    <row r="576" spans="24:25" x14ac:dyDescent="0.25">
      <c r="X576" s="167"/>
      <c r="Y576" s="168"/>
    </row>
    <row r="577" spans="24:25" x14ac:dyDescent="0.25">
      <c r="X577" s="167"/>
      <c r="Y577" s="168"/>
    </row>
    <row r="578" spans="24:25" x14ac:dyDescent="0.25">
      <c r="X578" s="167"/>
      <c r="Y578" s="168"/>
    </row>
    <row r="579" spans="24:25" x14ac:dyDescent="0.25">
      <c r="X579" s="167"/>
      <c r="Y579" s="168"/>
    </row>
    <row r="580" spans="24:25" x14ac:dyDescent="0.25">
      <c r="X580" s="167"/>
      <c r="Y580" s="168"/>
    </row>
    <row r="581" spans="24:25" x14ac:dyDescent="0.25">
      <c r="X581" s="167"/>
      <c r="Y581" s="168"/>
    </row>
    <row r="582" spans="24:25" x14ac:dyDescent="0.25">
      <c r="X582" s="167"/>
      <c r="Y582" s="168"/>
    </row>
    <row r="583" spans="24:25" x14ac:dyDescent="0.25">
      <c r="X583" s="167"/>
      <c r="Y583" s="168"/>
    </row>
    <row r="584" spans="24:25" x14ac:dyDescent="0.25">
      <c r="X584" s="167"/>
      <c r="Y584" s="168"/>
    </row>
    <row r="585" spans="24:25" x14ac:dyDescent="0.25">
      <c r="X585" s="167"/>
      <c r="Y585" s="168"/>
    </row>
    <row r="586" spans="24:25" x14ac:dyDescent="0.25">
      <c r="X586" s="167"/>
      <c r="Y586" s="168"/>
    </row>
    <row r="587" spans="24:25" x14ac:dyDescent="0.25">
      <c r="X587" s="167"/>
      <c r="Y587" s="168"/>
    </row>
    <row r="588" spans="24:25" x14ac:dyDescent="0.25">
      <c r="X588" s="167"/>
      <c r="Y588" s="168"/>
    </row>
    <row r="589" spans="24:25" x14ac:dyDescent="0.25">
      <c r="X589" s="167"/>
      <c r="Y589" s="168"/>
    </row>
    <row r="590" spans="24:25" x14ac:dyDescent="0.25">
      <c r="X590" s="167"/>
      <c r="Y590" s="168"/>
    </row>
    <row r="591" spans="24:25" x14ac:dyDescent="0.25">
      <c r="X591" s="167"/>
      <c r="Y591" s="168"/>
    </row>
    <row r="592" spans="24:25" x14ac:dyDescent="0.25">
      <c r="X592" s="167"/>
      <c r="Y592" s="168"/>
    </row>
    <row r="593" spans="24:25" x14ac:dyDescent="0.25">
      <c r="X593" s="167"/>
      <c r="Y593" s="168"/>
    </row>
    <row r="594" spans="24:25" x14ac:dyDescent="0.25">
      <c r="X594" s="172"/>
      <c r="Y594" s="173"/>
    </row>
    <row r="595" spans="24:25" x14ac:dyDescent="0.25">
      <c r="X595" s="167"/>
      <c r="Y595" s="168"/>
    </row>
    <row r="596" spans="24:25" x14ac:dyDescent="0.25">
      <c r="X596" s="167"/>
      <c r="Y596" s="168"/>
    </row>
    <row r="597" spans="24:25" x14ac:dyDescent="0.25">
      <c r="X597" s="167"/>
      <c r="Y597" s="168"/>
    </row>
    <row r="598" spans="24:25" x14ac:dyDescent="0.25">
      <c r="X598" s="167"/>
      <c r="Y598" s="168"/>
    </row>
    <row r="599" spans="24:25" x14ac:dyDescent="0.25">
      <c r="X599" s="167"/>
      <c r="Y599" s="168"/>
    </row>
    <row r="600" spans="24:25" x14ac:dyDescent="0.25">
      <c r="X600" s="167"/>
      <c r="Y600" s="168"/>
    </row>
    <row r="601" spans="24:25" x14ac:dyDescent="0.25">
      <c r="X601" s="167"/>
      <c r="Y601" s="168"/>
    </row>
    <row r="602" spans="24:25" x14ac:dyDescent="0.25">
      <c r="X602" s="167"/>
      <c r="Y602" s="168"/>
    </row>
    <row r="603" spans="24:25" x14ac:dyDescent="0.25">
      <c r="X603" s="167"/>
      <c r="Y603" s="168"/>
    </row>
    <row r="604" spans="24:25" x14ac:dyDescent="0.25">
      <c r="X604" s="167"/>
      <c r="Y604" s="168"/>
    </row>
    <row r="605" spans="24:25" x14ac:dyDescent="0.25">
      <c r="X605" s="167"/>
      <c r="Y605" s="168"/>
    </row>
    <row r="606" spans="24:25" x14ac:dyDescent="0.25">
      <c r="X606" s="167"/>
      <c r="Y606" s="168"/>
    </row>
    <row r="607" spans="24:25" x14ac:dyDescent="0.25">
      <c r="X607" s="167"/>
      <c r="Y607" s="168"/>
    </row>
    <row r="608" spans="24:25" x14ac:dyDescent="0.25">
      <c r="X608" s="167"/>
      <c r="Y608" s="168"/>
    </row>
    <row r="609" spans="24:25" x14ac:dyDescent="0.25">
      <c r="X609" s="167"/>
      <c r="Y609" s="168"/>
    </row>
    <row r="610" spans="24:25" x14ac:dyDescent="0.25">
      <c r="X610" s="167"/>
      <c r="Y610" s="168"/>
    </row>
    <row r="611" spans="24:25" x14ac:dyDescent="0.25">
      <c r="X611" s="167"/>
      <c r="Y611" s="168"/>
    </row>
    <row r="612" spans="24:25" x14ac:dyDescent="0.25">
      <c r="X612" s="167"/>
      <c r="Y612" s="168"/>
    </row>
    <row r="613" spans="24:25" x14ac:dyDescent="0.25">
      <c r="X613" s="167"/>
      <c r="Y613" s="168"/>
    </row>
    <row r="614" spans="24:25" x14ac:dyDescent="0.25">
      <c r="X614" s="167"/>
      <c r="Y614" s="168"/>
    </row>
    <row r="615" spans="24:25" x14ac:dyDescent="0.25">
      <c r="X615" s="167"/>
      <c r="Y615" s="168"/>
    </row>
    <row r="616" spans="24:25" x14ac:dyDescent="0.25">
      <c r="X616" s="167"/>
      <c r="Y616" s="168"/>
    </row>
    <row r="617" spans="24:25" x14ac:dyDescent="0.25">
      <c r="X617" s="167"/>
      <c r="Y617" s="168"/>
    </row>
    <row r="618" spans="24:25" x14ac:dyDescent="0.25">
      <c r="X618" s="167"/>
      <c r="Y618" s="168"/>
    </row>
    <row r="619" spans="24:25" x14ac:dyDescent="0.25">
      <c r="X619" s="167"/>
      <c r="Y619" s="168"/>
    </row>
    <row r="620" spans="24:25" x14ac:dyDescent="0.25">
      <c r="X620" s="167"/>
      <c r="Y620" s="168"/>
    </row>
    <row r="621" spans="24:25" x14ac:dyDescent="0.25">
      <c r="X621" s="167"/>
      <c r="Y621" s="168"/>
    </row>
    <row r="622" spans="24:25" x14ac:dyDescent="0.25">
      <c r="X622" s="167"/>
      <c r="Y622" s="168"/>
    </row>
    <row r="623" spans="24:25" x14ac:dyDescent="0.25">
      <c r="X623" s="167"/>
      <c r="Y623" s="168"/>
    </row>
    <row r="624" spans="24:25" x14ac:dyDescent="0.25">
      <c r="X624" s="167"/>
      <c r="Y624" s="168"/>
    </row>
    <row r="625" spans="24:25" x14ac:dyDescent="0.25">
      <c r="X625" s="167"/>
      <c r="Y625" s="168"/>
    </row>
    <row r="626" spans="24:25" x14ac:dyDescent="0.25">
      <c r="X626" s="167"/>
      <c r="Y626" s="168"/>
    </row>
    <row r="627" spans="24:25" x14ac:dyDescent="0.25">
      <c r="X627" s="167"/>
      <c r="Y627" s="168"/>
    </row>
    <row r="628" spans="24:25" x14ac:dyDescent="0.25">
      <c r="X628" s="167"/>
      <c r="Y628" s="168"/>
    </row>
    <row r="629" spans="24:25" x14ac:dyDescent="0.25">
      <c r="X629" s="167"/>
      <c r="Y629" s="168"/>
    </row>
    <row r="630" spans="24:25" x14ac:dyDescent="0.25">
      <c r="X630" s="167"/>
      <c r="Y630" s="168"/>
    </row>
    <row r="631" spans="24:25" x14ac:dyDescent="0.25">
      <c r="X631" s="167"/>
      <c r="Y631" s="168"/>
    </row>
    <row r="632" spans="24:25" x14ac:dyDescent="0.25">
      <c r="X632" s="167"/>
      <c r="Y632" s="168"/>
    </row>
    <row r="633" spans="24:25" x14ac:dyDescent="0.25">
      <c r="X633" s="167"/>
      <c r="Y633" s="168"/>
    </row>
    <row r="634" spans="24:25" x14ac:dyDescent="0.25">
      <c r="X634" s="167"/>
      <c r="Y634" s="168"/>
    </row>
    <row r="635" spans="24:25" x14ac:dyDescent="0.25">
      <c r="X635" s="167"/>
      <c r="Y635" s="168"/>
    </row>
    <row r="636" spans="24:25" x14ac:dyDescent="0.25">
      <c r="X636" s="167"/>
      <c r="Y636" s="168"/>
    </row>
    <row r="637" spans="24:25" x14ac:dyDescent="0.25">
      <c r="X637" s="172"/>
      <c r="Y637" s="173"/>
    </row>
    <row r="638" spans="24:25" x14ac:dyDescent="0.25">
      <c r="X638" s="167"/>
      <c r="Y638" s="168"/>
    </row>
    <row r="639" spans="24:25" x14ac:dyDescent="0.25">
      <c r="X639" s="167"/>
      <c r="Y639" s="168"/>
    </row>
    <row r="640" spans="24:25" x14ac:dyDescent="0.25">
      <c r="X640" s="167"/>
      <c r="Y640" s="168"/>
    </row>
    <row r="641" spans="24:25" x14ac:dyDescent="0.25">
      <c r="X641" s="172"/>
      <c r="Y641" s="173"/>
    </row>
    <row r="642" spans="24:25" x14ac:dyDescent="0.25">
      <c r="X642" s="167"/>
      <c r="Y642" s="168"/>
    </row>
    <row r="643" spans="24:25" x14ac:dyDescent="0.25">
      <c r="X643" s="167"/>
      <c r="Y643" s="168"/>
    </row>
    <row r="644" spans="24:25" x14ac:dyDescent="0.25">
      <c r="X644" s="167"/>
      <c r="Y644" s="168"/>
    </row>
    <row r="645" spans="24:25" x14ac:dyDescent="0.25">
      <c r="X645" s="167"/>
      <c r="Y645" s="168"/>
    </row>
    <row r="646" spans="24:25" x14ac:dyDescent="0.25">
      <c r="X646" s="172"/>
      <c r="Y646" s="173"/>
    </row>
    <row r="647" spans="24:25" x14ac:dyDescent="0.25">
      <c r="X647" s="167"/>
      <c r="Y647" s="168"/>
    </row>
    <row r="648" spans="24:25" x14ac:dyDescent="0.25">
      <c r="X648" s="167"/>
      <c r="Y648" s="168"/>
    </row>
    <row r="649" spans="24:25" x14ac:dyDescent="0.25">
      <c r="X649" s="167"/>
      <c r="Y649" s="168"/>
    </row>
    <row r="650" spans="24:25" x14ac:dyDescent="0.25">
      <c r="X650" s="167"/>
      <c r="Y650" s="168"/>
    </row>
    <row r="651" spans="24:25" x14ac:dyDescent="0.25">
      <c r="X651" s="167"/>
      <c r="Y651" s="168"/>
    </row>
    <row r="652" spans="24:25" x14ac:dyDescent="0.25">
      <c r="X652" s="167"/>
      <c r="Y652" s="168"/>
    </row>
    <row r="653" spans="24:25" x14ac:dyDescent="0.25">
      <c r="X653" s="167"/>
      <c r="Y653" s="168"/>
    </row>
    <row r="654" spans="24:25" x14ac:dyDescent="0.25">
      <c r="X654" s="167"/>
      <c r="Y654" s="168"/>
    </row>
    <row r="655" spans="24:25" x14ac:dyDescent="0.25">
      <c r="X655" s="167"/>
      <c r="Y655" s="168"/>
    </row>
    <row r="656" spans="24:25" x14ac:dyDescent="0.25">
      <c r="X656" s="167"/>
      <c r="Y656" s="168"/>
    </row>
    <row r="657" spans="24:25" x14ac:dyDescent="0.25">
      <c r="X657" s="167"/>
      <c r="Y657" s="168"/>
    </row>
    <row r="658" spans="24:25" x14ac:dyDescent="0.25">
      <c r="X658" s="167"/>
      <c r="Y658" s="168"/>
    </row>
    <row r="659" spans="24:25" x14ac:dyDescent="0.25">
      <c r="X659" s="167"/>
      <c r="Y659" s="168"/>
    </row>
    <row r="660" spans="24:25" x14ac:dyDescent="0.25">
      <c r="X660" s="167"/>
      <c r="Y660" s="168"/>
    </row>
    <row r="661" spans="24:25" x14ac:dyDescent="0.25">
      <c r="X661" s="167"/>
      <c r="Y661" s="168"/>
    </row>
    <row r="662" spans="24:25" x14ac:dyDescent="0.25">
      <c r="X662" s="167"/>
      <c r="Y662" s="168"/>
    </row>
    <row r="663" spans="24:25" x14ac:dyDescent="0.25">
      <c r="X663" s="167"/>
      <c r="Y663" s="168"/>
    </row>
    <row r="664" spans="24:25" x14ac:dyDescent="0.25">
      <c r="X664" s="167"/>
      <c r="Y664" s="168"/>
    </row>
    <row r="665" spans="24:25" x14ac:dyDescent="0.25">
      <c r="X665" s="167"/>
      <c r="Y665" s="168"/>
    </row>
    <row r="666" spans="24:25" x14ac:dyDescent="0.25">
      <c r="X666" s="167"/>
      <c r="Y666" s="168"/>
    </row>
    <row r="667" spans="24:25" x14ac:dyDescent="0.25">
      <c r="X667" s="167"/>
      <c r="Y667" s="168"/>
    </row>
    <row r="668" spans="24:25" x14ac:dyDescent="0.25">
      <c r="X668" s="167"/>
      <c r="Y668" s="168"/>
    </row>
    <row r="669" spans="24:25" x14ac:dyDescent="0.25">
      <c r="X669" s="167"/>
      <c r="Y669" s="168"/>
    </row>
    <row r="670" spans="24:25" x14ac:dyDescent="0.25">
      <c r="X670" s="167"/>
      <c r="Y670" s="168"/>
    </row>
    <row r="671" spans="24:25" x14ac:dyDescent="0.25">
      <c r="X671" s="167"/>
      <c r="Y671" s="168"/>
    </row>
    <row r="672" spans="24:25" x14ac:dyDescent="0.25">
      <c r="X672" s="167"/>
      <c r="Y672" s="168"/>
    </row>
    <row r="673" spans="24:25" x14ac:dyDescent="0.25">
      <c r="X673" s="167"/>
      <c r="Y673" s="168"/>
    </row>
    <row r="674" spans="24:25" x14ac:dyDescent="0.25">
      <c r="X674" s="167"/>
      <c r="Y674" s="168"/>
    </row>
    <row r="675" spans="24:25" x14ac:dyDescent="0.25">
      <c r="X675" s="167"/>
      <c r="Y675" s="168"/>
    </row>
    <row r="676" spans="24:25" x14ac:dyDescent="0.25">
      <c r="X676" s="167"/>
      <c r="Y676" s="168"/>
    </row>
    <row r="677" spans="24:25" x14ac:dyDescent="0.25">
      <c r="X677" s="167"/>
      <c r="Y677" s="168"/>
    </row>
    <row r="678" spans="24:25" x14ac:dyDescent="0.25">
      <c r="X678" s="167"/>
      <c r="Y678" s="168"/>
    </row>
    <row r="679" spans="24:25" x14ac:dyDescent="0.25">
      <c r="X679" s="167"/>
      <c r="Y679" s="168"/>
    </row>
    <row r="680" spans="24:25" x14ac:dyDescent="0.25">
      <c r="X680" s="167"/>
      <c r="Y680" s="168"/>
    </row>
    <row r="681" spans="24:25" x14ac:dyDescent="0.25">
      <c r="X681" s="167"/>
      <c r="Y681" s="168"/>
    </row>
    <row r="682" spans="24:25" x14ac:dyDescent="0.25">
      <c r="X682" s="167"/>
      <c r="Y682" s="168"/>
    </row>
    <row r="683" spans="24:25" x14ac:dyDescent="0.25">
      <c r="X683" s="167"/>
      <c r="Y683" s="168"/>
    </row>
    <row r="684" spans="24:25" x14ac:dyDescent="0.25">
      <c r="X684" s="167"/>
      <c r="Y684" s="168"/>
    </row>
    <row r="685" spans="24:25" x14ac:dyDescent="0.25">
      <c r="X685" s="167"/>
      <c r="Y685" s="168"/>
    </row>
    <row r="686" spans="24:25" x14ac:dyDescent="0.25">
      <c r="X686" s="172"/>
      <c r="Y686" s="173"/>
    </row>
    <row r="687" spans="24:25" x14ac:dyDescent="0.25">
      <c r="X687" s="100"/>
      <c r="Y687" s="100"/>
    </row>
    <row r="688" spans="24:25" x14ac:dyDescent="0.25">
      <c r="X688" s="167"/>
      <c r="Y688" s="168"/>
    </row>
    <row r="689" spans="24:25" x14ac:dyDescent="0.25">
      <c r="X689" s="167"/>
      <c r="Y689" s="168"/>
    </row>
    <row r="690" spans="24:25" x14ac:dyDescent="0.25">
      <c r="X690" s="167"/>
      <c r="Y690" s="168"/>
    </row>
    <row r="691" spans="24:25" x14ac:dyDescent="0.25">
      <c r="X691" s="167"/>
      <c r="Y691" s="168"/>
    </row>
    <row r="692" spans="24:25" x14ac:dyDescent="0.25">
      <c r="X692" s="167"/>
      <c r="Y692" s="168"/>
    </row>
    <row r="693" spans="24:25" x14ac:dyDescent="0.25">
      <c r="X693" s="167"/>
      <c r="Y693" s="168"/>
    </row>
    <row r="694" spans="24:25" x14ac:dyDescent="0.25">
      <c r="X694" s="172"/>
      <c r="Y694" s="173"/>
    </row>
    <row r="695" spans="24:25" x14ac:dyDescent="0.25">
      <c r="X695" s="167"/>
      <c r="Y695" s="168"/>
    </row>
    <row r="696" spans="24:25" x14ac:dyDescent="0.25">
      <c r="X696" s="167"/>
      <c r="Y696" s="168"/>
    </row>
    <row r="697" spans="24:25" x14ac:dyDescent="0.25">
      <c r="X697" s="167"/>
      <c r="Y697" s="168"/>
    </row>
    <row r="698" spans="24:25" x14ac:dyDescent="0.25">
      <c r="X698" s="167"/>
      <c r="Y698" s="168"/>
    </row>
    <row r="699" spans="24:25" x14ac:dyDescent="0.25">
      <c r="X699" s="167"/>
      <c r="Y699" s="168"/>
    </row>
    <row r="700" spans="24:25" x14ac:dyDescent="0.25">
      <c r="X700" s="167"/>
      <c r="Y700" s="168"/>
    </row>
    <row r="701" spans="24:25" x14ac:dyDescent="0.25">
      <c r="X701" s="167"/>
      <c r="Y701" s="168"/>
    </row>
    <row r="702" spans="24:25" x14ac:dyDescent="0.25">
      <c r="X702" s="167"/>
      <c r="Y702" s="168"/>
    </row>
    <row r="703" spans="24:25" x14ac:dyDescent="0.25">
      <c r="X703" s="167"/>
      <c r="Y703" s="168"/>
    </row>
    <row r="704" spans="24:25" x14ac:dyDescent="0.25">
      <c r="X704" s="100"/>
      <c r="Y704" s="100"/>
    </row>
    <row r="710" spans="24:25" x14ac:dyDescent="0.25">
      <c r="X710" s="167"/>
      <c r="Y710" s="168"/>
    </row>
    <row r="713" spans="24:25" x14ac:dyDescent="0.25">
      <c r="X713" s="100"/>
      <c r="Y713" s="100"/>
    </row>
    <row r="715" spans="24:25" x14ac:dyDescent="0.25">
      <c r="X715" s="100"/>
      <c r="Y715" s="100"/>
    </row>
    <row r="718" spans="24:25" x14ac:dyDescent="0.25">
      <c r="X718" s="100"/>
      <c r="Y718" s="100"/>
    </row>
    <row r="723" spans="24:25" x14ac:dyDescent="0.25">
      <c r="X723" s="100"/>
      <c r="Y723" s="100"/>
    </row>
    <row r="729" spans="24:25" x14ac:dyDescent="0.25">
      <c r="X729" s="100"/>
      <c r="Y729" s="100"/>
    </row>
    <row r="731" spans="24:25" x14ac:dyDescent="0.25">
      <c r="X731" s="100"/>
      <c r="Y731" s="100"/>
    </row>
    <row r="738" spans="24:25" x14ac:dyDescent="0.25">
      <c r="X738" s="100"/>
      <c r="Y738" s="100"/>
    </row>
    <row r="742" spans="24:25" x14ac:dyDescent="0.25">
      <c r="X742" s="100"/>
      <c r="Y742" s="100"/>
    </row>
    <row r="749" spans="24:25" x14ac:dyDescent="0.25">
      <c r="X749" s="100"/>
      <c r="Y749" s="100"/>
    </row>
    <row r="750" spans="24:25" x14ac:dyDescent="0.25">
      <c r="X750" s="100"/>
      <c r="Y750" s="100"/>
    </row>
    <row r="751" spans="24:25" x14ac:dyDescent="0.25">
      <c r="X751" s="100"/>
      <c r="Y751" s="100"/>
    </row>
    <row r="752" spans="24:25" x14ac:dyDescent="0.25">
      <c r="X752" s="100"/>
      <c r="Y752" s="100"/>
    </row>
    <row r="753" spans="24:25" x14ac:dyDescent="0.25">
      <c r="X753" s="100"/>
      <c r="Y753" s="100"/>
    </row>
    <row r="756" spans="24:25" x14ac:dyDescent="0.25">
      <c r="X756" s="100"/>
      <c r="Y756" s="100"/>
    </row>
    <row r="757" spans="24:25" x14ac:dyDescent="0.25">
      <c r="X757" s="100"/>
      <c r="Y757" s="100"/>
    </row>
    <row r="758" spans="24:25" x14ac:dyDescent="0.25">
      <c r="X758" s="100"/>
      <c r="Y758" s="100"/>
    </row>
    <row r="760" spans="24:25" x14ac:dyDescent="0.25">
      <c r="X760" s="100"/>
      <c r="Y760" s="100"/>
    </row>
    <row r="764" spans="24:25" x14ac:dyDescent="0.25">
      <c r="X764" s="100"/>
      <c r="Y764" s="100"/>
    </row>
    <row r="767" spans="24:25" x14ac:dyDescent="0.25">
      <c r="X767" s="100"/>
      <c r="Y767" s="100"/>
    </row>
    <row r="773" spans="24:25" x14ac:dyDescent="0.25">
      <c r="X773" s="100"/>
      <c r="Y773" s="100"/>
    </row>
    <row r="777" spans="24:25" x14ac:dyDescent="0.25">
      <c r="X777" s="100"/>
      <c r="Y777" s="100"/>
    </row>
    <row r="779" spans="24:25" x14ac:dyDescent="0.25">
      <c r="X779" s="100"/>
      <c r="Y779" s="100"/>
    </row>
    <row r="781" spans="24:25" x14ac:dyDescent="0.25">
      <c r="X781" s="100"/>
      <c r="Y781" s="100"/>
    </row>
    <row r="782" spans="24:25" x14ac:dyDescent="0.25">
      <c r="X782" s="100"/>
      <c r="Y782" s="100"/>
    </row>
    <row r="784" spans="24:25" x14ac:dyDescent="0.25">
      <c r="X784" s="100"/>
      <c r="Y784" s="100"/>
    </row>
    <row r="786" spans="24:25" x14ac:dyDescent="0.25">
      <c r="X786" s="100"/>
      <c r="Y786" s="100"/>
    </row>
    <row r="787" spans="24:25" x14ac:dyDescent="0.25">
      <c r="X787" s="100"/>
      <c r="Y787" s="100"/>
    </row>
    <row r="788" spans="24:25" x14ac:dyDescent="0.25">
      <c r="X788" s="100"/>
      <c r="Y788" s="100"/>
    </row>
    <row r="792" spans="24:25" x14ac:dyDescent="0.25">
      <c r="X792" s="100"/>
      <c r="Y792" s="100"/>
    </row>
    <row r="794" spans="24:25" x14ac:dyDescent="0.25">
      <c r="X794" s="100"/>
      <c r="Y794" s="100"/>
    </row>
    <row r="795" spans="24:25" x14ac:dyDescent="0.25">
      <c r="X795" s="100"/>
      <c r="Y795" s="100"/>
    </row>
    <row r="796" spans="24:25" x14ac:dyDescent="0.25">
      <c r="X796" s="100"/>
      <c r="Y796" s="100"/>
    </row>
    <row r="797" spans="24:25" x14ac:dyDescent="0.25">
      <c r="X797" s="100"/>
      <c r="Y797" s="100"/>
    </row>
    <row r="803" spans="24:25" x14ac:dyDescent="0.25">
      <c r="X803" s="100"/>
      <c r="Y803" s="100"/>
    </row>
    <row r="812" spans="24:25" x14ac:dyDescent="0.25">
      <c r="X812" s="100"/>
      <c r="Y812" s="100"/>
    </row>
    <row r="813" spans="24:25" x14ac:dyDescent="0.25">
      <c r="X813" s="100"/>
      <c r="Y813" s="100"/>
    </row>
    <row r="816" spans="24:25" x14ac:dyDescent="0.25">
      <c r="X816" s="100"/>
      <c r="Y816" s="100"/>
    </row>
    <row r="817" spans="24:25" x14ac:dyDescent="0.25">
      <c r="X817" s="100"/>
      <c r="Y817" s="100"/>
    </row>
    <row r="821" spans="24:25" x14ac:dyDescent="0.25">
      <c r="X821" s="100"/>
      <c r="Y821" s="100"/>
    </row>
    <row r="823" spans="24:25" x14ac:dyDescent="0.25">
      <c r="X823" s="100"/>
      <c r="Y823" s="100"/>
    </row>
    <row r="824" spans="24:25" x14ac:dyDescent="0.25">
      <c r="X824" s="100"/>
      <c r="Y824" s="100"/>
    </row>
    <row r="832" spans="24:25" x14ac:dyDescent="0.25">
      <c r="X832" s="100"/>
      <c r="Y832" s="100"/>
    </row>
    <row r="834" spans="24:25" x14ac:dyDescent="0.25">
      <c r="X834" s="100"/>
      <c r="Y834" s="100"/>
    </row>
    <row r="839" spans="24:25" x14ac:dyDescent="0.25">
      <c r="X839" s="100"/>
      <c r="Y839" s="100"/>
    </row>
    <row r="842" spans="24:25" x14ac:dyDescent="0.25">
      <c r="X842" s="100"/>
      <c r="Y842" s="100"/>
    </row>
    <row r="845" spans="24:25" x14ac:dyDescent="0.25">
      <c r="X845" s="100"/>
      <c r="Y845" s="100"/>
    </row>
    <row r="848" spans="24:25" x14ac:dyDescent="0.25">
      <c r="X848" s="100"/>
      <c r="Y848" s="100"/>
    </row>
    <row r="849" spans="24:25" x14ac:dyDescent="0.25">
      <c r="X849" s="100"/>
      <c r="Y849" s="100"/>
    </row>
    <row r="851" spans="24:25" x14ac:dyDescent="0.25">
      <c r="X851" s="100"/>
      <c r="Y851" s="100"/>
    </row>
    <row r="854" spans="24:25" x14ac:dyDescent="0.25">
      <c r="X854" s="100"/>
      <c r="Y854" s="100"/>
    </row>
    <row r="855" spans="24:25" x14ac:dyDescent="0.25">
      <c r="X855" s="100"/>
      <c r="Y855" s="100"/>
    </row>
    <row r="861" spans="24:25" x14ac:dyDescent="0.25">
      <c r="X861" s="100"/>
      <c r="Y861" s="100"/>
    </row>
    <row r="862" spans="24:25" x14ac:dyDescent="0.25">
      <c r="X862" s="100"/>
      <c r="Y862" s="100"/>
    </row>
    <row r="863" spans="24:25" x14ac:dyDescent="0.25">
      <c r="X863" s="100"/>
      <c r="Y863" s="100"/>
    </row>
    <row r="865" spans="24:25" x14ac:dyDescent="0.25">
      <c r="X865" s="100"/>
      <c r="Y865" s="100"/>
    </row>
    <row r="867" spans="24:25" x14ac:dyDescent="0.25">
      <c r="X867" s="100"/>
      <c r="Y867" s="100"/>
    </row>
    <row r="870" spans="24:25" x14ac:dyDescent="0.25">
      <c r="X870" s="100"/>
      <c r="Y870" s="100"/>
    </row>
    <row r="871" spans="24:25" x14ac:dyDescent="0.25">
      <c r="X871" s="100"/>
      <c r="Y871" s="100"/>
    </row>
    <row r="873" spans="24:25" x14ac:dyDescent="0.25">
      <c r="X873" s="100"/>
      <c r="Y873" s="100"/>
    </row>
    <row r="876" spans="24:25" x14ac:dyDescent="0.25">
      <c r="X876" s="100"/>
      <c r="Y876" s="100"/>
    </row>
    <row r="877" spans="24:25" x14ac:dyDescent="0.25">
      <c r="X877" s="100"/>
      <c r="Y877" s="100"/>
    </row>
    <row r="879" spans="24:25" x14ac:dyDescent="0.25">
      <c r="X879" s="100"/>
      <c r="Y879" s="100"/>
    </row>
    <row r="880" spans="24:25" x14ac:dyDescent="0.25">
      <c r="X880" s="100"/>
      <c r="Y880" s="100"/>
    </row>
    <row r="885" spans="24:25" x14ac:dyDescent="0.25">
      <c r="X885" s="100"/>
      <c r="Y885" s="100"/>
    </row>
    <row r="889" spans="24:25" x14ac:dyDescent="0.25">
      <c r="X889" s="100"/>
      <c r="Y889" s="100"/>
    </row>
    <row r="891" spans="24:25" x14ac:dyDescent="0.25">
      <c r="X891" s="100"/>
      <c r="Y891" s="100"/>
    </row>
    <row r="892" spans="24:25" x14ac:dyDescent="0.25">
      <c r="X892" s="100"/>
      <c r="Y892" s="100"/>
    </row>
    <row r="893" spans="24:25" x14ac:dyDescent="0.25">
      <c r="X893" s="100"/>
      <c r="Y893" s="100"/>
    </row>
    <row r="894" spans="24:25" x14ac:dyDescent="0.25">
      <c r="X894" s="100"/>
      <c r="Y894" s="100"/>
    </row>
    <row r="895" spans="24:25" x14ac:dyDescent="0.25">
      <c r="X895" s="100"/>
      <c r="Y895" s="100"/>
    </row>
    <row r="896" spans="24:25" x14ac:dyDescent="0.25">
      <c r="X896" s="100"/>
      <c r="Y896" s="100"/>
    </row>
    <row r="898" spans="24:25" x14ac:dyDescent="0.25">
      <c r="X898" s="100"/>
      <c r="Y898" s="100"/>
    </row>
    <row r="899" spans="24:25" x14ac:dyDescent="0.25">
      <c r="X899" s="100"/>
      <c r="Y899" s="100"/>
    </row>
    <row r="903" spans="24:25" x14ac:dyDescent="0.25">
      <c r="X903" s="100"/>
      <c r="Y903" s="100"/>
    </row>
    <row r="905" spans="24:25" x14ac:dyDescent="0.25">
      <c r="X905" s="100"/>
      <c r="Y905" s="100"/>
    </row>
    <row r="906" spans="24:25" x14ac:dyDescent="0.25">
      <c r="X906" s="100"/>
      <c r="Y906" s="100"/>
    </row>
    <row r="909" spans="24:25" x14ac:dyDescent="0.25">
      <c r="X909" s="100"/>
      <c r="Y909" s="100"/>
    </row>
    <row r="912" spans="24:25" x14ac:dyDescent="0.25">
      <c r="X912" s="100"/>
      <c r="Y912" s="100"/>
    </row>
    <row r="915" spans="24:25" x14ac:dyDescent="0.25">
      <c r="X915" s="100"/>
      <c r="Y915" s="100"/>
    </row>
    <row r="920" spans="24:25" x14ac:dyDescent="0.25">
      <c r="X920" s="100"/>
      <c r="Y920" s="100"/>
    </row>
    <row r="921" spans="24:25" x14ac:dyDescent="0.25">
      <c r="X921" s="100"/>
      <c r="Y921" s="100"/>
    </row>
    <row r="922" spans="24:25" x14ac:dyDescent="0.25">
      <c r="X922" s="100"/>
      <c r="Y922" s="100"/>
    </row>
    <row r="924" spans="24:25" x14ac:dyDescent="0.25">
      <c r="X924" s="100"/>
      <c r="Y924" s="100"/>
    </row>
    <row r="926" spans="24:25" x14ac:dyDescent="0.25">
      <c r="X926" s="100"/>
      <c r="Y926" s="100"/>
    </row>
    <row r="927" spans="24:25" x14ac:dyDescent="0.25">
      <c r="X927" s="100"/>
      <c r="Y927" s="100"/>
    </row>
    <row r="928" spans="24:25" x14ac:dyDescent="0.25">
      <c r="X928" s="100"/>
      <c r="Y928" s="100"/>
    </row>
    <row r="930" spans="24:25" x14ac:dyDescent="0.25">
      <c r="X930" s="100"/>
      <c r="Y930" s="100"/>
    </row>
    <row r="933" spans="24:25" x14ac:dyDescent="0.25">
      <c r="X933" s="100"/>
      <c r="Y933" s="100"/>
    </row>
    <row r="934" spans="24:25" x14ac:dyDescent="0.25">
      <c r="X934" s="100"/>
      <c r="Y934" s="100"/>
    </row>
    <row r="935" spans="24:25" x14ac:dyDescent="0.25">
      <c r="X935" s="100"/>
      <c r="Y935" s="100"/>
    </row>
    <row r="938" spans="24:25" x14ac:dyDescent="0.25">
      <c r="X938" s="100"/>
      <c r="Y938" s="100"/>
    </row>
    <row r="939" spans="24:25" x14ac:dyDescent="0.25">
      <c r="X939" s="100"/>
      <c r="Y939" s="100"/>
    </row>
    <row r="942" spans="24:25" x14ac:dyDescent="0.25">
      <c r="X942" s="100"/>
      <c r="Y942" s="100"/>
    </row>
    <row r="943" spans="24:25" x14ac:dyDescent="0.25">
      <c r="X943" s="100"/>
      <c r="Y943" s="100"/>
    </row>
    <row r="958" spans="24:25" x14ac:dyDescent="0.25">
      <c r="X958" s="100"/>
      <c r="Y958" s="100"/>
    </row>
    <row r="959" spans="24:25" x14ac:dyDescent="0.25">
      <c r="X959" s="100"/>
      <c r="Y959" s="100"/>
    </row>
    <row r="961" spans="24:25" x14ac:dyDescent="0.25">
      <c r="X961" s="100"/>
      <c r="Y961" s="100"/>
    </row>
    <row r="963" spans="24:25" x14ac:dyDescent="0.25">
      <c r="X963" s="100"/>
      <c r="Y963" s="100"/>
    </row>
    <row r="964" spans="24:25" x14ac:dyDescent="0.25">
      <c r="X964" s="100"/>
      <c r="Y964" s="100"/>
    </row>
    <row r="965" spans="24:25" x14ac:dyDescent="0.25">
      <c r="X965" s="100"/>
      <c r="Y965" s="100"/>
    </row>
    <row r="978" spans="24:25" x14ac:dyDescent="0.25">
      <c r="X978" s="100"/>
      <c r="Y978" s="100"/>
    </row>
    <row r="982" spans="24:25" x14ac:dyDescent="0.25">
      <c r="X982" s="100"/>
      <c r="Y982" s="100"/>
    </row>
    <row r="987" spans="24:25" x14ac:dyDescent="0.25">
      <c r="X987" s="100"/>
      <c r="Y987" s="100"/>
    </row>
    <row r="992" spans="24:25" x14ac:dyDescent="0.25">
      <c r="X992" s="100"/>
      <c r="Y992" s="100"/>
    </row>
    <row r="995" spans="24:25" x14ac:dyDescent="0.25">
      <c r="X995" s="100"/>
      <c r="Y995" s="100"/>
    </row>
    <row r="997" spans="24:25" x14ac:dyDescent="0.25">
      <c r="X997" s="100"/>
      <c r="Y997" s="100"/>
    </row>
    <row r="998" spans="24:25" x14ac:dyDescent="0.25">
      <c r="X998" s="100"/>
      <c r="Y998" s="100"/>
    </row>
    <row r="999" spans="24:25" x14ac:dyDescent="0.25">
      <c r="X999" s="100"/>
      <c r="Y999" s="100"/>
    </row>
    <row r="1000" spans="24:25" x14ac:dyDescent="0.25">
      <c r="X1000" s="100"/>
      <c r="Y1000" s="100"/>
    </row>
    <row r="1002" spans="24:25" x14ac:dyDescent="0.25">
      <c r="X1002" s="100"/>
      <c r="Y1002" s="100"/>
    </row>
    <row r="1003" spans="24:25" x14ac:dyDescent="0.25">
      <c r="X1003" s="100"/>
      <c r="Y1003" s="100"/>
    </row>
    <row r="1008" spans="24:25" x14ac:dyDescent="0.25">
      <c r="X1008" s="100"/>
      <c r="Y1008" s="100"/>
    </row>
    <row r="1009" spans="24:25" x14ac:dyDescent="0.25">
      <c r="X1009" s="100"/>
      <c r="Y1009" s="100"/>
    </row>
    <row r="1010" spans="24:25" x14ac:dyDescent="0.25">
      <c r="X1010" s="100"/>
      <c r="Y1010" s="100"/>
    </row>
    <row r="1011" spans="24:25" x14ac:dyDescent="0.25">
      <c r="X1011" s="100"/>
      <c r="Y1011" s="100"/>
    </row>
    <row r="1023" spans="24:25" x14ac:dyDescent="0.25">
      <c r="X1023" s="100"/>
      <c r="Y1023" s="100"/>
    </row>
    <row r="1028" spans="24:25" x14ac:dyDescent="0.25">
      <c r="X1028" s="100"/>
      <c r="Y1028" s="100"/>
    </row>
    <row r="1040" spans="24:25" x14ac:dyDescent="0.25">
      <c r="X1040" s="100"/>
      <c r="Y1040" s="100"/>
    </row>
    <row r="1052" spans="24:25" x14ac:dyDescent="0.25">
      <c r="X1052" s="100"/>
      <c r="Y1052" s="100"/>
    </row>
    <row r="1060" spans="24:25" x14ac:dyDescent="0.25">
      <c r="X1060" s="100"/>
      <c r="Y1060" s="100"/>
    </row>
    <row r="1092" spans="24:25" x14ac:dyDescent="0.25">
      <c r="X1092" s="100"/>
      <c r="Y1092" s="100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2"/>
  <sheetViews>
    <sheetView showGridLines="0" tabSelected="1" topLeftCell="A115" workbookViewId="0">
      <selection activeCell="R131" sqref="R131"/>
    </sheetView>
  </sheetViews>
  <sheetFormatPr baseColWidth="10" defaultColWidth="11.42578125" defaultRowHeight="15" x14ac:dyDescent="0.25"/>
  <cols>
    <col min="1" max="1" width="14" style="1" bestFit="1" customWidth="1"/>
    <col min="2" max="2" width="47.42578125" style="2" customWidth="1"/>
    <col min="3" max="3" width="18.85546875" style="2" bestFit="1" customWidth="1"/>
    <col min="4" max="4" width="17.85546875" style="2" bestFit="1" customWidth="1"/>
    <col min="5" max="5" width="13.42578125" style="2" customWidth="1"/>
    <col min="6" max="6" width="18.85546875" style="2" bestFit="1" customWidth="1"/>
    <col min="7" max="7" width="19.5703125" style="2" bestFit="1" customWidth="1"/>
    <col min="8" max="8" width="17.85546875" style="2" bestFit="1" customWidth="1"/>
    <col min="9" max="9" width="18.85546875" style="2" bestFit="1" customWidth="1"/>
    <col min="10" max="10" width="17.85546875" style="2" bestFit="1" customWidth="1"/>
    <col min="11" max="11" width="9.85546875" style="5" bestFit="1" customWidth="1"/>
    <col min="12" max="12" width="5.140625" style="2" bestFit="1" customWidth="1"/>
    <col min="13" max="13" width="2.42578125" style="2" customWidth="1"/>
    <col min="14" max="14" width="16.85546875" style="2" bestFit="1" customWidth="1"/>
    <col min="15" max="15" width="14.140625" style="2" bestFit="1" customWidth="1"/>
    <col min="16" max="16" width="13.140625" style="2" bestFit="1" customWidth="1"/>
    <col min="17" max="17" width="15.85546875" style="2" bestFit="1" customWidth="1"/>
    <col min="18" max="16384" width="11.42578125" style="2"/>
  </cols>
  <sheetData>
    <row r="1" spans="1:12" x14ac:dyDescent="0.25">
      <c r="G1" s="3"/>
      <c r="J1" s="4"/>
    </row>
    <row r="2" spans="1:12" ht="15.75" thickBot="1" x14ac:dyDescent="0.3">
      <c r="B2"/>
      <c r="F2" s="4"/>
      <c r="G2" s="4"/>
      <c r="J2" s="4"/>
    </row>
    <row r="3" spans="1:12" s="8" customFormat="1" ht="59.25" customHeight="1" thickBot="1" x14ac:dyDescent="0.3">
      <c r="A3" s="6"/>
      <c r="B3"/>
      <c r="C3" s="427"/>
      <c r="D3" s="427"/>
      <c r="E3" s="427"/>
      <c r="F3" s="427"/>
      <c r="G3" s="427"/>
      <c r="H3" s="427"/>
      <c r="I3" s="427"/>
      <c r="J3" s="427"/>
      <c r="K3" s="427"/>
    </row>
    <row r="4" spans="1:12" s="8" customFormat="1" ht="30" x14ac:dyDescent="0.25">
      <c r="A4" s="9" t="s">
        <v>0</v>
      </c>
      <c r="B4" s="10" t="s">
        <v>1</v>
      </c>
      <c r="C4" s="10" t="s">
        <v>221</v>
      </c>
      <c r="D4" s="10" t="s">
        <v>5</v>
      </c>
      <c r="E4" s="10" t="s">
        <v>222</v>
      </c>
      <c r="F4" s="10" t="s">
        <v>223</v>
      </c>
      <c r="G4" s="10" t="s">
        <v>224</v>
      </c>
      <c r="H4" s="10" t="s">
        <v>225</v>
      </c>
      <c r="I4" s="10" t="s">
        <v>226</v>
      </c>
      <c r="J4" s="10" t="s">
        <v>227</v>
      </c>
      <c r="K4" s="11" t="s">
        <v>228</v>
      </c>
      <c r="L4" s="113"/>
    </row>
    <row r="5" spans="1:12" x14ac:dyDescent="0.25">
      <c r="A5" s="345">
        <v>1</v>
      </c>
      <c r="B5" s="346" t="s">
        <v>229</v>
      </c>
      <c r="C5" s="354">
        <f t="shared" ref="C5:J5" si="0">+C6+C165</f>
        <v>128545687388</v>
      </c>
      <c r="D5" s="354">
        <f t="shared" si="0"/>
        <v>27215530991.77</v>
      </c>
      <c r="E5" s="354">
        <f t="shared" si="0"/>
        <v>0</v>
      </c>
      <c r="F5" s="354">
        <f t="shared" si="0"/>
        <v>155761218379.76999</v>
      </c>
      <c r="G5" s="354">
        <f t="shared" si="0"/>
        <v>123758730420.04999</v>
      </c>
      <c r="H5" s="354">
        <f t="shared" si="0"/>
        <v>11021975226.709999</v>
      </c>
      <c r="I5" s="354">
        <f t="shared" si="0"/>
        <v>123758730420.04999</v>
      </c>
      <c r="J5" s="354">
        <f t="shared" si="0"/>
        <v>32002487959.720001</v>
      </c>
      <c r="K5" s="370">
        <f t="shared" ref="K5:K68" si="1">+I5/F5</f>
        <v>0.79454136085599325</v>
      </c>
      <c r="L5" s="113">
        <f t="shared" ref="L5:L68" si="2">+I5-G5</f>
        <v>0</v>
      </c>
    </row>
    <row r="6" spans="1:12" x14ac:dyDescent="0.25">
      <c r="A6" s="345" t="s">
        <v>230</v>
      </c>
      <c r="B6" s="346" t="s">
        <v>231</v>
      </c>
      <c r="C6" s="354">
        <f>+C7</f>
        <v>128185121191</v>
      </c>
      <c r="D6" s="354">
        <f t="shared" ref="D6:J6" si="3">+D7</f>
        <v>4134710808</v>
      </c>
      <c r="E6" s="354">
        <f t="shared" si="3"/>
        <v>0</v>
      </c>
      <c r="F6" s="354">
        <f t="shared" si="3"/>
        <v>132319831999</v>
      </c>
      <c r="G6" s="354">
        <f t="shared" si="3"/>
        <v>100099897024.45999</v>
      </c>
      <c r="H6" s="354">
        <f t="shared" si="3"/>
        <v>11021975226.709999</v>
      </c>
      <c r="I6" s="354">
        <f t="shared" si="3"/>
        <v>100099897024.45999</v>
      </c>
      <c r="J6" s="354">
        <f t="shared" si="3"/>
        <v>32219934974.540001</v>
      </c>
      <c r="K6" s="370">
        <f t="shared" si="1"/>
        <v>0.75649957766887499</v>
      </c>
      <c r="L6" s="113">
        <f t="shared" si="2"/>
        <v>0</v>
      </c>
    </row>
    <row r="7" spans="1:12" x14ac:dyDescent="0.25">
      <c r="A7" s="345" t="s">
        <v>232</v>
      </c>
      <c r="B7" s="346" t="s">
        <v>233</v>
      </c>
      <c r="C7" s="354">
        <f>+C8+C127</f>
        <v>128185121191</v>
      </c>
      <c r="D7" s="354">
        <f t="shared" ref="D7:J7" si="4">+D8+D127</f>
        <v>4134710808</v>
      </c>
      <c r="E7" s="354">
        <f t="shared" si="4"/>
        <v>0</v>
      </c>
      <c r="F7" s="354">
        <f t="shared" si="4"/>
        <v>132319831999</v>
      </c>
      <c r="G7" s="354">
        <f t="shared" si="4"/>
        <v>100099897024.45999</v>
      </c>
      <c r="H7" s="354">
        <f t="shared" si="4"/>
        <v>11021975226.709999</v>
      </c>
      <c r="I7" s="354">
        <f t="shared" si="4"/>
        <v>100099897024.45999</v>
      </c>
      <c r="J7" s="354">
        <f t="shared" si="4"/>
        <v>32219934974.540001</v>
      </c>
      <c r="K7" s="370">
        <f t="shared" si="1"/>
        <v>0.75649957766887499</v>
      </c>
      <c r="L7" s="113">
        <f t="shared" si="2"/>
        <v>0</v>
      </c>
    </row>
    <row r="8" spans="1:12" x14ac:dyDescent="0.25">
      <c r="A8" s="345" t="s">
        <v>234</v>
      </c>
      <c r="B8" s="346" t="s">
        <v>235</v>
      </c>
      <c r="C8" s="354">
        <f>+C9+C84</f>
        <v>46439868581</v>
      </c>
      <c r="D8" s="354">
        <f t="shared" ref="D8:J8" si="5">+D9+D84</f>
        <v>0</v>
      </c>
      <c r="E8" s="354">
        <f t="shared" si="5"/>
        <v>0</v>
      </c>
      <c r="F8" s="354">
        <f t="shared" si="5"/>
        <v>46439868581</v>
      </c>
      <c r="G8" s="354">
        <f t="shared" si="5"/>
        <v>32826118579.029999</v>
      </c>
      <c r="H8" s="354">
        <f t="shared" si="5"/>
        <v>6494522080</v>
      </c>
      <c r="I8" s="354">
        <f t="shared" si="5"/>
        <v>32826118579.029999</v>
      </c>
      <c r="J8" s="354">
        <f t="shared" si="5"/>
        <v>13613750001.970001</v>
      </c>
      <c r="K8" s="370">
        <f t="shared" si="1"/>
        <v>0.70685209889806166</v>
      </c>
      <c r="L8" s="113">
        <f t="shared" si="2"/>
        <v>0</v>
      </c>
    </row>
    <row r="9" spans="1:12" s="20" customFormat="1" x14ac:dyDescent="0.25">
      <c r="A9" s="347" t="s">
        <v>236</v>
      </c>
      <c r="B9" s="348" t="s">
        <v>237</v>
      </c>
      <c r="C9" s="355">
        <f>+C10+C81</f>
        <v>44746571785</v>
      </c>
      <c r="D9" s="355">
        <f t="shared" ref="D9:J9" si="6">+D10+D81</f>
        <v>0</v>
      </c>
      <c r="E9" s="355">
        <f t="shared" si="6"/>
        <v>0</v>
      </c>
      <c r="F9" s="355">
        <f t="shared" si="6"/>
        <v>44746571785</v>
      </c>
      <c r="G9" s="355">
        <f t="shared" si="6"/>
        <v>31340428341.029999</v>
      </c>
      <c r="H9" s="355">
        <f t="shared" si="6"/>
        <v>6460620035</v>
      </c>
      <c r="I9" s="355">
        <f t="shared" si="6"/>
        <v>31340428341.029999</v>
      </c>
      <c r="J9" s="355">
        <f t="shared" si="6"/>
        <v>13406143443.970001</v>
      </c>
      <c r="K9" s="371">
        <f t="shared" si="1"/>
        <v>0.70039842362931537</v>
      </c>
      <c r="L9" s="113">
        <f t="shared" si="2"/>
        <v>0</v>
      </c>
    </row>
    <row r="10" spans="1:12" s="20" customFormat="1" x14ac:dyDescent="0.25">
      <c r="A10" s="347" t="s">
        <v>238</v>
      </c>
      <c r="B10" s="348" t="s">
        <v>239</v>
      </c>
      <c r="C10" s="355">
        <f>+C11</f>
        <v>44516571785</v>
      </c>
      <c r="D10" s="355">
        <f t="shared" ref="D10:J11" si="7">+D11</f>
        <v>0</v>
      </c>
      <c r="E10" s="355">
        <f t="shared" si="7"/>
        <v>0</v>
      </c>
      <c r="F10" s="355">
        <f t="shared" si="7"/>
        <v>44516571785</v>
      </c>
      <c r="G10" s="355">
        <f t="shared" si="7"/>
        <v>31300494281.029999</v>
      </c>
      <c r="H10" s="355">
        <f t="shared" si="7"/>
        <v>6460620035</v>
      </c>
      <c r="I10" s="355">
        <f t="shared" si="7"/>
        <v>31300494281.029999</v>
      </c>
      <c r="J10" s="355">
        <f t="shared" si="7"/>
        <v>13216077503.970001</v>
      </c>
      <c r="K10" s="371">
        <f t="shared" si="1"/>
        <v>0.70312005228526608</v>
      </c>
      <c r="L10" s="113">
        <f t="shared" si="2"/>
        <v>0</v>
      </c>
    </row>
    <row r="11" spans="1:12" s="20" customFormat="1" x14ac:dyDescent="0.25">
      <c r="A11" s="347" t="s">
        <v>240</v>
      </c>
      <c r="B11" s="348" t="s">
        <v>241</v>
      </c>
      <c r="C11" s="355">
        <f>+C12</f>
        <v>44516571785</v>
      </c>
      <c r="D11" s="355">
        <f t="shared" si="7"/>
        <v>0</v>
      </c>
      <c r="E11" s="355">
        <f t="shared" si="7"/>
        <v>0</v>
      </c>
      <c r="F11" s="355">
        <f t="shared" si="7"/>
        <v>44516571785</v>
      </c>
      <c r="G11" s="355">
        <f t="shared" si="7"/>
        <v>31300494281.029999</v>
      </c>
      <c r="H11" s="355">
        <f t="shared" si="7"/>
        <v>6460620035</v>
      </c>
      <c r="I11" s="355">
        <f t="shared" si="7"/>
        <v>31300494281.029999</v>
      </c>
      <c r="J11" s="355">
        <f t="shared" si="7"/>
        <v>13216077503.970001</v>
      </c>
      <c r="K11" s="371">
        <f t="shared" si="1"/>
        <v>0.70312005228526608</v>
      </c>
      <c r="L11" s="113">
        <f t="shared" si="2"/>
        <v>0</v>
      </c>
    </row>
    <row r="12" spans="1:12" s="20" customFormat="1" x14ac:dyDescent="0.25">
      <c r="A12" s="347" t="s">
        <v>242</v>
      </c>
      <c r="B12" s="348" t="s">
        <v>243</v>
      </c>
      <c r="C12" s="355">
        <f>+C13+C27+C45</f>
        <v>44516571785</v>
      </c>
      <c r="D12" s="355">
        <f t="shared" ref="D12:J12" si="8">+D13+D27+D45</f>
        <v>0</v>
      </c>
      <c r="E12" s="355">
        <f t="shared" si="8"/>
        <v>0</v>
      </c>
      <c r="F12" s="355">
        <f t="shared" si="8"/>
        <v>44516571785</v>
      </c>
      <c r="G12" s="355">
        <f t="shared" si="8"/>
        <v>31300494281.029999</v>
      </c>
      <c r="H12" s="355">
        <f t="shared" si="8"/>
        <v>6460620035</v>
      </c>
      <c r="I12" s="355">
        <f t="shared" si="8"/>
        <v>31300494281.029999</v>
      </c>
      <c r="J12" s="355">
        <f t="shared" si="8"/>
        <v>13216077503.970001</v>
      </c>
      <c r="K12" s="371">
        <f t="shared" si="1"/>
        <v>0.70312005228526608</v>
      </c>
      <c r="L12" s="113">
        <f t="shared" si="2"/>
        <v>0</v>
      </c>
    </row>
    <row r="13" spans="1:12" s="20" customFormat="1" x14ac:dyDescent="0.25">
      <c r="A13" s="347" t="s">
        <v>244</v>
      </c>
      <c r="B13" s="348" t="s">
        <v>245</v>
      </c>
      <c r="C13" s="355">
        <f>SUM(C14)</f>
        <v>32250745169</v>
      </c>
      <c r="D13" s="355">
        <f t="shared" ref="D13:J13" si="9">SUM(D14)</f>
        <v>0</v>
      </c>
      <c r="E13" s="355">
        <f t="shared" si="9"/>
        <v>0</v>
      </c>
      <c r="F13" s="355">
        <f t="shared" si="9"/>
        <v>32250745169</v>
      </c>
      <c r="G13" s="355">
        <f t="shared" si="9"/>
        <v>21202492285.779999</v>
      </c>
      <c r="H13" s="355">
        <f t="shared" si="9"/>
        <v>5491088717</v>
      </c>
      <c r="I13" s="355">
        <f t="shared" si="9"/>
        <v>21202492285.779999</v>
      </c>
      <c r="J13" s="355">
        <f t="shared" si="9"/>
        <v>11048252883.220001</v>
      </c>
      <c r="K13" s="371">
        <f t="shared" si="1"/>
        <v>0.65742643075919427</v>
      </c>
      <c r="L13" s="113">
        <f t="shared" si="2"/>
        <v>0</v>
      </c>
    </row>
    <row r="14" spans="1:12" x14ac:dyDescent="0.25">
      <c r="A14" s="349" t="s">
        <v>246</v>
      </c>
      <c r="B14" s="350" t="s">
        <v>247</v>
      </c>
      <c r="C14" s="356">
        <f>SUM(C15:C26)</f>
        <v>32250745169</v>
      </c>
      <c r="D14" s="356">
        <f t="shared" ref="D14:J14" si="10">SUM(D15:D26)</f>
        <v>0</v>
      </c>
      <c r="E14" s="356">
        <f t="shared" si="10"/>
        <v>0</v>
      </c>
      <c r="F14" s="356">
        <f t="shared" si="10"/>
        <v>32250745169</v>
      </c>
      <c r="G14" s="356">
        <f t="shared" si="10"/>
        <v>21202492285.779999</v>
      </c>
      <c r="H14" s="356">
        <f t="shared" si="10"/>
        <v>5491088717</v>
      </c>
      <c r="I14" s="356">
        <f t="shared" si="10"/>
        <v>21202492285.779999</v>
      </c>
      <c r="J14" s="356">
        <f t="shared" si="10"/>
        <v>11048252883.220001</v>
      </c>
      <c r="K14" s="372">
        <f t="shared" si="1"/>
        <v>0.65742643075919427</v>
      </c>
      <c r="L14" s="113">
        <f t="shared" si="2"/>
        <v>0</v>
      </c>
    </row>
    <row r="15" spans="1:12" x14ac:dyDescent="0.25">
      <c r="A15" s="351" t="s">
        <v>248</v>
      </c>
      <c r="B15" s="352" t="s">
        <v>249</v>
      </c>
      <c r="C15" s="357">
        <v>1755025978</v>
      </c>
      <c r="D15" s="373"/>
      <c r="E15" s="374"/>
      <c r="F15" s="375">
        <f t="shared" ref="F15:F78" si="11">+C15+D15</f>
        <v>1755025978</v>
      </c>
      <c r="G15" s="358">
        <v>0</v>
      </c>
      <c r="H15" s="357"/>
      <c r="I15" s="358">
        <v>0</v>
      </c>
      <c r="J15" s="376">
        <f t="shared" ref="J15:J68" si="12">+F15-I15</f>
        <v>1755025978</v>
      </c>
      <c r="K15" s="377">
        <f t="shared" si="1"/>
        <v>0</v>
      </c>
      <c r="L15" s="113">
        <f t="shared" si="2"/>
        <v>0</v>
      </c>
    </row>
    <row r="16" spans="1:12" x14ac:dyDescent="0.25">
      <c r="A16" s="351" t="s">
        <v>250</v>
      </c>
      <c r="B16" s="352" t="s">
        <v>251</v>
      </c>
      <c r="C16" s="357">
        <v>27484600657</v>
      </c>
      <c r="D16" s="357"/>
      <c r="E16" s="378"/>
      <c r="F16" s="375">
        <f t="shared" si="11"/>
        <v>27484600657</v>
      </c>
      <c r="G16" s="358">
        <v>18470282201.279999</v>
      </c>
      <c r="H16" s="357">
        <v>5290389150</v>
      </c>
      <c r="I16" s="358">
        <v>18470282201.279999</v>
      </c>
      <c r="J16" s="376">
        <f t="shared" si="12"/>
        <v>9014318455.7200012</v>
      </c>
      <c r="K16" s="377">
        <f t="shared" si="1"/>
        <v>0.67202294229353621</v>
      </c>
      <c r="L16" s="113">
        <f t="shared" si="2"/>
        <v>0</v>
      </c>
    </row>
    <row r="17" spans="1:12" x14ac:dyDescent="0.25">
      <c r="A17" s="351" t="s">
        <v>252</v>
      </c>
      <c r="B17" s="352" t="s">
        <v>253</v>
      </c>
      <c r="C17" s="357">
        <v>10000764</v>
      </c>
      <c r="D17" s="357"/>
      <c r="E17" s="378"/>
      <c r="F17" s="375">
        <f t="shared" si="11"/>
        <v>10000764</v>
      </c>
      <c r="G17" s="358">
        <v>67214263</v>
      </c>
      <c r="H17" s="357">
        <v>45979992</v>
      </c>
      <c r="I17" s="358">
        <v>67214263</v>
      </c>
      <c r="J17" s="376">
        <f t="shared" si="12"/>
        <v>-57213499</v>
      </c>
      <c r="K17" s="377">
        <f t="shared" si="1"/>
        <v>6.7209128222603791</v>
      </c>
      <c r="L17" s="113">
        <f t="shared" si="2"/>
        <v>0</v>
      </c>
    </row>
    <row r="18" spans="1:12" x14ac:dyDescent="0.25">
      <c r="A18" s="351" t="s">
        <v>254</v>
      </c>
      <c r="B18" s="352" t="s">
        <v>255</v>
      </c>
      <c r="C18" s="357">
        <v>1796956253</v>
      </c>
      <c r="D18" s="357"/>
      <c r="E18" s="378"/>
      <c r="F18" s="375">
        <f t="shared" si="11"/>
        <v>1796956253</v>
      </c>
      <c r="G18" s="358">
        <v>1141717167.5</v>
      </c>
      <c r="H18" s="357">
        <v>110178736</v>
      </c>
      <c r="I18" s="358">
        <v>1141717167.5</v>
      </c>
      <c r="J18" s="376">
        <f t="shared" si="12"/>
        <v>655239085.5</v>
      </c>
      <c r="K18" s="377">
        <f t="shared" si="1"/>
        <v>0.63536169319309521</v>
      </c>
      <c r="L18" s="113">
        <f t="shared" si="2"/>
        <v>0</v>
      </c>
    </row>
    <row r="19" spans="1:12" x14ac:dyDescent="0.25">
      <c r="A19" s="351" t="s">
        <v>256</v>
      </c>
      <c r="B19" s="352" t="s">
        <v>257</v>
      </c>
      <c r="C19" s="357">
        <v>5182800</v>
      </c>
      <c r="D19" s="357"/>
      <c r="E19" s="374"/>
      <c r="F19" s="375">
        <f t="shared" si="11"/>
        <v>5182800</v>
      </c>
      <c r="G19" s="358">
        <v>107312242</v>
      </c>
      <c r="H19" s="357">
        <v>11021000</v>
      </c>
      <c r="I19" s="358">
        <v>107312242</v>
      </c>
      <c r="J19" s="376">
        <f t="shared" si="12"/>
        <v>-102129442</v>
      </c>
      <c r="K19" s="379">
        <f t="shared" si="1"/>
        <v>20.705456895886392</v>
      </c>
      <c r="L19" s="113">
        <f t="shared" si="2"/>
        <v>0</v>
      </c>
    </row>
    <row r="20" spans="1:12" x14ac:dyDescent="0.25">
      <c r="A20" s="351" t="s">
        <v>258</v>
      </c>
      <c r="B20" s="352" t="s">
        <v>259</v>
      </c>
      <c r="C20" s="357">
        <v>87550000</v>
      </c>
      <c r="D20" s="357"/>
      <c r="E20" s="378"/>
      <c r="F20" s="375">
        <f t="shared" si="11"/>
        <v>87550000</v>
      </c>
      <c r="G20" s="358">
        <v>120719023</v>
      </c>
      <c r="H20" s="357">
        <v>15750400</v>
      </c>
      <c r="I20" s="358">
        <v>120719023</v>
      </c>
      <c r="J20" s="376">
        <f t="shared" si="12"/>
        <v>-33169023</v>
      </c>
      <c r="K20" s="377">
        <f t="shared" si="1"/>
        <v>1.3788580582524272</v>
      </c>
      <c r="L20" s="113">
        <f t="shared" si="2"/>
        <v>0</v>
      </c>
    </row>
    <row r="21" spans="1:12" x14ac:dyDescent="0.25">
      <c r="A21" s="351" t="s">
        <v>260</v>
      </c>
      <c r="B21" s="352" t="s">
        <v>261</v>
      </c>
      <c r="C21" s="357">
        <v>13081000</v>
      </c>
      <c r="D21" s="357"/>
      <c r="E21" s="378"/>
      <c r="F21" s="375">
        <f t="shared" si="11"/>
        <v>13081000</v>
      </c>
      <c r="G21" s="358">
        <v>2338800</v>
      </c>
      <c r="H21" s="357"/>
      <c r="I21" s="358">
        <v>2338800</v>
      </c>
      <c r="J21" s="376">
        <f t="shared" si="12"/>
        <v>10742200</v>
      </c>
      <c r="K21" s="377">
        <f t="shared" si="1"/>
        <v>0.17879367020869963</v>
      </c>
      <c r="L21" s="113">
        <f t="shared" si="2"/>
        <v>0</v>
      </c>
    </row>
    <row r="22" spans="1:12" x14ac:dyDescent="0.25">
      <c r="A22" s="351" t="s">
        <v>262</v>
      </c>
      <c r="B22" s="352" t="s">
        <v>263</v>
      </c>
      <c r="C22" s="357">
        <v>61800000</v>
      </c>
      <c r="D22" s="357"/>
      <c r="E22" s="378"/>
      <c r="F22" s="375">
        <f t="shared" si="11"/>
        <v>61800000</v>
      </c>
      <c r="G22" s="358">
        <v>32544928</v>
      </c>
      <c r="H22" s="357">
        <v>987000</v>
      </c>
      <c r="I22" s="358">
        <v>32544928</v>
      </c>
      <c r="J22" s="376">
        <f t="shared" si="12"/>
        <v>29255072</v>
      </c>
      <c r="K22" s="377">
        <f t="shared" si="1"/>
        <v>0.52661695792880259</v>
      </c>
      <c r="L22" s="113">
        <f t="shared" si="2"/>
        <v>0</v>
      </c>
    </row>
    <row r="23" spans="1:12" x14ac:dyDescent="0.25">
      <c r="A23" s="351" t="s">
        <v>264</v>
      </c>
      <c r="B23" s="352" t="s">
        <v>265</v>
      </c>
      <c r="C23" s="357">
        <v>7004000</v>
      </c>
      <c r="D23" s="357"/>
      <c r="E23" s="378"/>
      <c r="F23" s="375">
        <f t="shared" si="11"/>
        <v>7004000</v>
      </c>
      <c r="G23" s="358">
        <v>2836500</v>
      </c>
      <c r="H23" s="357">
        <v>600000</v>
      </c>
      <c r="I23" s="358">
        <v>2836500</v>
      </c>
      <c r="J23" s="376">
        <f t="shared" si="12"/>
        <v>4167500</v>
      </c>
      <c r="K23" s="377">
        <f t="shared" si="1"/>
        <v>0.40498286693318103</v>
      </c>
      <c r="L23" s="113">
        <f t="shared" si="2"/>
        <v>0</v>
      </c>
    </row>
    <row r="24" spans="1:12" x14ac:dyDescent="0.25">
      <c r="A24" s="351" t="s">
        <v>266</v>
      </c>
      <c r="B24" s="352" t="s">
        <v>267</v>
      </c>
      <c r="C24" s="357">
        <v>15000000</v>
      </c>
      <c r="D24" s="357"/>
      <c r="E24" s="378"/>
      <c r="F24" s="375">
        <f t="shared" si="11"/>
        <v>15000000</v>
      </c>
      <c r="G24" s="358">
        <v>29676700</v>
      </c>
      <c r="H24" s="357">
        <v>3621000</v>
      </c>
      <c r="I24" s="358">
        <v>29676700</v>
      </c>
      <c r="J24" s="376">
        <f t="shared" si="12"/>
        <v>-14676700</v>
      </c>
      <c r="K24" s="377">
        <f t="shared" si="1"/>
        <v>1.9784466666666667</v>
      </c>
      <c r="L24" s="113">
        <f t="shared" si="2"/>
        <v>0</v>
      </c>
    </row>
    <row r="25" spans="1:12" x14ac:dyDescent="0.25">
      <c r="A25" s="351" t="s">
        <v>268</v>
      </c>
      <c r="B25" s="352" t="s">
        <v>269</v>
      </c>
      <c r="C25" s="357">
        <v>940383717</v>
      </c>
      <c r="D25" s="357"/>
      <c r="E25" s="378"/>
      <c r="F25" s="375">
        <f t="shared" si="11"/>
        <v>940383717</v>
      </c>
      <c r="G25" s="358">
        <v>1214143847</v>
      </c>
      <c r="H25" s="357">
        <v>11411439</v>
      </c>
      <c r="I25" s="358">
        <v>1214143847</v>
      </c>
      <c r="J25" s="376">
        <f t="shared" si="12"/>
        <v>-273760130</v>
      </c>
      <c r="K25" s="377">
        <f t="shared" si="1"/>
        <v>1.2911153447800501</v>
      </c>
      <c r="L25" s="113">
        <f t="shared" si="2"/>
        <v>0</v>
      </c>
    </row>
    <row r="26" spans="1:12" x14ac:dyDescent="0.25">
      <c r="A26" s="351" t="s">
        <v>270</v>
      </c>
      <c r="B26" s="352" t="s">
        <v>271</v>
      </c>
      <c r="C26" s="357">
        <v>74160000</v>
      </c>
      <c r="D26" s="357"/>
      <c r="E26" s="378"/>
      <c r="F26" s="375">
        <f t="shared" si="11"/>
        <v>74160000</v>
      </c>
      <c r="G26" s="358">
        <v>13706614</v>
      </c>
      <c r="H26" s="357">
        <v>1150000</v>
      </c>
      <c r="I26" s="358">
        <v>13706614</v>
      </c>
      <c r="J26" s="376">
        <f t="shared" si="12"/>
        <v>60453386</v>
      </c>
      <c r="K26" s="377">
        <f t="shared" si="1"/>
        <v>0.18482489212513484</v>
      </c>
      <c r="L26" s="113">
        <f t="shared" si="2"/>
        <v>0</v>
      </c>
    </row>
    <row r="27" spans="1:12" s="20" customFormat="1" x14ac:dyDescent="0.25">
      <c r="A27" s="347" t="s">
        <v>272</v>
      </c>
      <c r="B27" s="348" t="s">
        <v>273</v>
      </c>
      <c r="C27" s="355">
        <f>+C28+C34+C39</f>
        <v>9796488332</v>
      </c>
      <c r="D27" s="355">
        <f t="shared" ref="D27:I27" si="13">+D28+D34+D39</f>
        <v>0</v>
      </c>
      <c r="E27" s="355">
        <f t="shared" si="13"/>
        <v>0</v>
      </c>
      <c r="F27" s="355">
        <f t="shared" si="13"/>
        <v>9796488332</v>
      </c>
      <c r="G27" s="355">
        <f t="shared" si="13"/>
        <v>8051023309</v>
      </c>
      <c r="H27" s="355">
        <f t="shared" si="13"/>
        <v>880841625</v>
      </c>
      <c r="I27" s="355">
        <f t="shared" si="13"/>
        <v>8051023309</v>
      </c>
      <c r="J27" s="355">
        <f t="shared" si="12"/>
        <v>1745465023</v>
      </c>
      <c r="K27" s="371">
        <f t="shared" si="1"/>
        <v>0.82182747900607611</v>
      </c>
      <c r="L27" s="113">
        <f t="shared" si="2"/>
        <v>0</v>
      </c>
    </row>
    <row r="28" spans="1:12" x14ac:dyDescent="0.25">
      <c r="A28" s="349" t="s">
        <v>274</v>
      </c>
      <c r="B28" s="350" t="s">
        <v>275</v>
      </c>
      <c r="C28" s="356">
        <f>SUM(C29:C33)</f>
        <v>4983476830</v>
      </c>
      <c r="D28" s="356">
        <f t="shared" ref="D28:I28" si="14">SUM(D29:D33)</f>
        <v>0</v>
      </c>
      <c r="E28" s="356">
        <f t="shared" si="14"/>
        <v>0</v>
      </c>
      <c r="F28" s="356">
        <f t="shared" si="14"/>
        <v>4983476830</v>
      </c>
      <c r="G28" s="356">
        <f t="shared" si="14"/>
        <v>3860617379</v>
      </c>
      <c r="H28" s="356">
        <f t="shared" si="14"/>
        <v>415534614</v>
      </c>
      <c r="I28" s="356">
        <f t="shared" si="14"/>
        <v>3860617379</v>
      </c>
      <c r="J28" s="356">
        <f t="shared" si="12"/>
        <v>1122859451</v>
      </c>
      <c r="K28" s="380">
        <f t="shared" si="1"/>
        <v>0.77468352130374007</v>
      </c>
      <c r="L28" s="113">
        <f t="shared" si="2"/>
        <v>0</v>
      </c>
    </row>
    <row r="29" spans="1:12" x14ac:dyDescent="0.25">
      <c r="A29" s="351" t="s">
        <v>276</v>
      </c>
      <c r="B29" s="352" t="s">
        <v>249</v>
      </c>
      <c r="C29" s="357">
        <v>176410005</v>
      </c>
      <c r="D29" s="357"/>
      <c r="E29" s="378"/>
      <c r="F29" s="375">
        <f t="shared" si="11"/>
        <v>176410005</v>
      </c>
      <c r="G29" s="358">
        <v>41052000</v>
      </c>
      <c r="H29" s="357"/>
      <c r="I29" s="358">
        <v>41052000</v>
      </c>
      <c r="J29" s="376">
        <f t="shared" si="12"/>
        <v>135358005</v>
      </c>
      <c r="K29" s="377">
        <f t="shared" si="1"/>
        <v>0.23270788978210163</v>
      </c>
      <c r="L29" s="113">
        <f t="shared" si="2"/>
        <v>0</v>
      </c>
    </row>
    <row r="30" spans="1:12" x14ac:dyDescent="0.25">
      <c r="A30" s="351" t="s">
        <v>277</v>
      </c>
      <c r="B30" s="352" t="s">
        <v>251</v>
      </c>
      <c r="C30" s="357">
        <v>4000596877</v>
      </c>
      <c r="D30" s="357"/>
      <c r="E30" s="378"/>
      <c r="F30" s="375">
        <f t="shared" si="11"/>
        <v>4000596877</v>
      </c>
      <c r="G30" s="358">
        <v>3413045184</v>
      </c>
      <c r="H30" s="357">
        <v>413630614</v>
      </c>
      <c r="I30" s="358">
        <v>3413045184</v>
      </c>
      <c r="J30" s="376">
        <f t="shared" si="12"/>
        <v>587551693</v>
      </c>
      <c r="K30" s="377">
        <f t="shared" si="1"/>
        <v>0.85313399198556639</v>
      </c>
      <c r="L30" s="113">
        <f t="shared" si="2"/>
        <v>0</v>
      </c>
    </row>
    <row r="31" spans="1:12" x14ac:dyDescent="0.25">
      <c r="A31" s="351" t="s">
        <v>278</v>
      </c>
      <c r="B31" s="352" t="s">
        <v>279</v>
      </c>
      <c r="C31" s="357">
        <v>594153640</v>
      </c>
      <c r="D31" s="357"/>
      <c r="E31" s="378"/>
      <c r="F31" s="375">
        <f t="shared" si="11"/>
        <v>594153640</v>
      </c>
      <c r="G31" s="358">
        <v>287245243</v>
      </c>
      <c r="H31" s="357"/>
      <c r="I31" s="358">
        <v>287245243</v>
      </c>
      <c r="J31" s="376">
        <f t="shared" si="12"/>
        <v>306908397</v>
      </c>
      <c r="K31" s="377">
        <f t="shared" si="1"/>
        <v>0.48345280355431297</v>
      </c>
      <c r="L31" s="113">
        <f t="shared" si="2"/>
        <v>0</v>
      </c>
    </row>
    <row r="32" spans="1:12" x14ac:dyDescent="0.25">
      <c r="A32" s="351" t="s">
        <v>280</v>
      </c>
      <c r="B32" s="352" t="s">
        <v>281</v>
      </c>
      <c r="C32" s="357">
        <v>44607920</v>
      </c>
      <c r="D32" s="357"/>
      <c r="E32" s="378"/>
      <c r="F32" s="375">
        <f t="shared" si="11"/>
        <v>44607920</v>
      </c>
      <c r="G32" s="358">
        <v>6218716</v>
      </c>
      <c r="H32" s="357"/>
      <c r="I32" s="358">
        <v>6218716</v>
      </c>
      <c r="J32" s="376">
        <f t="shared" si="12"/>
        <v>38389204</v>
      </c>
      <c r="K32" s="377">
        <f t="shared" si="1"/>
        <v>0.13940833825024793</v>
      </c>
      <c r="L32" s="113">
        <f t="shared" si="2"/>
        <v>0</v>
      </c>
    </row>
    <row r="33" spans="1:12" x14ac:dyDescent="0.25">
      <c r="A33" s="351" t="s">
        <v>282</v>
      </c>
      <c r="B33" s="352" t="s">
        <v>255</v>
      </c>
      <c r="C33" s="357">
        <v>167708388</v>
      </c>
      <c r="D33" s="357"/>
      <c r="E33" s="378"/>
      <c r="F33" s="375">
        <f t="shared" si="11"/>
        <v>167708388</v>
      </c>
      <c r="G33" s="358">
        <v>113056236</v>
      </c>
      <c r="H33" s="357">
        <v>1904000</v>
      </c>
      <c r="I33" s="358">
        <v>113056236</v>
      </c>
      <c r="J33" s="376">
        <f t="shared" si="12"/>
        <v>54652152</v>
      </c>
      <c r="K33" s="377">
        <f t="shared" si="1"/>
        <v>0.67412392038494817</v>
      </c>
      <c r="L33" s="113">
        <f t="shared" si="2"/>
        <v>0</v>
      </c>
    </row>
    <row r="34" spans="1:12" x14ac:dyDescent="0.25">
      <c r="A34" s="349" t="s">
        <v>283</v>
      </c>
      <c r="B34" s="350" t="s">
        <v>284</v>
      </c>
      <c r="C34" s="356">
        <f>SUM(C35:C38)</f>
        <v>3817074480</v>
      </c>
      <c r="D34" s="356">
        <f t="shared" ref="D34:I34" si="15">SUM(D35:D38)</f>
        <v>0</v>
      </c>
      <c r="E34" s="356">
        <f t="shared" si="15"/>
        <v>0</v>
      </c>
      <c r="F34" s="356">
        <f t="shared" si="15"/>
        <v>3817074480</v>
      </c>
      <c r="G34" s="356">
        <f t="shared" si="15"/>
        <v>3457819690</v>
      </c>
      <c r="H34" s="356">
        <v>418687809</v>
      </c>
      <c r="I34" s="356">
        <f t="shared" si="15"/>
        <v>3457819690</v>
      </c>
      <c r="J34" s="356">
        <f t="shared" si="12"/>
        <v>359254790</v>
      </c>
      <c r="K34" s="380">
        <f t="shared" si="1"/>
        <v>0.90588216397600918</v>
      </c>
      <c r="L34" s="113">
        <f t="shared" si="2"/>
        <v>0</v>
      </c>
    </row>
    <row r="35" spans="1:12" x14ac:dyDescent="0.25">
      <c r="A35" s="351" t="s">
        <v>285</v>
      </c>
      <c r="B35" s="352" t="s">
        <v>249</v>
      </c>
      <c r="C35" s="357">
        <v>73640621</v>
      </c>
      <c r="D35" s="357"/>
      <c r="E35" s="378"/>
      <c r="F35" s="375">
        <f t="shared" si="11"/>
        <v>73640621</v>
      </c>
      <c r="G35" s="358">
        <v>11119600</v>
      </c>
      <c r="H35" s="357"/>
      <c r="I35" s="358">
        <v>11119600</v>
      </c>
      <c r="J35" s="376">
        <f t="shared" si="12"/>
        <v>62521021</v>
      </c>
      <c r="K35" s="377">
        <f t="shared" si="1"/>
        <v>0.15099818346181518</v>
      </c>
      <c r="L35" s="113">
        <f t="shared" si="2"/>
        <v>0</v>
      </c>
    </row>
    <row r="36" spans="1:12" x14ac:dyDescent="0.25">
      <c r="A36" s="351" t="s">
        <v>286</v>
      </c>
      <c r="B36" s="352" t="s">
        <v>251</v>
      </c>
      <c r="C36" s="357">
        <v>3469054021</v>
      </c>
      <c r="D36" s="357"/>
      <c r="E36" s="378"/>
      <c r="F36" s="375">
        <f t="shared" si="11"/>
        <v>3469054021</v>
      </c>
      <c r="G36" s="358">
        <v>3445033844</v>
      </c>
      <c r="H36" s="357">
        <v>418687809</v>
      </c>
      <c r="I36" s="358">
        <v>3445033844</v>
      </c>
      <c r="J36" s="376">
        <f t="shared" si="12"/>
        <v>24020177</v>
      </c>
      <c r="K36" s="377">
        <f t="shared" si="1"/>
        <v>0.99307587115836382</v>
      </c>
      <c r="L36" s="113">
        <f t="shared" si="2"/>
        <v>0</v>
      </c>
    </row>
    <row r="37" spans="1:12" x14ac:dyDescent="0.25">
      <c r="A37" s="351" t="s">
        <v>287</v>
      </c>
      <c r="B37" s="352" t="s">
        <v>279</v>
      </c>
      <c r="C37" s="357">
        <v>266109890</v>
      </c>
      <c r="D37" s="357"/>
      <c r="E37" s="378"/>
      <c r="F37" s="375">
        <f t="shared" si="11"/>
        <v>266109890</v>
      </c>
      <c r="G37" s="358"/>
      <c r="H37" s="357"/>
      <c r="I37" s="358"/>
      <c r="J37" s="376">
        <f t="shared" si="12"/>
        <v>266109890</v>
      </c>
      <c r="K37" s="377">
        <f t="shared" si="1"/>
        <v>0</v>
      </c>
      <c r="L37" s="113">
        <f t="shared" si="2"/>
        <v>0</v>
      </c>
    </row>
    <row r="38" spans="1:12" x14ac:dyDescent="0.25">
      <c r="A38" s="351" t="s">
        <v>288</v>
      </c>
      <c r="B38" s="352" t="s">
        <v>281</v>
      </c>
      <c r="C38" s="357">
        <v>8269948</v>
      </c>
      <c r="D38" s="357"/>
      <c r="E38" s="378"/>
      <c r="F38" s="375">
        <f t="shared" si="11"/>
        <v>8269948</v>
      </c>
      <c r="G38" s="358">
        <v>1666246</v>
      </c>
      <c r="H38" s="357"/>
      <c r="I38" s="358">
        <v>1666246</v>
      </c>
      <c r="J38" s="376">
        <f t="shared" si="12"/>
        <v>6603702</v>
      </c>
      <c r="K38" s="377">
        <f t="shared" si="1"/>
        <v>0.2014820407576928</v>
      </c>
      <c r="L38" s="113">
        <f t="shared" si="2"/>
        <v>0</v>
      </c>
    </row>
    <row r="39" spans="1:12" x14ac:dyDescent="0.25">
      <c r="A39" s="349" t="s">
        <v>289</v>
      </c>
      <c r="B39" s="350" t="s">
        <v>290</v>
      </c>
      <c r="C39" s="356">
        <f>SUM(C40:C44)</f>
        <v>995937022</v>
      </c>
      <c r="D39" s="356">
        <f t="shared" ref="D39:I39" si="16">SUM(D40:D44)</f>
        <v>0</v>
      </c>
      <c r="E39" s="356">
        <f t="shared" si="16"/>
        <v>0</v>
      </c>
      <c r="F39" s="356">
        <f t="shared" si="16"/>
        <v>995937022</v>
      </c>
      <c r="G39" s="356">
        <f t="shared" si="16"/>
        <v>732586240</v>
      </c>
      <c r="H39" s="356">
        <v>46619202</v>
      </c>
      <c r="I39" s="356">
        <f t="shared" si="16"/>
        <v>732586240</v>
      </c>
      <c r="J39" s="356">
        <f t="shared" si="12"/>
        <v>263350782</v>
      </c>
      <c r="K39" s="380">
        <f t="shared" si="1"/>
        <v>0.73557486449178311</v>
      </c>
      <c r="L39" s="113">
        <f t="shared" si="2"/>
        <v>0</v>
      </c>
    </row>
    <row r="40" spans="1:12" x14ac:dyDescent="0.25">
      <c r="A40" s="351" t="s">
        <v>291</v>
      </c>
      <c r="B40" s="352" t="s">
        <v>292</v>
      </c>
      <c r="C40" s="357">
        <v>123593826</v>
      </c>
      <c r="D40" s="357"/>
      <c r="E40" s="378"/>
      <c r="F40" s="375">
        <f t="shared" si="11"/>
        <v>123593826</v>
      </c>
      <c r="G40" s="358">
        <v>116802235</v>
      </c>
      <c r="H40" s="357"/>
      <c r="I40" s="358">
        <v>116802235</v>
      </c>
      <c r="J40" s="376">
        <f t="shared" si="12"/>
        <v>6791591</v>
      </c>
      <c r="K40" s="377">
        <f t="shared" si="1"/>
        <v>0.94504910787372176</v>
      </c>
      <c r="L40" s="113">
        <f t="shared" si="2"/>
        <v>0</v>
      </c>
    </row>
    <row r="41" spans="1:12" x14ac:dyDescent="0.25">
      <c r="A41" s="351" t="s">
        <v>293</v>
      </c>
      <c r="B41" s="352" t="s">
        <v>294</v>
      </c>
      <c r="C41" s="357">
        <v>436733306</v>
      </c>
      <c r="D41" s="357"/>
      <c r="E41" s="378"/>
      <c r="F41" s="375">
        <f t="shared" si="11"/>
        <v>436733306</v>
      </c>
      <c r="G41" s="358">
        <v>340409890</v>
      </c>
      <c r="H41" s="357">
        <v>15638557</v>
      </c>
      <c r="I41" s="358">
        <v>340409890</v>
      </c>
      <c r="J41" s="376">
        <f t="shared" si="12"/>
        <v>96323416</v>
      </c>
      <c r="K41" s="377">
        <f t="shared" si="1"/>
        <v>0.77944568303659445</v>
      </c>
      <c r="L41" s="113">
        <f t="shared" si="2"/>
        <v>0</v>
      </c>
    </row>
    <row r="42" spans="1:12" x14ac:dyDescent="0.25">
      <c r="A42" s="351" t="s">
        <v>295</v>
      </c>
      <c r="B42" s="352" t="s">
        <v>296</v>
      </c>
      <c r="C42" s="357">
        <v>93285640</v>
      </c>
      <c r="D42" s="357"/>
      <c r="E42" s="378"/>
      <c r="F42" s="375">
        <f t="shared" si="11"/>
        <v>93285640</v>
      </c>
      <c r="G42" s="358">
        <v>70250252</v>
      </c>
      <c r="H42" s="357">
        <v>11736326</v>
      </c>
      <c r="I42" s="358">
        <v>70250252</v>
      </c>
      <c r="J42" s="376">
        <f t="shared" si="12"/>
        <v>23035388</v>
      </c>
      <c r="K42" s="377">
        <f t="shared" si="1"/>
        <v>0.75306608819964149</v>
      </c>
      <c r="L42" s="113">
        <f t="shared" si="2"/>
        <v>0</v>
      </c>
    </row>
    <row r="43" spans="1:12" x14ac:dyDescent="0.25">
      <c r="A43" s="351" t="s">
        <v>297</v>
      </c>
      <c r="B43" s="352" t="s">
        <v>298</v>
      </c>
      <c r="C43" s="357">
        <v>262129868</v>
      </c>
      <c r="D43" s="357"/>
      <c r="E43" s="378"/>
      <c r="F43" s="375">
        <f t="shared" si="11"/>
        <v>262129868</v>
      </c>
      <c r="G43" s="358">
        <v>125579215</v>
      </c>
      <c r="H43" s="357">
        <v>19244319</v>
      </c>
      <c r="I43" s="358">
        <v>125579215</v>
      </c>
      <c r="J43" s="376">
        <f t="shared" si="12"/>
        <v>136550653</v>
      </c>
      <c r="K43" s="377">
        <f t="shared" si="1"/>
        <v>0.47907251454458444</v>
      </c>
      <c r="L43" s="113">
        <f t="shared" si="2"/>
        <v>0</v>
      </c>
    </row>
    <row r="44" spans="1:12" x14ac:dyDescent="0.25">
      <c r="A44" s="351" t="s">
        <v>299</v>
      </c>
      <c r="B44" s="352" t="s">
        <v>300</v>
      </c>
      <c r="C44" s="357">
        <v>80194382</v>
      </c>
      <c r="D44" s="357"/>
      <c r="E44" s="378"/>
      <c r="F44" s="375">
        <f t="shared" si="11"/>
        <v>80194382</v>
      </c>
      <c r="G44" s="358">
        <v>79544648</v>
      </c>
      <c r="H44" s="357"/>
      <c r="I44" s="358">
        <v>79544648</v>
      </c>
      <c r="J44" s="376">
        <f t="shared" si="12"/>
        <v>649734</v>
      </c>
      <c r="K44" s="377">
        <f t="shared" si="1"/>
        <v>0.99189801101029751</v>
      </c>
      <c r="L44" s="113">
        <f t="shared" si="2"/>
        <v>0</v>
      </c>
    </row>
    <row r="45" spans="1:12" x14ac:dyDescent="0.25">
      <c r="A45" s="349" t="s">
        <v>301</v>
      </c>
      <c r="B45" s="350" t="s">
        <v>302</v>
      </c>
      <c r="C45" s="356">
        <f>SUM(C46:C80)</f>
        <v>2469338284</v>
      </c>
      <c r="D45" s="356">
        <f t="shared" ref="D45:I45" si="17">SUM(D46:D80)</f>
        <v>0</v>
      </c>
      <c r="E45" s="356">
        <f t="shared" si="17"/>
        <v>0</v>
      </c>
      <c r="F45" s="356">
        <f t="shared" si="17"/>
        <v>2469338284</v>
      </c>
      <c r="G45" s="356">
        <f t="shared" si="17"/>
        <v>2046978686.25</v>
      </c>
      <c r="H45" s="356">
        <v>88689693</v>
      </c>
      <c r="I45" s="356">
        <f t="shared" si="17"/>
        <v>2046978686.25</v>
      </c>
      <c r="J45" s="356">
        <f t="shared" si="12"/>
        <v>422359597.75</v>
      </c>
      <c r="K45" s="380">
        <f t="shared" si="1"/>
        <v>0.82895838918196596</v>
      </c>
      <c r="L45" s="113">
        <f t="shared" si="2"/>
        <v>0</v>
      </c>
    </row>
    <row r="46" spans="1:12" x14ac:dyDescent="0.25">
      <c r="A46" s="351" t="s">
        <v>303</v>
      </c>
      <c r="B46" s="352" t="s">
        <v>304</v>
      </c>
      <c r="C46" s="357">
        <v>30000000</v>
      </c>
      <c r="D46" s="357"/>
      <c r="E46" s="378"/>
      <c r="F46" s="375">
        <f t="shared" si="11"/>
        <v>30000000</v>
      </c>
      <c r="G46" s="358">
        <v>12874150</v>
      </c>
      <c r="H46" s="357">
        <v>5618100</v>
      </c>
      <c r="I46" s="358">
        <v>12874150</v>
      </c>
      <c r="J46" s="376">
        <f t="shared" si="12"/>
        <v>17125850</v>
      </c>
      <c r="K46" s="377">
        <f t="shared" si="1"/>
        <v>0.42913833333333334</v>
      </c>
      <c r="L46" s="113">
        <f t="shared" si="2"/>
        <v>0</v>
      </c>
    </row>
    <row r="47" spans="1:12" x14ac:dyDescent="0.25">
      <c r="A47" s="351">
        <v>11251101132</v>
      </c>
      <c r="B47" s="352" t="s">
        <v>305</v>
      </c>
      <c r="C47" s="357">
        <v>4500000</v>
      </c>
      <c r="D47" s="357"/>
      <c r="E47" s="378"/>
      <c r="F47" s="375">
        <f t="shared" si="11"/>
        <v>4500000</v>
      </c>
      <c r="G47" s="358">
        <v>14062359</v>
      </c>
      <c r="H47" s="357"/>
      <c r="I47" s="358">
        <v>14062359</v>
      </c>
      <c r="J47" s="376">
        <f t="shared" si="12"/>
        <v>-9562359</v>
      </c>
      <c r="K47" s="377">
        <f t="shared" si="1"/>
        <v>3.1249686666666667</v>
      </c>
      <c r="L47" s="113">
        <f t="shared" si="2"/>
        <v>0</v>
      </c>
    </row>
    <row r="48" spans="1:12" x14ac:dyDescent="0.25">
      <c r="A48" s="351">
        <v>11251101133</v>
      </c>
      <c r="B48" s="352" t="s">
        <v>306</v>
      </c>
      <c r="C48" s="357">
        <v>22000000</v>
      </c>
      <c r="D48" s="357"/>
      <c r="E48" s="378"/>
      <c r="F48" s="375">
        <f t="shared" si="11"/>
        <v>22000000</v>
      </c>
      <c r="G48" s="358">
        <v>10594721</v>
      </c>
      <c r="H48" s="357">
        <v>10594721</v>
      </c>
      <c r="I48" s="358">
        <v>10594721</v>
      </c>
      <c r="J48" s="376">
        <f t="shared" si="12"/>
        <v>11405279</v>
      </c>
      <c r="K48" s="377">
        <f t="shared" si="1"/>
        <v>0.48157822727272726</v>
      </c>
      <c r="L48" s="113">
        <f t="shared" si="2"/>
        <v>0</v>
      </c>
    </row>
    <row r="49" spans="1:12" x14ac:dyDescent="0.25">
      <c r="A49" s="351">
        <v>11251101134</v>
      </c>
      <c r="B49" s="352" t="s">
        <v>307</v>
      </c>
      <c r="C49" s="357">
        <v>18000000</v>
      </c>
      <c r="D49" s="357"/>
      <c r="E49" s="378"/>
      <c r="F49" s="375">
        <f t="shared" si="11"/>
        <v>18000000</v>
      </c>
      <c r="G49" s="358">
        <v>5562519</v>
      </c>
      <c r="H49" s="357">
        <v>2472185</v>
      </c>
      <c r="I49" s="358">
        <v>5562519</v>
      </c>
      <c r="J49" s="376">
        <f t="shared" si="12"/>
        <v>12437481</v>
      </c>
      <c r="K49" s="377">
        <f t="shared" si="1"/>
        <v>0.30902883333333331</v>
      </c>
      <c r="L49" s="113">
        <f t="shared" si="2"/>
        <v>0</v>
      </c>
    </row>
    <row r="50" spans="1:12" x14ac:dyDescent="0.25">
      <c r="A50" s="351">
        <v>11251101135</v>
      </c>
      <c r="B50" s="352" t="s">
        <v>308</v>
      </c>
      <c r="C50" s="357"/>
      <c r="D50" s="357"/>
      <c r="E50" s="378"/>
      <c r="F50" s="375">
        <f t="shared" si="11"/>
        <v>0</v>
      </c>
      <c r="G50" s="358">
        <v>7845438</v>
      </c>
      <c r="H50" s="357"/>
      <c r="I50" s="358">
        <v>7845438</v>
      </c>
      <c r="J50" s="376">
        <f t="shared" si="12"/>
        <v>-7845438</v>
      </c>
      <c r="K50" s="377" t="e">
        <f t="shared" si="1"/>
        <v>#DIV/0!</v>
      </c>
      <c r="L50" s="113">
        <f t="shared" si="2"/>
        <v>0</v>
      </c>
    </row>
    <row r="51" spans="1:12" x14ac:dyDescent="0.25">
      <c r="A51" s="351">
        <v>11251101136</v>
      </c>
      <c r="B51" s="352" t="s">
        <v>309</v>
      </c>
      <c r="C51" s="357">
        <v>33682873</v>
      </c>
      <c r="D51" s="357"/>
      <c r="E51" s="378"/>
      <c r="F51" s="375">
        <f t="shared" si="11"/>
        <v>33682873</v>
      </c>
      <c r="G51" s="358">
        <v>5735583</v>
      </c>
      <c r="H51" s="357">
        <v>2772391</v>
      </c>
      <c r="I51" s="358">
        <v>5735583</v>
      </c>
      <c r="J51" s="376">
        <f t="shared" si="12"/>
        <v>27947290</v>
      </c>
      <c r="K51" s="377">
        <f t="shared" si="1"/>
        <v>0.17028188183353599</v>
      </c>
      <c r="L51" s="113">
        <f t="shared" si="2"/>
        <v>0</v>
      </c>
    </row>
    <row r="52" spans="1:12" x14ac:dyDescent="0.25">
      <c r="A52" s="351">
        <v>11251101137</v>
      </c>
      <c r="B52" s="352" t="s">
        <v>310</v>
      </c>
      <c r="C52" s="381">
        <v>32920000</v>
      </c>
      <c r="D52" s="357"/>
      <c r="E52" s="378"/>
      <c r="F52" s="375">
        <f t="shared" si="11"/>
        <v>32920000</v>
      </c>
      <c r="G52" s="358">
        <v>7756676</v>
      </c>
      <c r="H52" s="357"/>
      <c r="I52" s="358">
        <v>7756676</v>
      </c>
      <c r="J52" s="376">
        <f t="shared" si="12"/>
        <v>25163324</v>
      </c>
      <c r="K52" s="377">
        <f t="shared" si="1"/>
        <v>0.23562199270959902</v>
      </c>
      <c r="L52" s="113">
        <f t="shared" si="2"/>
        <v>0</v>
      </c>
    </row>
    <row r="53" spans="1:12" x14ac:dyDescent="0.25">
      <c r="A53" s="351">
        <v>11251101138</v>
      </c>
      <c r="B53" s="352" t="s">
        <v>311</v>
      </c>
      <c r="C53" s="357">
        <v>320000000</v>
      </c>
      <c r="D53" s="357"/>
      <c r="E53" s="378"/>
      <c r="F53" s="375">
        <f t="shared" si="11"/>
        <v>320000000</v>
      </c>
      <c r="G53" s="358">
        <v>277870745</v>
      </c>
      <c r="H53" s="357">
        <v>19970015</v>
      </c>
      <c r="I53" s="358">
        <v>277870745</v>
      </c>
      <c r="J53" s="376">
        <f t="shared" si="12"/>
        <v>42129255</v>
      </c>
      <c r="K53" s="377">
        <f t="shared" si="1"/>
        <v>0.86834607812499998</v>
      </c>
      <c r="L53" s="113">
        <f t="shared" si="2"/>
        <v>0</v>
      </c>
    </row>
    <row r="54" spans="1:12" x14ac:dyDescent="0.25">
      <c r="A54" s="351">
        <v>11251101139</v>
      </c>
      <c r="B54" s="352" t="s">
        <v>312</v>
      </c>
      <c r="C54" s="381">
        <v>140000000</v>
      </c>
      <c r="D54" s="357"/>
      <c r="E54" s="378"/>
      <c r="F54" s="375">
        <f t="shared" si="11"/>
        <v>140000000</v>
      </c>
      <c r="G54" s="358">
        <v>26519604</v>
      </c>
      <c r="H54" s="357">
        <v>18964224</v>
      </c>
      <c r="I54" s="358">
        <v>26519604</v>
      </c>
      <c r="J54" s="376">
        <f t="shared" si="12"/>
        <v>113480396</v>
      </c>
      <c r="K54" s="377">
        <f t="shared" si="1"/>
        <v>0.18942574285714286</v>
      </c>
      <c r="L54" s="113">
        <f t="shared" si="2"/>
        <v>0</v>
      </c>
    </row>
    <row r="55" spans="1:12" x14ac:dyDescent="0.25">
      <c r="A55" s="351" t="s">
        <v>313</v>
      </c>
      <c r="B55" s="352" t="s">
        <v>314</v>
      </c>
      <c r="C55" s="357">
        <v>240000000</v>
      </c>
      <c r="D55" s="357"/>
      <c r="E55" s="378"/>
      <c r="F55" s="375">
        <f t="shared" si="11"/>
        <v>240000000</v>
      </c>
      <c r="G55" s="358">
        <v>152888343</v>
      </c>
      <c r="H55" s="357"/>
      <c r="I55" s="358">
        <v>152888343</v>
      </c>
      <c r="J55" s="376">
        <f t="shared" si="12"/>
        <v>87111657</v>
      </c>
      <c r="K55" s="377">
        <f t="shared" si="1"/>
        <v>0.63703476250000002</v>
      </c>
      <c r="L55" s="113">
        <f t="shared" si="2"/>
        <v>0</v>
      </c>
    </row>
    <row r="56" spans="1:12" x14ac:dyDescent="0.25">
      <c r="A56" s="351" t="s">
        <v>315</v>
      </c>
      <c r="B56" s="352" t="s">
        <v>316</v>
      </c>
      <c r="C56" s="357">
        <v>22000000</v>
      </c>
      <c r="D56" s="357"/>
      <c r="E56" s="378"/>
      <c r="F56" s="375">
        <f t="shared" si="11"/>
        <v>22000000</v>
      </c>
      <c r="G56" s="358">
        <v>25401360.25</v>
      </c>
      <c r="H56" s="357"/>
      <c r="I56" s="358">
        <v>25401360.25</v>
      </c>
      <c r="J56" s="376">
        <f t="shared" si="12"/>
        <v>-3401360.25</v>
      </c>
      <c r="K56" s="377">
        <f t="shared" si="1"/>
        <v>1.1546072840909092</v>
      </c>
      <c r="L56" s="113">
        <f t="shared" si="2"/>
        <v>0</v>
      </c>
    </row>
    <row r="57" spans="1:12" x14ac:dyDescent="0.25">
      <c r="A57" s="351" t="s">
        <v>317</v>
      </c>
      <c r="B57" s="352" t="s">
        <v>318</v>
      </c>
      <c r="C57" s="381">
        <v>13060960</v>
      </c>
      <c r="D57" s="357"/>
      <c r="E57" s="378"/>
      <c r="F57" s="375">
        <f t="shared" si="11"/>
        <v>13060960</v>
      </c>
      <c r="G57" s="358">
        <v>1952848</v>
      </c>
      <c r="H57" s="357"/>
      <c r="I57" s="358">
        <v>1952848</v>
      </c>
      <c r="J57" s="376">
        <f t="shared" si="12"/>
        <v>11108112</v>
      </c>
      <c r="K57" s="377">
        <f t="shared" si="1"/>
        <v>0.14951795273854296</v>
      </c>
      <c r="L57" s="113">
        <f t="shared" si="2"/>
        <v>0</v>
      </c>
    </row>
    <row r="58" spans="1:12" x14ac:dyDescent="0.25">
      <c r="A58" s="351" t="s">
        <v>319</v>
      </c>
      <c r="B58" s="352" t="s">
        <v>320</v>
      </c>
      <c r="C58" s="357"/>
      <c r="D58" s="357"/>
      <c r="E58" s="378"/>
      <c r="F58" s="375">
        <f t="shared" si="11"/>
        <v>0</v>
      </c>
      <c r="G58" s="358">
        <v>211593013</v>
      </c>
      <c r="H58" s="357">
        <v>3506500</v>
      </c>
      <c r="I58" s="358">
        <v>211593013</v>
      </c>
      <c r="J58" s="376">
        <f t="shared" si="12"/>
        <v>-211593013</v>
      </c>
      <c r="K58" s="377" t="e">
        <f t="shared" si="1"/>
        <v>#DIV/0!</v>
      </c>
      <c r="L58" s="113">
        <f t="shared" si="2"/>
        <v>0</v>
      </c>
    </row>
    <row r="59" spans="1:12" x14ac:dyDescent="0.25">
      <c r="A59" s="351" t="s">
        <v>321</v>
      </c>
      <c r="B59" s="352" t="s">
        <v>322</v>
      </c>
      <c r="C59" s="357">
        <v>80000000</v>
      </c>
      <c r="D59" s="357"/>
      <c r="E59" s="378"/>
      <c r="F59" s="375">
        <f t="shared" si="11"/>
        <v>80000000</v>
      </c>
      <c r="G59" s="358">
        <v>27110475</v>
      </c>
      <c r="H59" s="357"/>
      <c r="I59" s="358">
        <v>27110475</v>
      </c>
      <c r="J59" s="376">
        <f t="shared" si="12"/>
        <v>52889525</v>
      </c>
      <c r="K59" s="377">
        <f t="shared" si="1"/>
        <v>0.33888093749999998</v>
      </c>
      <c r="L59" s="113">
        <f t="shared" si="2"/>
        <v>0</v>
      </c>
    </row>
    <row r="60" spans="1:12" x14ac:dyDescent="0.25">
      <c r="A60" s="351" t="s">
        <v>323</v>
      </c>
      <c r="B60" s="352" t="s">
        <v>324</v>
      </c>
      <c r="C60" s="357">
        <v>100000000</v>
      </c>
      <c r="D60" s="357"/>
      <c r="E60" s="378"/>
      <c r="F60" s="375">
        <f t="shared" si="11"/>
        <v>100000000</v>
      </c>
      <c r="G60" s="358"/>
      <c r="H60" s="357"/>
      <c r="I60" s="358"/>
      <c r="J60" s="376">
        <f t="shared" si="12"/>
        <v>100000000</v>
      </c>
      <c r="K60" s="377">
        <f t="shared" si="1"/>
        <v>0</v>
      </c>
      <c r="L60" s="113">
        <f t="shared" si="2"/>
        <v>0</v>
      </c>
    </row>
    <row r="61" spans="1:12" x14ac:dyDescent="0.25">
      <c r="A61" s="351" t="s">
        <v>325</v>
      </c>
      <c r="B61" s="352" t="s">
        <v>326</v>
      </c>
      <c r="C61" s="357">
        <v>205500000</v>
      </c>
      <c r="D61" s="357"/>
      <c r="E61" s="378"/>
      <c r="F61" s="375">
        <f t="shared" si="11"/>
        <v>205500000</v>
      </c>
      <c r="G61" s="358">
        <v>127722331</v>
      </c>
      <c r="H61" s="357">
        <v>2252240</v>
      </c>
      <c r="I61" s="358">
        <v>127722331</v>
      </c>
      <c r="J61" s="376">
        <f t="shared" si="12"/>
        <v>77777669</v>
      </c>
      <c r="K61" s="377">
        <f t="shared" si="1"/>
        <v>0.62151985888077854</v>
      </c>
      <c r="L61" s="113">
        <f t="shared" si="2"/>
        <v>0</v>
      </c>
    </row>
    <row r="62" spans="1:12" x14ac:dyDescent="0.25">
      <c r="A62" s="351" t="s">
        <v>327</v>
      </c>
      <c r="B62" s="352" t="s">
        <v>328</v>
      </c>
      <c r="C62" s="357">
        <v>120000000</v>
      </c>
      <c r="D62" s="357"/>
      <c r="E62" s="378"/>
      <c r="F62" s="375">
        <f t="shared" si="11"/>
        <v>120000000</v>
      </c>
      <c r="G62" s="357">
        <v>123360727</v>
      </c>
      <c r="H62" s="357"/>
      <c r="I62" s="357">
        <v>123360727</v>
      </c>
      <c r="J62" s="376">
        <f t="shared" si="12"/>
        <v>-3360727</v>
      </c>
      <c r="K62" s="377">
        <f t="shared" si="1"/>
        <v>1.0280060583333333</v>
      </c>
      <c r="L62" s="113">
        <f t="shared" si="2"/>
        <v>0</v>
      </c>
    </row>
    <row r="63" spans="1:12" x14ac:dyDescent="0.25">
      <c r="A63" s="351" t="s">
        <v>329</v>
      </c>
      <c r="B63" s="352" t="s">
        <v>330</v>
      </c>
      <c r="C63" s="357">
        <v>150724000</v>
      </c>
      <c r="D63" s="357"/>
      <c r="E63" s="378"/>
      <c r="F63" s="375">
        <f t="shared" si="11"/>
        <v>150724000</v>
      </c>
      <c r="G63" s="358">
        <v>238560000</v>
      </c>
      <c r="H63" s="357"/>
      <c r="I63" s="358">
        <v>238560000</v>
      </c>
      <c r="J63" s="376">
        <f t="shared" si="12"/>
        <v>-87836000</v>
      </c>
      <c r="K63" s="377">
        <f t="shared" si="1"/>
        <v>1.5827605424484488</v>
      </c>
      <c r="L63" s="113">
        <f t="shared" si="2"/>
        <v>0</v>
      </c>
    </row>
    <row r="64" spans="1:12" x14ac:dyDescent="0.25">
      <c r="A64" s="351" t="s">
        <v>331</v>
      </c>
      <c r="B64" s="352" t="s">
        <v>332</v>
      </c>
      <c r="C64" s="357">
        <v>239891264</v>
      </c>
      <c r="D64" s="357"/>
      <c r="E64" s="378"/>
      <c r="F64" s="375">
        <f t="shared" si="11"/>
        <v>239891264</v>
      </c>
      <c r="G64" s="358">
        <v>217552287</v>
      </c>
      <c r="H64" s="357">
        <v>4442800</v>
      </c>
      <c r="I64" s="358">
        <v>217552287</v>
      </c>
      <c r="J64" s="376">
        <f t="shared" si="12"/>
        <v>22338977</v>
      </c>
      <c r="K64" s="377">
        <f t="shared" si="1"/>
        <v>0.90687873902736205</v>
      </c>
      <c r="L64" s="113">
        <f t="shared" si="2"/>
        <v>0</v>
      </c>
    </row>
    <row r="65" spans="1:12" x14ac:dyDescent="0.25">
      <c r="A65" s="351" t="s">
        <v>333</v>
      </c>
      <c r="B65" s="352" t="s">
        <v>334</v>
      </c>
      <c r="C65" s="357">
        <v>34200000</v>
      </c>
      <c r="D65" s="357"/>
      <c r="E65" s="378"/>
      <c r="F65" s="375">
        <f t="shared" si="11"/>
        <v>34200000</v>
      </c>
      <c r="G65" s="358">
        <v>337077</v>
      </c>
      <c r="H65" s="357"/>
      <c r="I65" s="358">
        <v>337077</v>
      </c>
      <c r="J65" s="376">
        <f t="shared" si="12"/>
        <v>33862923</v>
      </c>
      <c r="K65" s="377">
        <f t="shared" si="1"/>
        <v>9.8560526315789477E-3</v>
      </c>
      <c r="L65" s="113">
        <f t="shared" si="2"/>
        <v>0</v>
      </c>
    </row>
    <row r="66" spans="1:12" x14ac:dyDescent="0.25">
      <c r="A66" s="351" t="s">
        <v>335</v>
      </c>
      <c r="B66" s="352" t="s">
        <v>336</v>
      </c>
      <c r="C66" s="357">
        <v>48000000</v>
      </c>
      <c r="D66" s="357"/>
      <c r="E66" s="378"/>
      <c r="F66" s="375">
        <f t="shared" si="11"/>
        <v>48000000</v>
      </c>
      <c r="G66" s="358">
        <v>183630000</v>
      </c>
      <c r="H66" s="357"/>
      <c r="I66" s="358">
        <v>183630000</v>
      </c>
      <c r="J66" s="376">
        <f t="shared" si="12"/>
        <v>-135630000</v>
      </c>
      <c r="K66" s="377">
        <f t="shared" si="1"/>
        <v>3.8256250000000001</v>
      </c>
      <c r="L66" s="113">
        <f t="shared" si="2"/>
        <v>0</v>
      </c>
    </row>
    <row r="67" spans="1:12" x14ac:dyDescent="0.25">
      <c r="A67" s="351" t="s">
        <v>337</v>
      </c>
      <c r="B67" s="352" t="s">
        <v>338</v>
      </c>
      <c r="C67" s="357">
        <v>172025580</v>
      </c>
      <c r="D67" s="357"/>
      <c r="E67" s="378"/>
      <c r="F67" s="375">
        <f t="shared" si="11"/>
        <v>172025580</v>
      </c>
      <c r="G67" s="358">
        <v>99513768</v>
      </c>
      <c r="H67" s="357"/>
      <c r="I67" s="358">
        <v>99513768</v>
      </c>
      <c r="J67" s="376">
        <f t="shared" si="12"/>
        <v>72511812</v>
      </c>
      <c r="K67" s="377">
        <f t="shared" si="1"/>
        <v>0.57848238616605741</v>
      </c>
      <c r="L67" s="113">
        <f t="shared" si="2"/>
        <v>0</v>
      </c>
    </row>
    <row r="68" spans="1:12" x14ac:dyDescent="0.25">
      <c r="A68" s="351" t="s">
        <v>339</v>
      </c>
      <c r="B68" s="352" t="s">
        <v>340</v>
      </c>
      <c r="C68" s="381">
        <v>51082000</v>
      </c>
      <c r="D68" s="357"/>
      <c r="E68" s="378"/>
      <c r="F68" s="375">
        <f t="shared" si="11"/>
        <v>51082000</v>
      </c>
      <c r="G68" s="358">
        <v>10975838</v>
      </c>
      <c r="H68" s="357"/>
      <c r="I68" s="358">
        <v>10975838</v>
      </c>
      <c r="J68" s="376">
        <f t="shared" si="12"/>
        <v>40106162</v>
      </c>
      <c r="K68" s="377">
        <f t="shared" si="1"/>
        <v>0.21486703731255627</v>
      </c>
      <c r="L68" s="113">
        <f t="shared" si="2"/>
        <v>0</v>
      </c>
    </row>
    <row r="69" spans="1:12" x14ac:dyDescent="0.25">
      <c r="A69" s="351" t="s">
        <v>341</v>
      </c>
      <c r="B69" s="352" t="s">
        <v>342</v>
      </c>
      <c r="C69" s="357">
        <v>3750000</v>
      </c>
      <c r="D69" s="357"/>
      <c r="E69" s="378"/>
      <c r="F69" s="375">
        <f t="shared" si="11"/>
        <v>3750000</v>
      </c>
      <c r="G69" s="358">
        <v>719100</v>
      </c>
      <c r="H69" s="357"/>
      <c r="I69" s="358">
        <v>719100</v>
      </c>
      <c r="J69" s="376">
        <f t="shared" ref="J69:J133" si="18">+F69-I69</f>
        <v>3030900</v>
      </c>
      <c r="K69" s="377">
        <f t="shared" ref="K69:K84" si="19">+I69/F69</f>
        <v>0.19176000000000001</v>
      </c>
      <c r="L69" s="113">
        <f t="shared" ref="L69:L133" si="20">+I69-G69</f>
        <v>0</v>
      </c>
    </row>
    <row r="70" spans="1:12" x14ac:dyDescent="0.25">
      <c r="A70" s="351" t="s">
        <v>343</v>
      </c>
      <c r="B70" s="352" t="s">
        <v>344</v>
      </c>
      <c r="C70" s="357">
        <v>85445009</v>
      </c>
      <c r="D70" s="357"/>
      <c r="E70" s="378"/>
      <c r="F70" s="375">
        <f t="shared" si="11"/>
        <v>85445009</v>
      </c>
      <c r="G70" s="358">
        <v>41390297</v>
      </c>
      <c r="H70" s="357">
        <v>977317</v>
      </c>
      <c r="I70" s="358">
        <v>41390297</v>
      </c>
      <c r="J70" s="376">
        <f t="shared" si="18"/>
        <v>44054712</v>
      </c>
      <c r="K70" s="377">
        <f t="shared" si="19"/>
        <v>0.48440859781523343</v>
      </c>
      <c r="L70" s="113">
        <f t="shared" si="20"/>
        <v>0</v>
      </c>
    </row>
    <row r="71" spans="1:12" x14ac:dyDescent="0.25">
      <c r="A71" s="351" t="s">
        <v>345</v>
      </c>
      <c r="B71" s="352" t="s">
        <v>346</v>
      </c>
      <c r="C71" s="357">
        <v>24200000</v>
      </c>
      <c r="D71" s="357"/>
      <c r="E71" s="378"/>
      <c r="F71" s="375">
        <f t="shared" si="11"/>
        <v>24200000</v>
      </c>
      <c r="G71" s="358"/>
      <c r="H71" s="357"/>
      <c r="I71" s="358"/>
      <c r="J71" s="376">
        <f t="shared" si="18"/>
        <v>24200000</v>
      </c>
      <c r="K71" s="377">
        <f t="shared" si="19"/>
        <v>0</v>
      </c>
      <c r="L71" s="113">
        <f t="shared" si="20"/>
        <v>0</v>
      </c>
    </row>
    <row r="72" spans="1:12" x14ac:dyDescent="0.25">
      <c r="A72" s="351" t="s">
        <v>347</v>
      </c>
      <c r="B72" s="352" t="s">
        <v>348</v>
      </c>
      <c r="C72" s="357">
        <v>108984085</v>
      </c>
      <c r="D72" s="357"/>
      <c r="E72" s="378"/>
      <c r="F72" s="375">
        <f t="shared" si="11"/>
        <v>108984085</v>
      </c>
      <c r="G72" s="358">
        <v>32597971</v>
      </c>
      <c r="H72" s="357">
        <v>6583000</v>
      </c>
      <c r="I72" s="358">
        <v>32597971</v>
      </c>
      <c r="J72" s="376">
        <f t="shared" si="18"/>
        <v>76386114</v>
      </c>
      <c r="K72" s="377">
        <f t="shared" si="19"/>
        <v>0.29910762658602857</v>
      </c>
      <c r="L72" s="113">
        <f t="shared" si="20"/>
        <v>0</v>
      </c>
    </row>
    <row r="73" spans="1:12" x14ac:dyDescent="0.25">
      <c r="A73" s="351" t="s">
        <v>349</v>
      </c>
      <c r="B73" s="352" t="s">
        <v>350</v>
      </c>
      <c r="C73" s="357">
        <v>40000000</v>
      </c>
      <c r="D73" s="357"/>
      <c r="E73" s="378"/>
      <c r="F73" s="375">
        <f t="shared" si="11"/>
        <v>40000000</v>
      </c>
      <c r="G73" s="358"/>
      <c r="H73" s="357"/>
      <c r="I73" s="358"/>
      <c r="J73" s="376">
        <f t="shared" si="18"/>
        <v>40000000</v>
      </c>
      <c r="K73" s="377">
        <f t="shared" si="19"/>
        <v>0</v>
      </c>
      <c r="L73" s="113">
        <f t="shared" si="20"/>
        <v>0</v>
      </c>
    </row>
    <row r="74" spans="1:12" x14ac:dyDescent="0.25">
      <c r="A74" s="351" t="s">
        <v>351</v>
      </c>
      <c r="B74" s="352" t="s">
        <v>352</v>
      </c>
      <c r="C74" s="357">
        <v>600000</v>
      </c>
      <c r="D74" s="357"/>
      <c r="E74" s="378"/>
      <c r="F74" s="375">
        <f t="shared" si="11"/>
        <v>600000</v>
      </c>
      <c r="G74" s="358"/>
      <c r="H74" s="357"/>
      <c r="I74" s="358"/>
      <c r="J74" s="376">
        <f t="shared" si="18"/>
        <v>600000</v>
      </c>
      <c r="K74" s="377">
        <f t="shared" si="19"/>
        <v>0</v>
      </c>
      <c r="L74" s="113">
        <f t="shared" si="20"/>
        <v>0</v>
      </c>
    </row>
    <row r="75" spans="1:12" x14ac:dyDescent="0.25">
      <c r="A75" s="351" t="s">
        <v>353</v>
      </c>
      <c r="B75" s="352" t="s">
        <v>354</v>
      </c>
      <c r="C75" s="357">
        <v>200000</v>
      </c>
      <c r="D75" s="357"/>
      <c r="E75" s="378"/>
      <c r="F75" s="375">
        <f t="shared" si="11"/>
        <v>200000</v>
      </c>
      <c r="G75" s="358"/>
      <c r="H75" s="357"/>
      <c r="I75" s="358"/>
      <c r="J75" s="376">
        <f t="shared" si="18"/>
        <v>200000</v>
      </c>
      <c r="K75" s="377">
        <f t="shared" si="19"/>
        <v>0</v>
      </c>
      <c r="L75" s="113">
        <f t="shared" si="20"/>
        <v>0</v>
      </c>
    </row>
    <row r="76" spans="1:12" x14ac:dyDescent="0.25">
      <c r="A76" s="351" t="s">
        <v>355</v>
      </c>
      <c r="B76" s="352" t="s">
        <v>356</v>
      </c>
      <c r="C76" s="357">
        <v>400000</v>
      </c>
      <c r="D76" s="357"/>
      <c r="E76" s="378"/>
      <c r="F76" s="375">
        <f t="shared" si="11"/>
        <v>400000</v>
      </c>
      <c r="G76" s="358">
        <v>13220</v>
      </c>
      <c r="H76" s="357"/>
      <c r="I76" s="358">
        <v>13220</v>
      </c>
      <c r="J76" s="376">
        <f t="shared" si="18"/>
        <v>386780</v>
      </c>
      <c r="K76" s="377">
        <f t="shared" si="19"/>
        <v>3.3050000000000003E-2</v>
      </c>
      <c r="L76" s="113">
        <f t="shared" si="20"/>
        <v>0</v>
      </c>
    </row>
    <row r="77" spans="1:12" x14ac:dyDescent="0.25">
      <c r="A77" s="351" t="s">
        <v>357</v>
      </c>
      <c r="B77" s="352" t="s">
        <v>358</v>
      </c>
      <c r="C77" s="357">
        <v>5000</v>
      </c>
      <c r="D77" s="357"/>
      <c r="E77" s="378"/>
      <c r="F77" s="375">
        <f t="shared" si="11"/>
        <v>5000</v>
      </c>
      <c r="G77" s="358"/>
      <c r="H77" s="357"/>
      <c r="I77" s="358"/>
      <c r="J77" s="376">
        <f t="shared" si="18"/>
        <v>5000</v>
      </c>
      <c r="K77" s="377">
        <f t="shared" si="19"/>
        <v>0</v>
      </c>
      <c r="L77" s="113">
        <f t="shared" si="20"/>
        <v>0</v>
      </c>
    </row>
    <row r="78" spans="1:12" x14ac:dyDescent="0.25">
      <c r="A78" s="351" t="s">
        <v>359</v>
      </c>
      <c r="B78" s="352" t="s">
        <v>360</v>
      </c>
      <c r="C78" s="357"/>
      <c r="D78" s="357"/>
      <c r="E78" s="378"/>
      <c r="F78" s="375">
        <f t="shared" si="11"/>
        <v>0</v>
      </c>
      <c r="G78" s="358">
        <v>3915105</v>
      </c>
      <c r="H78" s="357"/>
      <c r="I78" s="358">
        <v>3915105</v>
      </c>
      <c r="J78" s="376">
        <f t="shared" si="18"/>
        <v>-3915105</v>
      </c>
      <c r="K78" s="377" t="e">
        <f t="shared" si="19"/>
        <v>#DIV/0!</v>
      </c>
      <c r="L78" s="113">
        <f t="shared" si="20"/>
        <v>0</v>
      </c>
    </row>
    <row r="79" spans="1:12" x14ac:dyDescent="0.25">
      <c r="A79" s="351" t="s">
        <v>361</v>
      </c>
      <c r="B79" s="352" t="s">
        <v>362</v>
      </c>
      <c r="C79" s="357"/>
      <c r="D79" s="357"/>
      <c r="E79" s="378"/>
      <c r="F79" s="375">
        <f t="shared" ref="F79:F143" si="21">+C79+D79</f>
        <v>0</v>
      </c>
      <c r="G79" s="358">
        <v>505153</v>
      </c>
      <c r="H79" s="357"/>
      <c r="I79" s="358">
        <v>505153</v>
      </c>
      <c r="J79" s="376">
        <f t="shared" si="18"/>
        <v>-505153</v>
      </c>
      <c r="K79" s="377" t="e">
        <f t="shared" si="19"/>
        <v>#DIV/0!</v>
      </c>
      <c r="L79" s="113">
        <f t="shared" si="20"/>
        <v>0</v>
      </c>
    </row>
    <row r="80" spans="1:12" x14ac:dyDescent="0.25">
      <c r="A80" s="351" t="s">
        <v>363</v>
      </c>
      <c r="B80" s="352" t="s">
        <v>364</v>
      </c>
      <c r="C80" s="357">
        <v>128167513</v>
      </c>
      <c r="D80" s="357"/>
      <c r="E80" s="378"/>
      <c r="F80" s="375">
        <f t="shared" si="21"/>
        <v>128167513</v>
      </c>
      <c r="G80" s="358">
        <v>178417978</v>
      </c>
      <c r="H80" s="357">
        <v>10536200</v>
      </c>
      <c r="I80" s="358">
        <v>178417978</v>
      </c>
      <c r="J80" s="376">
        <f t="shared" si="18"/>
        <v>-50250465</v>
      </c>
      <c r="K80" s="377">
        <f t="shared" si="19"/>
        <v>1.3920686593957705</v>
      </c>
      <c r="L80" s="113">
        <f t="shared" si="20"/>
        <v>0</v>
      </c>
    </row>
    <row r="81" spans="1:12" s="20" customFormat="1" x14ac:dyDescent="0.25">
      <c r="A81" s="347" t="s">
        <v>365</v>
      </c>
      <c r="B81" s="348" t="s">
        <v>366</v>
      </c>
      <c r="C81" s="355">
        <f>SUM(C82)</f>
        <v>230000000</v>
      </c>
      <c r="D81" s="355">
        <f t="shared" ref="D81:I82" si="22">SUM(D82)</f>
        <v>0</v>
      </c>
      <c r="E81" s="355">
        <f t="shared" si="22"/>
        <v>0</v>
      </c>
      <c r="F81" s="355">
        <f t="shared" si="22"/>
        <v>230000000</v>
      </c>
      <c r="G81" s="355">
        <f t="shared" si="22"/>
        <v>39934060</v>
      </c>
      <c r="H81" s="355">
        <v>0</v>
      </c>
      <c r="I81" s="355">
        <f t="shared" si="22"/>
        <v>39934060</v>
      </c>
      <c r="J81" s="355">
        <f t="shared" si="18"/>
        <v>190065940</v>
      </c>
      <c r="K81" s="371">
        <f t="shared" si="19"/>
        <v>0.17362634782608696</v>
      </c>
      <c r="L81" s="113">
        <f t="shared" si="20"/>
        <v>0</v>
      </c>
    </row>
    <row r="82" spans="1:12" x14ac:dyDescent="0.25">
      <c r="A82" s="349" t="s">
        <v>367</v>
      </c>
      <c r="B82" s="350" t="s">
        <v>368</v>
      </c>
      <c r="C82" s="356">
        <f>SUM(C83)</f>
        <v>230000000</v>
      </c>
      <c r="D82" s="356">
        <f t="shared" si="22"/>
        <v>0</v>
      </c>
      <c r="E82" s="356">
        <f t="shared" si="22"/>
        <v>0</v>
      </c>
      <c r="F82" s="356">
        <f t="shared" si="22"/>
        <v>230000000</v>
      </c>
      <c r="G82" s="356">
        <f t="shared" si="22"/>
        <v>39934060</v>
      </c>
      <c r="H82" s="356">
        <v>0</v>
      </c>
      <c r="I82" s="356">
        <f t="shared" si="22"/>
        <v>39934060</v>
      </c>
      <c r="J82" s="356">
        <f t="shared" si="18"/>
        <v>190065940</v>
      </c>
      <c r="K82" s="380">
        <f t="shared" si="19"/>
        <v>0.17362634782608696</v>
      </c>
      <c r="L82" s="113">
        <f t="shared" si="20"/>
        <v>0</v>
      </c>
    </row>
    <row r="83" spans="1:12" x14ac:dyDescent="0.25">
      <c r="A83" s="351" t="s">
        <v>369</v>
      </c>
      <c r="B83" s="352" t="s">
        <v>370</v>
      </c>
      <c r="C83" s="357">
        <v>230000000</v>
      </c>
      <c r="D83" s="357"/>
      <c r="E83" s="378"/>
      <c r="F83" s="375">
        <f t="shared" si="21"/>
        <v>230000000</v>
      </c>
      <c r="G83" s="358">
        <v>39934060</v>
      </c>
      <c r="H83" s="357"/>
      <c r="I83" s="358">
        <v>39934060</v>
      </c>
      <c r="J83" s="376">
        <f t="shared" si="18"/>
        <v>190065940</v>
      </c>
      <c r="K83" s="377">
        <f t="shared" si="19"/>
        <v>0.17362634782608696</v>
      </c>
      <c r="L83" s="113">
        <f t="shared" si="20"/>
        <v>0</v>
      </c>
    </row>
    <row r="84" spans="1:12" x14ac:dyDescent="0.25">
      <c r="A84" s="347" t="s">
        <v>371</v>
      </c>
      <c r="B84" s="348" t="s">
        <v>372</v>
      </c>
      <c r="C84" s="355">
        <f>SUM(C87+C105+C108)+C85+C103</f>
        <v>1693296796</v>
      </c>
      <c r="D84" s="355">
        <f t="shared" ref="D84:I84" si="23">SUM(D87+D105+D108)+D85+D103</f>
        <v>0</v>
      </c>
      <c r="E84" s="355">
        <f t="shared" si="23"/>
        <v>0</v>
      </c>
      <c r="F84" s="355">
        <f t="shared" si="23"/>
        <v>1693296796</v>
      </c>
      <c r="G84" s="355">
        <f t="shared" si="23"/>
        <v>1485690238</v>
      </c>
      <c r="H84" s="355">
        <v>33902045</v>
      </c>
      <c r="I84" s="355">
        <f t="shared" si="23"/>
        <v>1485690238</v>
      </c>
      <c r="J84" s="355">
        <f t="shared" si="18"/>
        <v>207606558</v>
      </c>
      <c r="K84" s="355">
        <f t="shared" si="19"/>
        <v>0.87739505650136485</v>
      </c>
      <c r="L84" s="113">
        <f t="shared" si="20"/>
        <v>0</v>
      </c>
    </row>
    <row r="85" spans="1:12" x14ac:dyDescent="0.25">
      <c r="A85" s="347">
        <v>1125202</v>
      </c>
      <c r="B85" s="348" t="s">
        <v>883</v>
      </c>
      <c r="C85" s="355">
        <f>+C86</f>
        <v>0</v>
      </c>
      <c r="D85" s="355">
        <v>0</v>
      </c>
      <c r="E85" s="355">
        <f>+E86</f>
        <v>0</v>
      </c>
      <c r="F85" s="355">
        <f t="shared" si="21"/>
        <v>0</v>
      </c>
      <c r="G85" s="355">
        <v>10869600</v>
      </c>
      <c r="H85" s="355">
        <v>0</v>
      </c>
      <c r="I85" s="355">
        <v>10869600</v>
      </c>
      <c r="J85" s="355">
        <f t="shared" si="18"/>
        <v>-10869600</v>
      </c>
      <c r="K85" s="355">
        <f>+K86</f>
        <v>0</v>
      </c>
      <c r="L85" s="113">
        <f t="shared" si="20"/>
        <v>0</v>
      </c>
    </row>
    <row r="86" spans="1:12" x14ac:dyDescent="0.25">
      <c r="A86" s="351">
        <v>112520201</v>
      </c>
      <c r="B86" s="352" t="s">
        <v>884</v>
      </c>
      <c r="C86" s="357"/>
      <c r="D86" s="357"/>
      <c r="E86" s="378"/>
      <c r="F86" s="375">
        <f t="shared" si="21"/>
        <v>0</v>
      </c>
      <c r="G86" s="358">
        <v>10869600</v>
      </c>
      <c r="H86" s="357"/>
      <c r="I86" s="358">
        <v>10869600</v>
      </c>
      <c r="J86" s="376">
        <f t="shared" si="18"/>
        <v>-10869600</v>
      </c>
      <c r="K86" s="377"/>
      <c r="L86" s="113">
        <f t="shared" si="20"/>
        <v>0</v>
      </c>
    </row>
    <row r="87" spans="1:12" x14ac:dyDescent="0.25">
      <c r="A87" s="347" t="s">
        <v>373</v>
      </c>
      <c r="B87" s="348" t="s">
        <v>374</v>
      </c>
      <c r="C87" s="355">
        <f>SUM(C94+C88)</f>
        <v>346400000</v>
      </c>
      <c r="D87" s="355">
        <f t="shared" ref="D87:I87" si="24">SUM(D94+D88)</f>
        <v>0</v>
      </c>
      <c r="E87" s="355">
        <f t="shared" si="24"/>
        <v>0</v>
      </c>
      <c r="F87" s="355">
        <f t="shared" si="24"/>
        <v>346400000</v>
      </c>
      <c r="G87" s="355">
        <f t="shared" si="24"/>
        <v>571048283</v>
      </c>
      <c r="H87" s="355">
        <v>31002242</v>
      </c>
      <c r="I87" s="355">
        <f t="shared" si="24"/>
        <v>571048283</v>
      </c>
      <c r="J87" s="355">
        <f t="shared" si="18"/>
        <v>-224648283</v>
      </c>
      <c r="K87" s="371">
        <f t="shared" ref="K87:K141" si="25">+I87/F87</f>
        <v>1.6485227569284064</v>
      </c>
      <c r="L87" s="113">
        <f t="shared" si="20"/>
        <v>0</v>
      </c>
    </row>
    <row r="88" spans="1:12" x14ac:dyDescent="0.25">
      <c r="A88" s="349" t="s">
        <v>375</v>
      </c>
      <c r="B88" s="350" t="s">
        <v>46</v>
      </c>
      <c r="C88" s="356">
        <f>SUM(C89:C93)</f>
        <v>180600000</v>
      </c>
      <c r="D88" s="356">
        <f t="shared" ref="D88:I88" si="26">SUM(D89:D93)</f>
        <v>0</v>
      </c>
      <c r="E88" s="356">
        <f t="shared" si="26"/>
        <v>0</v>
      </c>
      <c r="F88" s="356">
        <f t="shared" si="26"/>
        <v>180600000</v>
      </c>
      <c r="G88" s="356">
        <f t="shared" si="26"/>
        <v>400997758</v>
      </c>
      <c r="H88" s="356">
        <v>14594792</v>
      </c>
      <c r="I88" s="356">
        <f t="shared" si="26"/>
        <v>400997758</v>
      </c>
      <c r="J88" s="356">
        <f t="shared" si="18"/>
        <v>-220397758</v>
      </c>
      <c r="K88" s="380">
        <f t="shared" si="25"/>
        <v>2.2203641085271317</v>
      </c>
      <c r="L88" s="113">
        <f t="shared" si="20"/>
        <v>0</v>
      </c>
    </row>
    <row r="89" spans="1:12" x14ac:dyDescent="0.25">
      <c r="A89" s="351" t="s">
        <v>376</v>
      </c>
      <c r="B89" s="352" t="s">
        <v>47</v>
      </c>
      <c r="C89" s="357">
        <v>169000000</v>
      </c>
      <c r="D89" s="357"/>
      <c r="E89" s="378"/>
      <c r="F89" s="375">
        <f t="shared" si="21"/>
        <v>169000000</v>
      </c>
      <c r="G89" s="358">
        <v>362733358</v>
      </c>
      <c r="H89" s="357">
        <v>14594792</v>
      </c>
      <c r="I89" s="358">
        <v>362733358</v>
      </c>
      <c r="J89" s="376">
        <f t="shared" si="18"/>
        <v>-193733358</v>
      </c>
      <c r="K89" s="377">
        <f t="shared" si="25"/>
        <v>2.146351230769231</v>
      </c>
      <c r="L89" s="113">
        <f t="shared" si="20"/>
        <v>0</v>
      </c>
    </row>
    <row r="90" spans="1:12" x14ac:dyDescent="0.25">
      <c r="A90" s="351" t="s">
        <v>377</v>
      </c>
      <c r="B90" s="352" t="s">
        <v>48</v>
      </c>
      <c r="C90" s="357">
        <v>200000</v>
      </c>
      <c r="D90" s="357"/>
      <c r="E90" s="378"/>
      <c r="F90" s="375">
        <f t="shared" si="21"/>
        <v>200000</v>
      </c>
      <c r="G90" s="358">
        <v>0</v>
      </c>
      <c r="H90" s="357"/>
      <c r="I90" s="358">
        <v>0</v>
      </c>
      <c r="J90" s="376">
        <f t="shared" si="18"/>
        <v>200000</v>
      </c>
      <c r="K90" s="377">
        <f t="shared" si="25"/>
        <v>0</v>
      </c>
      <c r="L90" s="113">
        <f t="shared" si="20"/>
        <v>0</v>
      </c>
    </row>
    <row r="91" spans="1:12" s="20" customFormat="1" x14ac:dyDescent="0.25">
      <c r="A91" s="351" t="s">
        <v>378</v>
      </c>
      <c r="B91" s="352" t="s">
        <v>49</v>
      </c>
      <c r="C91" s="357">
        <v>200000</v>
      </c>
      <c r="D91" s="357"/>
      <c r="E91" s="378"/>
      <c r="F91" s="375">
        <f t="shared" si="21"/>
        <v>200000</v>
      </c>
      <c r="G91" s="358">
        <v>1705000</v>
      </c>
      <c r="H91" s="357"/>
      <c r="I91" s="358">
        <v>1705000</v>
      </c>
      <c r="J91" s="376">
        <f t="shared" si="18"/>
        <v>-1505000</v>
      </c>
      <c r="K91" s="377">
        <f t="shared" si="25"/>
        <v>8.5250000000000004</v>
      </c>
      <c r="L91" s="113">
        <f t="shared" si="20"/>
        <v>0</v>
      </c>
    </row>
    <row r="92" spans="1:12" x14ac:dyDescent="0.25">
      <c r="A92" s="351" t="s">
        <v>379</v>
      </c>
      <c r="B92" s="352" t="s">
        <v>50</v>
      </c>
      <c r="C92" s="357">
        <v>10000000</v>
      </c>
      <c r="D92" s="357"/>
      <c r="E92" s="378"/>
      <c r="F92" s="375">
        <f t="shared" si="21"/>
        <v>10000000</v>
      </c>
      <c r="G92" s="358">
        <v>28105400</v>
      </c>
      <c r="H92" s="357"/>
      <c r="I92" s="358">
        <v>28105400</v>
      </c>
      <c r="J92" s="376">
        <f t="shared" si="18"/>
        <v>-18105400</v>
      </c>
      <c r="K92" s="377">
        <f t="shared" si="25"/>
        <v>2.81054</v>
      </c>
      <c r="L92" s="113">
        <f t="shared" si="20"/>
        <v>0</v>
      </c>
    </row>
    <row r="93" spans="1:12" x14ac:dyDescent="0.25">
      <c r="A93" s="351" t="s">
        <v>380</v>
      </c>
      <c r="B93" s="352" t="s">
        <v>51</v>
      </c>
      <c r="C93" s="357">
        <v>1200000</v>
      </c>
      <c r="D93" s="357"/>
      <c r="E93" s="378"/>
      <c r="F93" s="375">
        <f t="shared" si="21"/>
        <v>1200000</v>
      </c>
      <c r="G93" s="358">
        <v>8454000</v>
      </c>
      <c r="H93" s="357"/>
      <c r="I93" s="358">
        <v>8454000</v>
      </c>
      <c r="J93" s="376">
        <f t="shared" si="18"/>
        <v>-7254000</v>
      </c>
      <c r="K93" s="377">
        <f t="shared" si="25"/>
        <v>7.0449999999999999</v>
      </c>
      <c r="L93" s="113">
        <f t="shared" si="20"/>
        <v>0</v>
      </c>
    </row>
    <row r="94" spans="1:12" x14ac:dyDescent="0.25">
      <c r="A94" s="347" t="s">
        <v>381</v>
      </c>
      <c r="B94" s="348" t="s">
        <v>52</v>
      </c>
      <c r="C94" s="355">
        <f>SUM(C95)</f>
        <v>165800000</v>
      </c>
      <c r="D94" s="355">
        <f t="shared" ref="D94:I94" si="27">SUM(D95)</f>
        <v>0</v>
      </c>
      <c r="E94" s="355">
        <f t="shared" si="27"/>
        <v>0</v>
      </c>
      <c r="F94" s="355">
        <f t="shared" si="27"/>
        <v>165800000</v>
      </c>
      <c r="G94" s="355">
        <f t="shared" si="27"/>
        <v>170050525</v>
      </c>
      <c r="H94" s="355">
        <v>16407450</v>
      </c>
      <c r="I94" s="355">
        <f t="shared" si="27"/>
        <v>170050525</v>
      </c>
      <c r="J94" s="355">
        <f t="shared" si="18"/>
        <v>-4250525</v>
      </c>
      <c r="K94" s="371">
        <f t="shared" si="25"/>
        <v>1.0256364595898673</v>
      </c>
      <c r="L94" s="113">
        <f t="shared" si="20"/>
        <v>0</v>
      </c>
    </row>
    <row r="95" spans="1:12" x14ac:dyDescent="0.25">
      <c r="A95" s="349" t="s">
        <v>382</v>
      </c>
      <c r="B95" s="350" t="s">
        <v>53</v>
      </c>
      <c r="C95" s="356">
        <f>SUM(C96:C102)</f>
        <v>165800000</v>
      </c>
      <c r="D95" s="356">
        <f t="shared" ref="D95:I95" si="28">SUM(D96:D102)</f>
        <v>0</v>
      </c>
      <c r="E95" s="356">
        <f t="shared" si="28"/>
        <v>0</v>
      </c>
      <c r="F95" s="356">
        <f t="shared" si="28"/>
        <v>165800000</v>
      </c>
      <c r="G95" s="356">
        <f t="shared" si="28"/>
        <v>170050525</v>
      </c>
      <c r="H95" s="356">
        <v>16407450</v>
      </c>
      <c r="I95" s="356">
        <f t="shared" si="28"/>
        <v>170050525</v>
      </c>
      <c r="J95" s="356">
        <f t="shared" si="18"/>
        <v>-4250525</v>
      </c>
      <c r="K95" s="380">
        <f t="shared" si="25"/>
        <v>1.0256364595898673</v>
      </c>
      <c r="L95" s="113">
        <f t="shared" si="20"/>
        <v>0</v>
      </c>
    </row>
    <row r="96" spans="1:12" x14ac:dyDescent="0.25">
      <c r="A96" s="351" t="s">
        <v>383</v>
      </c>
      <c r="B96" s="352" t="s">
        <v>54</v>
      </c>
      <c r="C96" s="357">
        <v>24000000</v>
      </c>
      <c r="D96" s="357"/>
      <c r="E96" s="378"/>
      <c r="F96" s="375">
        <f t="shared" si="21"/>
        <v>24000000</v>
      </c>
      <c r="G96" s="358">
        <v>34349500</v>
      </c>
      <c r="H96" s="357">
        <v>3759000</v>
      </c>
      <c r="I96" s="358">
        <v>34349500</v>
      </c>
      <c r="J96" s="376">
        <f t="shared" si="18"/>
        <v>-10349500</v>
      </c>
      <c r="K96" s="377">
        <f t="shared" si="25"/>
        <v>1.4312291666666668</v>
      </c>
      <c r="L96" s="113">
        <f t="shared" si="20"/>
        <v>0</v>
      </c>
    </row>
    <row r="97" spans="1:13" x14ac:dyDescent="0.25">
      <c r="A97" s="351" t="s">
        <v>384</v>
      </c>
      <c r="B97" s="352" t="s">
        <v>55</v>
      </c>
      <c r="C97" s="357">
        <v>1200000</v>
      </c>
      <c r="D97" s="357"/>
      <c r="E97" s="378"/>
      <c r="F97" s="375">
        <f t="shared" si="21"/>
        <v>1200000</v>
      </c>
      <c r="G97" s="358">
        <v>4399000</v>
      </c>
      <c r="H97" s="357"/>
      <c r="I97" s="358">
        <v>4399000</v>
      </c>
      <c r="J97" s="376">
        <f t="shared" si="18"/>
        <v>-3199000</v>
      </c>
      <c r="K97" s="377">
        <f t="shared" si="25"/>
        <v>3.6658333333333335</v>
      </c>
      <c r="L97" s="113">
        <f t="shared" si="20"/>
        <v>0</v>
      </c>
    </row>
    <row r="98" spans="1:13" x14ac:dyDescent="0.25">
      <c r="A98" s="351" t="s">
        <v>385</v>
      </c>
      <c r="B98" s="352" t="s">
        <v>56</v>
      </c>
      <c r="C98" s="357">
        <v>600000</v>
      </c>
      <c r="D98" s="357"/>
      <c r="E98" s="378"/>
      <c r="F98" s="375">
        <f t="shared" si="21"/>
        <v>600000</v>
      </c>
      <c r="G98" s="358">
        <v>2000000</v>
      </c>
      <c r="H98" s="357">
        <v>500000</v>
      </c>
      <c r="I98" s="358">
        <v>2000000</v>
      </c>
      <c r="J98" s="376">
        <f t="shared" si="18"/>
        <v>-1400000</v>
      </c>
      <c r="K98" s="377">
        <f t="shared" si="25"/>
        <v>3.3333333333333335</v>
      </c>
      <c r="L98" s="113">
        <f t="shared" si="20"/>
        <v>0</v>
      </c>
    </row>
    <row r="99" spans="1:13" x14ac:dyDescent="0.25">
      <c r="A99" s="351" t="s">
        <v>386</v>
      </c>
      <c r="B99" s="352" t="s">
        <v>57</v>
      </c>
      <c r="C99" s="357">
        <v>28000000</v>
      </c>
      <c r="D99" s="357"/>
      <c r="E99" s="378"/>
      <c r="F99" s="375">
        <f t="shared" si="21"/>
        <v>28000000</v>
      </c>
      <c r="G99" s="358">
        <v>28180900</v>
      </c>
      <c r="H99" s="357"/>
      <c r="I99" s="358">
        <v>28180900</v>
      </c>
      <c r="J99" s="376">
        <f t="shared" si="18"/>
        <v>-180900</v>
      </c>
      <c r="K99" s="377">
        <f t="shared" si="25"/>
        <v>1.0064607142857143</v>
      </c>
      <c r="L99" s="113">
        <f t="shared" si="20"/>
        <v>0</v>
      </c>
    </row>
    <row r="100" spans="1:13" x14ac:dyDescent="0.25">
      <c r="A100" s="351" t="s">
        <v>387</v>
      </c>
      <c r="B100" s="352" t="s">
        <v>58</v>
      </c>
      <c r="C100" s="357">
        <v>40000000</v>
      </c>
      <c r="D100" s="357"/>
      <c r="E100" s="378"/>
      <c r="F100" s="375">
        <f t="shared" si="21"/>
        <v>40000000</v>
      </c>
      <c r="G100" s="358">
        <v>15244625</v>
      </c>
      <c r="H100" s="357">
        <v>1564650</v>
      </c>
      <c r="I100" s="358">
        <v>15244625</v>
      </c>
      <c r="J100" s="376">
        <f t="shared" si="18"/>
        <v>24755375</v>
      </c>
      <c r="K100" s="377">
        <f t="shared" si="25"/>
        <v>0.38111562500000001</v>
      </c>
      <c r="L100" s="113">
        <f t="shared" si="20"/>
        <v>0</v>
      </c>
    </row>
    <row r="101" spans="1:13" x14ac:dyDescent="0.25">
      <c r="A101" s="351" t="s">
        <v>388</v>
      </c>
      <c r="B101" s="352" t="s">
        <v>59</v>
      </c>
      <c r="C101" s="357">
        <v>12000000</v>
      </c>
      <c r="D101" s="357"/>
      <c r="E101" s="378"/>
      <c r="F101" s="375">
        <f t="shared" si="21"/>
        <v>12000000</v>
      </c>
      <c r="G101" s="358">
        <v>11046500</v>
      </c>
      <c r="H101" s="357">
        <v>1499500</v>
      </c>
      <c r="I101" s="358">
        <v>11046500</v>
      </c>
      <c r="J101" s="376">
        <f t="shared" si="18"/>
        <v>953500</v>
      </c>
      <c r="K101" s="377">
        <f t="shared" si="25"/>
        <v>0.9205416666666667</v>
      </c>
      <c r="L101" s="113">
        <f t="shared" si="20"/>
        <v>0</v>
      </c>
    </row>
    <row r="102" spans="1:13" x14ac:dyDescent="0.25">
      <c r="A102" s="351" t="s">
        <v>389</v>
      </c>
      <c r="B102" s="352" t="s">
        <v>60</v>
      </c>
      <c r="C102" s="357">
        <v>60000000</v>
      </c>
      <c r="D102" s="357"/>
      <c r="E102" s="378"/>
      <c r="F102" s="375">
        <f t="shared" si="21"/>
        <v>60000000</v>
      </c>
      <c r="G102" s="358">
        <v>74830000</v>
      </c>
      <c r="H102" s="357">
        <v>9084300</v>
      </c>
      <c r="I102" s="358">
        <v>74830000</v>
      </c>
      <c r="J102" s="376">
        <f t="shared" si="18"/>
        <v>-14830000</v>
      </c>
      <c r="K102" s="377">
        <f t="shared" si="25"/>
        <v>1.2471666666666668</v>
      </c>
      <c r="L102" s="113">
        <f t="shared" si="20"/>
        <v>0</v>
      </c>
    </row>
    <row r="103" spans="1:13" x14ac:dyDescent="0.25">
      <c r="A103" s="349">
        <v>11255</v>
      </c>
      <c r="B103" s="350" t="s">
        <v>874</v>
      </c>
      <c r="C103" s="356">
        <f>+C104</f>
        <v>0</v>
      </c>
      <c r="D103" s="356">
        <f t="shared" ref="D103:I103" si="29">+D104</f>
        <v>0</v>
      </c>
      <c r="E103" s="356">
        <f t="shared" si="29"/>
        <v>0</v>
      </c>
      <c r="F103" s="356">
        <f t="shared" si="29"/>
        <v>0</v>
      </c>
      <c r="G103" s="356">
        <f t="shared" si="29"/>
        <v>10854800</v>
      </c>
      <c r="H103" s="356">
        <v>0</v>
      </c>
      <c r="I103" s="356">
        <f t="shared" si="29"/>
        <v>10854800</v>
      </c>
      <c r="J103" s="356">
        <f t="shared" si="18"/>
        <v>-10854800</v>
      </c>
      <c r="K103" s="380" t="e">
        <f t="shared" si="25"/>
        <v>#DIV/0!</v>
      </c>
      <c r="L103" s="113">
        <f t="shared" si="20"/>
        <v>0</v>
      </c>
    </row>
    <row r="104" spans="1:13" s="20" customFormat="1" x14ac:dyDescent="0.25">
      <c r="A104" s="351">
        <v>1125501</v>
      </c>
      <c r="B104" s="352" t="s">
        <v>873</v>
      </c>
      <c r="C104" s="357"/>
      <c r="D104" s="357"/>
      <c r="E104" s="378"/>
      <c r="F104" s="375">
        <f t="shared" si="21"/>
        <v>0</v>
      </c>
      <c r="G104" s="358">
        <v>10854800</v>
      </c>
      <c r="H104" s="357"/>
      <c r="I104" s="358">
        <v>10854800</v>
      </c>
      <c r="J104" s="376">
        <f t="shared" si="18"/>
        <v>-10854800</v>
      </c>
      <c r="K104" s="377" t="e">
        <f t="shared" si="25"/>
        <v>#DIV/0!</v>
      </c>
      <c r="L104" s="113">
        <f t="shared" si="20"/>
        <v>0</v>
      </c>
      <c r="M104" s="2"/>
    </row>
    <row r="105" spans="1:13" x14ac:dyDescent="0.25">
      <c r="A105" s="349" t="s">
        <v>390</v>
      </c>
      <c r="B105" s="350" t="s">
        <v>391</v>
      </c>
      <c r="C105" s="356">
        <f>SUM(C106)</f>
        <v>94000000</v>
      </c>
      <c r="D105" s="356">
        <f t="shared" ref="D105:I105" si="30">SUM(D106)</f>
        <v>0</v>
      </c>
      <c r="E105" s="356">
        <f t="shared" si="30"/>
        <v>0</v>
      </c>
      <c r="F105" s="356">
        <f t="shared" si="30"/>
        <v>94000000</v>
      </c>
      <c r="G105" s="356">
        <f t="shared" si="30"/>
        <v>83574554</v>
      </c>
      <c r="H105" s="356">
        <v>0</v>
      </c>
      <c r="I105" s="356">
        <f t="shared" si="30"/>
        <v>83574554</v>
      </c>
      <c r="J105" s="356">
        <f t="shared" si="18"/>
        <v>10425446</v>
      </c>
      <c r="K105" s="380">
        <f t="shared" si="25"/>
        <v>0.88909099999999996</v>
      </c>
      <c r="L105" s="113">
        <f t="shared" si="20"/>
        <v>0</v>
      </c>
    </row>
    <row r="106" spans="1:13" x14ac:dyDescent="0.25">
      <c r="A106" s="351" t="s">
        <v>392</v>
      </c>
      <c r="B106" s="352" t="s">
        <v>393</v>
      </c>
      <c r="C106" s="357">
        <v>94000000</v>
      </c>
      <c r="D106" s="357"/>
      <c r="E106" s="378"/>
      <c r="F106" s="375">
        <f t="shared" si="21"/>
        <v>94000000</v>
      </c>
      <c r="G106" s="358">
        <v>83574554</v>
      </c>
      <c r="H106" s="357"/>
      <c r="I106" s="358">
        <v>83574554</v>
      </c>
      <c r="J106" s="376">
        <f t="shared" si="18"/>
        <v>10425446</v>
      </c>
      <c r="K106" s="377">
        <f t="shared" si="25"/>
        <v>0.88909099999999996</v>
      </c>
      <c r="L106" s="113">
        <f t="shared" si="20"/>
        <v>0</v>
      </c>
      <c r="M106" s="20"/>
    </row>
    <row r="107" spans="1:13" x14ac:dyDescent="0.25">
      <c r="A107" s="351"/>
      <c r="B107" s="352"/>
      <c r="C107" s="357"/>
      <c r="D107" s="357"/>
      <c r="E107" s="378"/>
      <c r="F107" s="375"/>
      <c r="G107" s="358"/>
      <c r="H107" s="357"/>
      <c r="I107" s="358"/>
      <c r="J107" s="376"/>
      <c r="K107" s="377"/>
      <c r="L107" s="113"/>
      <c r="M107" s="20"/>
    </row>
    <row r="108" spans="1:13" x14ac:dyDescent="0.25">
      <c r="A108" s="347" t="s">
        <v>394</v>
      </c>
      <c r="B108" s="348" t="s">
        <v>395</v>
      </c>
      <c r="C108" s="355">
        <f>+C109+C110</f>
        <v>1252896796</v>
      </c>
      <c r="D108" s="355">
        <f t="shared" ref="D108:I108" si="31">+D109+D110</f>
        <v>0</v>
      </c>
      <c r="E108" s="355">
        <f t="shared" si="31"/>
        <v>0</v>
      </c>
      <c r="F108" s="355">
        <f t="shared" si="31"/>
        <v>1252896796</v>
      </c>
      <c r="G108" s="355">
        <f t="shared" si="31"/>
        <v>809343001</v>
      </c>
      <c r="H108" s="355">
        <v>2899803</v>
      </c>
      <c r="I108" s="355">
        <f t="shared" si="31"/>
        <v>809343001</v>
      </c>
      <c r="J108" s="355">
        <f t="shared" si="18"/>
        <v>443553795</v>
      </c>
      <c r="K108" s="371">
        <f t="shared" si="25"/>
        <v>0.64597738902670165</v>
      </c>
      <c r="L108" s="113">
        <f t="shared" si="20"/>
        <v>0</v>
      </c>
    </row>
    <row r="109" spans="1:13" s="20" customFormat="1" x14ac:dyDescent="0.25">
      <c r="A109" s="351" t="s">
        <v>396</v>
      </c>
      <c r="B109" s="352" t="s">
        <v>397</v>
      </c>
      <c r="C109" s="357"/>
      <c r="D109" s="357"/>
      <c r="E109" s="378"/>
      <c r="F109" s="375">
        <f t="shared" si="21"/>
        <v>0</v>
      </c>
      <c r="G109" s="358">
        <v>153625122</v>
      </c>
      <c r="H109" s="357">
        <v>2899803</v>
      </c>
      <c r="I109" s="358">
        <v>153625122</v>
      </c>
      <c r="J109" s="376">
        <f t="shared" si="18"/>
        <v>-153625122</v>
      </c>
      <c r="K109" s="377" t="e">
        <f t="shared" si="25"/>
        <v>#DIV/0!</v>
      </c>
      <c r="L109" s="113">
        <f t="shared" si="20"/>
        <v>0</v>
      </c>
      <c r="M109" s="2"/>
    </row>
    <row r="110" spans="1:13" x14ac:dyDescent="0.25">
      <c r="A110" s="347" t="s">
        <v>398</v>
      </c>
      <c r="B110" s="348" t="s">
        <v>399</v>
      </c>
      <c r="C110" s="355">
        <f>+C111</f>
        <v>1252896796</v>
      </c>
      <c r="D110" s="355">
        <f t="shared" ref="D110:I110" si="32">+D111</f>
        <v>0</v>
      </c>
      <c r="E110" s="355">
        <f t="shared" si="32"/>
        <v>0</v>
      </c>
      <c r="F110" s="355">
        <f t="shared" si="32"/>
        <v>1252896796</v>
      </c>
      <c r="G110" s="355">
        <f t="shared" si="32"/>
        <v>655717879</v>
      </c>
      <c r="H110" s="355"/>
      <c r="I110" s="355">
        <f t="shared" si="32"/>
        <v>655717879</v>
      </c>
      <c r="J110" s="355">
        <f t="shared" si="18"/>
        <v>597178917</v>
      </c>
      <c r="K110" s="371">
        <f t="shared" si="25"/>
        <v>0.52336144612504865</v>
      </c>
      <c r="L110" s="113">
        <f t="shared" si="20"/>
        <v>0</v>
      </c>
    </row>
    <row r="111" spans="1:13" x14ac:dyDescent="0.25">
      <c r="A111" s="349" t="s">
        <v>400</v>
      </c>
      <c r="B111" s="350" t="s">
        <v>401</v>
      </c>
      <c r="C111" s="356">
        <f>+C112+C113+C126</f>
        <v>1252896796</v>
      </c>
      <c r="D111" s="356">
        <f t="shared" ref="D111:I111" si="33">+D112+D113+D126</f>
        <v>0</v>
      </c>
      <c r="E111" s="356">
        <f t="shared" si="33"/>
        <v>0</v>
      </c>
      <c r="F111" s="356">
        <f t="shared" si="33"/>
        <v>1252896796</v>
      </c>
      <c r="G111" s="356">
        <f t="shared" si="33"/>
        <v>655717879</v>
      </c>
      <c r="H111" s="356">
        <v>89357494</v>
      </c>
      <c r="I111" s="356">
        <f t="shared" si="33"/>
        <v>655717879</v>
      </c>
      <c r="J111" s="356">
        <f t="shared" si="18"/>
        <v>597178917</v>
      </c>
      <c r="K111" s="380">
        <f t="shared" si="25"/>
        <v>0.52336144612504865</v>
      </c>
      <c r="L111" s="113">
        <f t="shared" si="20"/>
        <v>0</v>
      </c>
    </row>
    <row r="112" spans="1:13" x14ac:dyDescent="0.25">
      <c r="A112" s="351" t="s">
        <v>402</v>
      </c>
      <c r="B112" s="352" t="s">
        <v>403</v>
      </c>
      <c r="C112" s="357">
        <v>60000000</v>
      </c>
      <c r="D112" s="357"/>
      <c r="E112" s="378"/>
      <c r="F112" s="375">
        <f t="shared" si="21"/>
        <v>60000000</v>
      </c>
      <c r="G112" s="358">
        <v>771000</v>
      </c>
      <c r="H112" s="357"/>
      <c r="I112" s="358">
        <v>771000</v>
      </c>
      <c r="J112" s="376">
        <f t="shared" si="18"/>
        <v>59229000</v>
      </c>
      <c r="K112" s="377">
        <f t="shared" si="25"/>
        <v>1.285E-2</v>
      </c>
      <c r="L112" s="113">
        <f t="shared" si="20"/>
        <v>0</v>
      </c>
    </row>
    <row r="113" spans="1:12" x14ac:dyDescent="0.25">
      <c r="A113" s="349" t="s">
        <v>404</v>
      </c>
      <c r="B113" s="350" t="s">
        <v>405</v>
      </c>
      <c r="C113" s="356">
        <f>SUM(C114:C125)</f>
        <v>1192896796</v>
      </c>
      <c r="D113" s="356">
        <f t="shared" ref="D113:I113" si="34">SUM(D114:D125)</f>
        <v>0</v>
      </c>
      <c r="E113" s="356">
        <f t="shared" si="34"/>
        <v>0</v>
      </c>
      <c r="F113" s="356">
        <f t="shared" si="34"/>
        <v>1192896796</v>
      </c>
      <c r="G113" s="356">
        <f t="shared" si="34"/>
        <v>597958630</v>
      </c>
      <c r="H113" s="356">
        <v>85539144</v>
      </c>
      <c r="I113" s="356">
        <f t="shared" si="34"/>
        <v>597958630</v>
      </c>
      <c r="J113" s="356">
        <f t="shared" si="18"/>
        <v>594938166</v>
      </c>
      <c r="K113" s="380">
        <f t="shared" si="25"/>
        <v>0.50126602066923487</v>
      </c>
      <c r="L113" s="113">
        <f t="shared" si="20"/>
        <v>0</v>
      </c>
    </row>
    <row r="114" spans="1:12" x14ac:dyDescent="0.25">
      <c r="A114" s="351" t="s">
        <v>406</v>
      </c>
      <c r="B114" s="352" t="s">
        <v>407</v>
      </c>
      <c r="C114" s="357">
        <v>63999996</v>
      </c>
      <c r="D114" s="357"/>
      <c r="E114" s="378"/>
      <c r="F114" s="375">
        <f t="shared" si="21"/>
        <v>63999996</v>
      </c>
      <c r="G114" s="358">
        <v>203288142</v>
      </c>
      <c r="H114" s="357">
        <v>34859526</v>
      </c>
      <c r="I114" s="358">
        <v>203288142</v>
      </c>
      <c r="J114" s="376">
        <f t="shared" si="18"/>
        <v>-139288146</v>
      </c>
      <c r="K114" s="377">
        <f t="shared" si="25"/>
        <v>3.1763774172735886</v>
      </c>
      <c r="L114" s="113">
        <f t="shared" si="20"/>
        <v>0</v>
      </c>
    </row>
    <row r="115" spans="1:12" x14ac:dyDescent="0.25">
      <c r="A115" s="351" t="s">
        <v>408</v>
      </c>
      <c r="B115" s="352" t="s">
        <v>409</v>
      </c>
      <c r="C115" s="357">
        <v>164736000</v>
      </c>
      <c r="D115" s="357"/>
      <c r="E115" s="378"/>
      <c r="F115" s="375">
        <f t="shared" si="21"/>
        <v>164736000</v>
      </c>
      <c r="G115" s="358">
        <v>117099912</v>
      </c>
      <c r="H115" s="357">
        <v>17456074</v>
      </c>
      <c r="I115" s="358">
        <v>117099912</v>
      </c>
      <c r="J115" s="376">
        <f t="shared" si="18"/>
        <v>47636088</v>
      </c>
      <c r="K115" s="377">
        <f t="shared" si="25"/>
        <v>0.71083377039627038</v>
      </c>
      <c r="L115" s="113">
        <f t="shared" si="20"/>
        <v>0</v>
      </c>
    </row>
    <row r="116" spans="1:12" x14ac:dyDescent="0.25">
      <c r="A116" s="351" t="s">
        <v>410</v>
      </c>
      <c r="B116" s="352" t="s">
        <v>411</v>
      </c>
      <c r="C116" s="357">
        <v>47712000</v>
      </c>
      <c r="D116" s="357"/>
      <c r="E116" s="378"/>
      <c r="F116" s="375">
        <f t="shared" si="21"/>
        <v>47712000</v>
      </c>
      <c r="G116" s="358">
        <v>92891961</v>
      </c>
      <c r="H116" s="357">
        <v>12304008</v>
      </c>
      <c r="I116" s="358">
        <v>92891961</v>
      </c>
      <c r="J116" s="376">
        <f t="shared" si="18"/>
        <v>-45179961</v>
      </c>
      <c r="K116" s="377">
        <f t="shared" si="25"/>
        <v>1.9469307721327969</v>
      </c>
      <c r="L116" s="113">
        <f t="shared" si="20"/>
        <v>0</v>
      </c>
    </row>
    <row r="117" spans="1:12" x14ac:dyDescent="0.25">
      <c r="A117" s="351" t="s">
        <v>412</v>
      </c>
      <c r="B117" s="352" t="s">
        <v>413</v>
      </c>
      <c r="C117" s="357">
        <v>48000000</v>
      </c>
      <c r="D117" s="357"/>
      <c r="E117" s="378"/>
      <c r="F117" s="375">
        <f t="shared" si="21"/>
        <v>48000000</v>
      </c>
      <c r="G117" s="358">
        <v>18545949</v>
      </c>
      <c r="H117" s="357">
        <v>2450333</v>
      </c>
      <c r="I117" s="358">
        <v>18545949</v>
      </c>
      <c r="J117" s="376">
        <f t="shared" si="18"/>
        <v>29454051</v>
      </c>
      <c r="K117" s="377">
        <f t="shared" si="25"/>
        <v>0.38637393749999999</v>
      </c>
      <c r="L117" s="113">
        <f t="shared" si="20"/>
        <v>0</v>
      </c>
    </row>
    <row r="118" spans="1:12" x14ac:dyDescent="0.25">
      <c r="A118" s="351" t="s">
        <v>414</v>
      </c>
      <c r="B118" s="352" t="s">
        <v>415</v>
      </c>
      <c r="C118" s="357">
        <v>132099996</v>
      </c>
      <c r="D118" s="357"/>
      <c r="E118" s="378"/>
      <c r="F118" s="375">
        <f t="shared" si="21"/>
        <v>132099996</v>
      </c>
      <c r="G118" s="358">
        <v>88411686</v>
      </c>
      <c r="H118" s="357">
        <v>11774907</v>
      </c>
      <c r="I118" s="358">
        <v>88411686</v>
      </c>
      <c r="J118" s="376">
        <f t="shared" si="18"/>
        <v>43688310</v>
      </c>
      <c r="K118" s="377">
        <f t="shared" si="25"/>
        <v>0.66927849112122606</v>
      </c>
      <c r="L118" s="113">
        <f t="shared" si="20"/>
        <v>0</v>
      </c>
    </row>
    <row r="119" spans="1:12" x14ac:dyDescent="0.25">
      <c r="A119" s="351" t="s">
        <v>416</v>
      </c>
      <c r="B119" s="352" t="s">
        <v>417</v>
      </c>
      <c r="C119" s="357">
        <v>168000000</v>
      </c>
      <c r="D119" s="357"/>
      <c r="E119" s="378"/>
      <c r="F119" s="375">
        <f t="shared" si="21"/>
        <v>168000000</v>
      </c>
      <c r="G119" s="358">
        <v>56521940</v>
      </c>
      <c r="H119" s="357">
        <v>6524696</v>
      </c>
      <c r="I119" s="358">
        <v>56521940</v>
      </c>
      <c r="J119" s="376">
        <f t="shared" si="18"/>
        <v>111478060</v>
      </c>
      <c r="K119" s="377">
        <f t="shared" si="25"/>
        <v>0.33644011904761906</v>
      </c>
      <c r="L119" s="113">
        <f t="shared" si="20"/>
        <v>0</v>
      </c>
    </row>
    <row r="120" spans="1:12" x14ac:dyDescent="0.25">
      <c r="A120" s="351" t="s">
        <v>418</v>
      </c>
      <c r="B120" s="352" t="s">
        <v>419</v>
      </c>
      <c r="C120" s="357">
        <v>99840000</v>
      </c>
      <c r="D120" s="357"/>
      <c r="E120" s="378"/>
      <c r="F120" s="375">
        <f t="shared" si="21"/>
        <v>99840000</v>
      </c>
      <c r="G120" s="358">
        <v>0</v>
      </c>
      <c r="H120" s="357"/>
      <c r="I120" s="358">
        <v>0</v>
      </c>
      <c r="J120" s="376">
        <f t="shared" si="18"/>
        <v>99840000</v>
      </c>
      <c r="K120" s="377">
        <f t="shared" si="25"/>
        <v>0</v>
      </c>
      <c r="L120" s="113">
        <f t="shared" si="20"/>
        <v>0</v>
      </c>
    </row>
    <row r="121" spans="1:12" x14ac:dyDescent="0.25">
      <c r="A121" s="351" t="s">
        <v>420</v>
      </c>
      <c r="B121" s="352" t="s">
        <v>421</v>
      </c>
      <c r="C121" s="357">
        <v>50400000</v>
      </c>
      <c r="D121" s="357"/>
      <c r="E121" s="378"/>
      <c r="F121" s="375">
        <f t="shared" si="21"/>
        <v>50400000</v>
      </c>
      <c r="G121" s="358">
        <v>0</v>
      </c>
      <c r="H121" s="357"/>
      <c r="I121" s="358">
        <v>0</v>
      </c>
      <c r="J121" s="376">
        <f t="shared" si="18"/>
        <v>50400000</v>
      </c>
      <c r="K121" s="377">
        <f t="shared" si="25"/>
        <v>0</v>
      </c>
      <c r="L121" s="113">
        <f t="shared" si="20"/>
        <v>0</v>
      </c>
    </row>
    <row r="122" spans="1:12" x14ac:dyDescent="0.25">
      <c r="A122" s="351" t="s">
        <v>422</v>
      </c>
      <c r="B122" s="352" t="s">
        <v>423</v>
      </c>
      <c r="C122" s="357">
        <v>36108804</v>
      </c>
      <c r="D122" s="357"/>
      <c r="E122" s="378"/>
      <c r="F122" s="375">
        <f t="shared" si="21"/>
        <v>36108804</v>
      </c>
      <c r="G122" s="358">
        <v>432830</v>
      </c>
      <c r="H122" s="357">
        <v>169600</v>
      </c>
      <c r="I122" s="358">
        <v>432830</v>
      </c>
      <c r="J122" s="376">
        <f t="shared" si="18"/>
        <v>35675974</v>
      </c>
      <c r="K122" s="377">
        <f t="shared" si="25"/>
        <v>1.1986827367641421E-2</v>
      </c>
      <c r="L122" s="113">
        <f t="shared" si="20"/>
        <v>0</v>
      </c>
    </row>
    <row r="123" spans="1:12" x14ac:dyDescent="0.25">
      <c r="A123" s="351" t="s">
        <v>424</v>
      </c>
      <c r="B123" s="352" t="s">
        <v>425</v>
      </c>
      <c r="C123" s="357">
        <v>220000000</v>
      </c>
      <c r="D123" s="357"/>
      <c r="E123" s="378"/>
      <c r="F123" s="375">
        <f t="shared" si="21"/>
        <v>220000000</v>
      </c>
      <c r="G123" s="358">
        <v>20766210</v>
      </c>
      <c r="H123" s="357"/>
      <c r="I123" s="358">
        <v>20766210</v>
      </c>
      <c r="J123" s="376">
        <f t="shared" si="18"/>
        <v>199233790</v>
      </c>
      <c r="K123" s="377">
        <f t="shared" si="25"/>
        <v>9.4391863636363635E-2</v>
      </c>
      <c r="L123" s="113">
        <f t="shared" si="20"/>
        <v>0</v>
      </c>
    </row>
    <row r="124" spans="1:12" x14ac:dyDescent="0.25">
      <c r="A124" s="351" t="s">
        <v>426</v>
      </c>
      <c r="B124" s="352" t="s">
        <v>427</v>
      </c>
      <c r="C124" s="357">
        <v>12000000</v>
      </c>
      <c r="D124" s="357"/>
      <c r="E124" s="378"/>
      <c r="F124" s="375">
        <f t="shared" si="21"/>
        <v>12000000</v>
      </c>
      <c r="G124" s="358">
        <v>0</v>
      </c>
      <c r="H124" s="357"/>
      <c r="I124" s="358">
        <v>0</v>
      </c>
      <c r="J124" s="376">
        <f t="shared" si="18"/>
        <v>12000000</v>
      </c>
      <c r="K124" s="377">
        <f t="shared" si="25"/>
        <v>0</v>
      </c>
      <c r="L124" s="113">
        <f t="shared" si="20"/>
        <v>0</v>
      </c>
    </row>
    <row r="125" spans="1:12" x14ac:dyDescent="0.25">
      <c r="A125" s="351" t="s">
        <v>428</v>
      </c>
      <c r="B125" s="352" t="s">
        <v>429</v>
      </c>
      <c r="C125" s="357">
        <v>150000000</v>
      </c>
      <c r="D125" s="357"/>
      <c r="E125" s="378"/>
      <c r="F125" s="375">
        <f t="shared" si="21"/>
        <v>150000000</v>
      </c>
      <c r="G125" s="358">
        <v>0</v>
      </c>
      <c r="H125" s="357"/>
      <c r="I125" s="358">
        <v>0</v>
      </c>
      <c r="J125" s="376">
        <f t="shared" si="18"/>
        <v>150000000</v>
      </c>
      <c r="K125" s="377">
        <f t="shared" si="25"/>
        <v>0</v>
      </c>
      <c r="L125" s="113">
        <f t="shared" si="20"/>
        <v>0</v>
      </c>
    </row>
    <row r="126" spans="1:12" x14ac:dyDescent="0.25">
      <c r="A126" s="351" t="s">
        <v>430</v>
      </c>
      <c r="B126" s="352" t="s">
        <v>431</v>
      </c>
      <c r="C126" s="357"/>
      <c r="D126" s="357"/>
      <c r="E126" s="378"/>
      <c r="F126" s="375">
        <f t="shared" si="21"/>
        <v>0</v>
      </c>
      <c r="G126" s="358">
        <v>56988249</v>
      </c>
      <c r="H126" s="357">
        <v>3818350</v>
      </c>
      <c r="I126" s="358">
        <v>56988249</v>
      </c>
      <c r="J126" s="376">
        <f t="shared" si="18"/>
        <v>-56988249</v>
      </c>
      <c r="K126" s="377" t="e">
        <f t="shared" si="25"/>
        <v>#DIV/0!</v>
      </c>
      <c r="L126" s="113">
        <f t="shared" si="20"/>
        <v>0</v>
      </c>
    </row>
    <row r="127" spans="1:12" x14ac:dyDescent="0.25">
      <c r="A127" s="345" t="s">
        <v>432</v>
      </c>
      <c r="B127" s="346" t="s">
        <v>433</v>
      </c>
      <c r="C127" s="354">
        <f>+C128+C146</f>
        <v>81745252610</v>
      </c>
      <c r="D127" s="354">
        <f>+D128+D146</f>
        <v>4134710808</v>
      </c>
      <c r="E127" s="354">
        <f>+E128+E146</f>
        <v>0</v>
      </c>
      <c r="F127" s="354">
        <f>+F128+F146</f>
        <v>85879963418</v>
      </c>
      <c r="G127" s="354">
        <f>+G128+G146</f>
        <v>67273778445.43</v>
      </c>
      <c r="H127" s="354">
        <v>4527453146.71</v>
      </c>
      <c r="I127" s="354">
        <f>+I128+I146</f>
        <v>67273778445.43</v>
      </c>
      <c r="J127" s="354">
        <f t="shared" si="18"/>
        <v>18606184972.57</v>
      </c>
      <c r="K127" s="370">
        <f t="shared" si="25"/>
        <v>0.78334661273656014</v>
      </c>
      <c r="L127" s="113">
        <f t="shared" si="20"/>
        <v>0</v>
      </c>
    </row>
    <row r="128" spans="1:12" x14ac:dyDescent="0.25">
      <c r="A128" s="347" t="s">
        <v>434</v>
      </c>
      <c r="B128" s="348" t="s">
        <v>435</v>
      </c>
      <c r="C128" s="355">
        <f t="shared" ref="C128:I128" si="35">+C129</f>
        <v>81745252610</v>
      </c>
      <c r="D128" s="355">
        <f t="shared" si="35"/>
        <v>1923351239</v>
      </c>
      <c r="E128" s="355">
        <f t="shared" si="35"/>
        <v>0</v>
      </c>
      <c r="F128" s="355">
        <f t="shared" si="35"/>
        <v>83668603849</v>
      </c>
      <c r="G128" s="355">
        <f t="shared" si="35"/>
        <v>65710899617.43</v>
      </c>
      <c r="H128" s="355">
        <v>4368290543.71</v>
      </c>
      <c r="I128" s="355">
        <f t="shared" si="35"/>
        <v>65710899617.43</v>
      </c>
      <c r="J128" s="355">
        <f t="shared" si="18"/>
        <v>17957704231.57</v>
      </c>
      <c r="K128" s="371">
        <f t="shared" si="25"/>
        <v>0.78537105430874676</v>
      </c>
      <c r="L128" s="113">
        <f t="shared" si="20"/>
        <v>0</v>
      </c>
    </row>
    <row r="129" spans="1:18" x14ac:dyDescent="0.25">
      <c r="A129" s="349" t="s">
        <v>436</v>
      </c>
      <c r="B129" s="350" t="s">
        <v>437</v>
      </c>
      <c r="C129" s="356">
        <f>+C130+C131+C132+C133+C134+C135+C136+C142+C143+C144</f>
        <v>81745252610</v>
      </c>
      <c r="D129" s="356">
        <f t="shared" ref="D129:I129" si="36">+D130+D131+D132+D133+D134+D135+D136+D142+D143+D144</f>
        <v>1923351239</v>
      </c>
      <c r="E129" s="356">
        <f t="shared" si="36"/>
        <v>0</v>
      </c>
      <c r="F129" s="356">
        <f t="shared" si="36"/>
        <v>83668603849</v>
      </c>
      <c r="G129" s="356">
        <f t="shared" si="36"/>
        <v>65710899617.43</v>
      </c>
      <c r="H129" s="356">
        <v>4368290543.71</v>
      </c>
      <c r="I129" s="356">
        <f t="shared" si="36"/>
        <v>65710899617.43</v>
      </c>
      <c r="J129" s="356">
        <f t="shared" si="18"/>
        <v>17957704231.57</v>
      </c>
      <c r="K129" s="380">
        <f t="shared" si="25"/>
        <v>0.78537105430874676</v>
      </c>
      <c r="L129" s="113">
        <f t="shared" si="20"/>
        <v>0</v>
      </c>
    </row>
    <row r="130" spans="1:18" x14ac:dyDescent="0.25">
      <c r="A130" s="351" t="s">
        <v>438</v>
      </c>
      <c r="B130" s="352" t="s">
        <v>439</v>
      </c>
      <c r="C130" s="357">
        <v>62787807977</v>
      </c>
      <c r="D130" s="357"/>
      <c r="E130" s="378"/>
      <c r="F130" s="375">
        <f t="shared" si="21"/>
        <v>62787807977</v>
      </c>
      <c r="G130" s="361">
        <v>50504331053</v>
      </c>
      <c r="H130" s="357">
        <v>4357392698</v>
      </c>
      <c r="I130" s="358">
        <v>50504331053</v>
      </c>
      <c r="J130" s="376">
        <f t="shared" si="18"/>
        <v>12283476924</v>
      </c>
      <c r="K130" s="377">
        <f t="shared" si="25"/>
        <v>0.80436525306792683</v>
      </c>
      <c r="L130" s="113">
        <f t="shared" si="20"/>
        <v>0</v>
      </c>
      <c r="N130" s="3">
        <v>8015738438</v>
      </c>
      <c r="O130" s="174">
        <f>+N130+G130</f>
        <v>58520069491</v>
      </c>
      <c r="P130" s="174">
        <f>+F130-O130</f>
        <v>4267738486</v>
      </c>
      <c r="Q130" s="3">
        <f>(N130/2)-P130</f>
        <v>-259869267</v>
      </c>
      <c r="R130" s="2" t="s">
        <v>1045</v>
      </c>
    </row>
    <row r="131" spans="1:18" x14ac:dyDescent="0.25">
      <c r="A131" s="351" t="s">
        <v>440</v>
      </c>
      <c r="B131" s="352" t="s">
        <v>441</v>
      </c>
      <c r="C131" s="357">
        <v>1334382815</v>
      </c>
      <c r="D131" s="357">
        <v>81443507</v>
      </c>
      <c r="E131" s="378"/>
      <c r="F131" s="375">
        <f t="shared" si="21"/>
        <v>1415826322</v>
      </c>
      <c r="G131" s="361">
        <v>1415826322</v>
      </c>
      <c r="H131" s="357"/>
      <c r="I131" s="358">
        <v>1415826322</v>
      </c>
      <c r="J131" s="376">
        <f t="shared" si="18"/>
        <v>0</v>
      </c>
      <c r="K131" s="377">
        <f t="shared" si="25"/>
        <v>1</v>
      </c>
      <c r="L131" s="113">
        <f t="shared" si="20"/>
        <v>0</v>
      </c>
    </row>
    <row r="132" spans="1:18" x14ac:dyDescent="0.25">
      <c r="A132" s="351" t="s">
        <v>442</v>
      </c>
      <c r="B132" s="352" t="s">
        <v>443</v>
      </c>
      <c r="C132" s="357">
        <v>956870000</v>
      </c>
      <c r="D132" s="357"/>
      <c r="E132" s="378"/>
      <c r="F132" s="375">
        <f t="shared" si="21"/>
        <v>956870000</v>
      </c>
      <c r="G132" s="361">
        <v>1235953462</v>
      </c>
      <c r="H132" s="357"/>
      <c r="I132" s="358">
        <v>1235953462</v>
      </c>
      <c r="J132" s="376">
        <f t="shared" si="18"/>
        <v>-279083462</v>
      </c>
      <c r="K132" s="377">
        <f t="shared" si="25"/>
        <v>1.2916628821051972</v>
      </c>
      <c r="L132" s="113">
        <f t="shared" si="20"/>
        <v>0</v>
      </c>
      <c r="N132" s="2" t="s">
        <v>1044</v>
      </c>
    </row>
    <row r="133" spans="1:18" x14ac:dyDescent="0.25">
      <c r="A133" s="351" t="s">
        <v>444</v>
      </c>
      <c r="B133" s="352" t="s">
        <v>445</v>
      </c>
      <c r="C133" s="357">
        <v>2500000000</v>
      </c>
      <c r="D133" s="357">
        <v>318488965</v>
      </c>
      <c r="E133" s="378"/>
      <c r="F133" s="375">
        <f t="shared" si="21"/>
        <v>2818488965</v>
      </c>
      <c r="G133" s="361">
        <v>2818488965</v>
      </c>
      <c r="H133" s="357"/>
      <c r="I133" s="358">
        <v>2818488965</v>
      </c>
      <c r="J133" s="376">
        <f t="shared" si="18"/>
        <v>0</v>
      </c>
      <c r="K133" s="377">
        <f t="shared" si="25"/>
        <v>1</v>
      </c>
      <c r="L133" s="113">
        <f t="shared" si="20"/>
        <v>0</v>
      </c>
    </row>
    <row r="134" spans="1:18" x14ac:dyDescent="0.25">
      <c r="A134" s="351" t="s">
        <v>446</v>
      </c>
      <c r="B134" s="352" t="s">
        <v>447</v>
      </c>
      <c r="C134" s="357">
        <v>3200000000</v>
      </c>
      <c r="D134" s="357">
        <v>492942109</v>
      </c>
      <c r="E134" s="378"/>
      <c r="F134" s="375">
        <f t="shared" si="21"/>
        <v>3692942109</v>
      </c>
      <c r="G134" s="361">
        <v>3692942109</v>
      </c>
      <c r="H134" s="357"/>
      <c r="I134" s="358">
        <v>3692942109</v>
      </c>
      <c r="J134" s="376">
        <f t="shared" ref="J134:J185" si="37">+F134-I134</f>
        <v>0</v>
      </c>
      <c r="K134" s="377">
        <f t="shared" si="25"/>
        <v>1</v>
      </c>
      <c r="L134" s="113">
        <f t="shared" ref="L134:L142" si="38">+I134-G134</f>
        <v>0</v>
      </c>
    </row>
    <row r="135" spans="1:18" x14ac:dyDescent="0.25">
      <c r="A135" s="351" t="s">
        <v>448</v>
      </c>
      <c r="B135" s="352" t="s">
        <v>449</v>
      </c>
      <c r="C135" s="357">
        <v>8505059904</v>
      </c>
      <c r="D135" s="357"/>
      <c r="E135" s="378"/>
      <c r="F135" s="375">
        <f t="shared" si="21"/>
        <v>8505059904</v>
      </c>
      <c r="G135" s="358"/>
      <c r="H135" s="357"/>
      <c r="I135" s="358"/>
      <c r="J135" s="376">
        <f t="shared" si="37"/>
        <v>8505059904</v>
      </c>
      <c r="K135" s="377">
        <f t="shared" si="25"/>
        <v>0</v>
      </c>
      <c r="L135" s="113">
        <f t="shared" si="38"/>
        <v>0</v>
      </c>
    </row>
    <row r="136" spans="1:18" x14ac:dyDescent="0.25">
      <c r="A136" s="347" t="s">
        <v>450</v>
      </c>
      <c r="B136" s="348" t="s">
        <v>451</v>
      </c>
      <c r="C136" s="355">
        <f>+C137</f>
        <v>1365809240</v>
      </c>
      <c r="D136" s="355">
        <f t="shared" ref="D136:I137" si="39">+D137</f>
        <v>0</v>
      </c>
      <c r="E136" s="355">
        <f t="shared" si="39"/>
        <v>0</v>
      </c>
      <c r="F136" s="355">
        <f t="shared" si="39"/>
        <v>1365809240</v>
      </c>
      <c r="G136" s="355">
        <f t="shared" si="39"/>
        <v>275487955.43000001</v>
      </c>
      <c r="H136" s="355">
        <v>10897845.710000001</v>
      </c>
      <c r="I136" s="355">
        <f t="shared" si="39"/>
        <v>275487955.43000001</v>
      </c>
      <c r="J136" s="355">
        <f t="shared" si="37"/>
        <v>1090321284.5699999</v>
      </c>
      <c r="K136" s="371">
        <f t="shared" si="25"/>
        <v>0.2017030983257955</v>
      </c>
      <c r="L136" s="113">
        <f t="shared" si="38"/>
        <v>0</v>
      </c>
    </row>
    <row r="137" spans="1:18" x14ac:dyDescent="0.25">
      <c r="A137" s="347" t="s">
        <v>452</v>
      </c>
      <c r="B137" s="348" t="s">
        <v>453</v>
      </c>
      <c r="C137" s="355">
        <f>+C138</f>
        <v>1365809240</v>
      </c>
      <c r="D137" s="355">
        <f t="shared" si="39"/>
        <v>0</v>
      </c>
      <c r="E137" s="355">
        <f t="shared" si="39"/>
        <v>0</v>
      </c>
      <c r="F137" s="355">
        <f t="shared" si="39"/>
        <v>1365809240</v>
      </c>
      <c r="G137" s="355">
        <f t="shared" si="39"/>
        <v>275487955.43000001</v>
      </c>
      <c r="H137" s="355">
        <v>10897845.710000001</v>
      </c>
      <c r="I137" s="355">
        <f t="shared" si="39"/>
        <v>275487955.43000001</v>
      </c>
      <c r="J137" s="355">
        <f t="shared" si="37"/>
        <v>1090321284.5699999</v>
      </c>
      <c r="K137" s="371">
        <f t="shared" si="25"/>
        <v>0.2017030983257955</v>
      </c>
      <c r="L137" s="113">
        <f t="shared" si="38"/>
        <v>0</v>
      </c>
    </row>
    <row r="138" spans="1:18" x14ac:dyDescent="0.25">
      <c r="A138" s="349" t="s">
        <v>454</v>
      </c>
      <c r="B138" s="350" t="s">
        <v>455</v>
      </c>
      <c r="C138" s="356">
        <f>+C139+C140+C141</f>
        <v>1365809240</v>
      </c>
      <c r="D138" s="356">
        <f t="shared" ref="D138:I138" si="40">+D139+D140+D141</f>
        <v>0</v>
      </c>
      <c r="E138" s="356">
        <f t="shared" si="40"/>
        <v>0</v>
      </c>
      <c r="F138" s="356">
        <f t="shared" si="40"/>
        <v>1365809240</v>
      </c>
      <c r="G138" s="356">
        <f t="shared" si="40"/>
        <v>275487955.43000001</v>
      </c>
      <c r="H138" s="356">
        <v>10897845.710000001</v>
      </c>
      <c r="I138" s="356">
        <f t="shared" si="40"/>
        <v>275487955.43000001</v>
      </c>
      <c r="J138" s="356">
        <f t="shared" si="37"/>
        <v>1090321284.5699999</v>
      </c>
      <c r="K138" s="380">
        <f t="shared" si="25"/>
        <v>0.2017030983257955</v>
      </c>
      <c r="L138" s="113">
        <f t="shared" si="38"/>
        <v>0</v>
      </c>
    </row>
    <row r="139" spans="1:18" x14ac:dyDescent="0.25">
      <c r="A139" s="351" t="s">
        <v>456</v>
      </c>
      <c r="B139" s="352" t="s">
        <v>457</v>
      </c>
      <c r="C139" s="357">
        <v>515924814</v>
      </c>
      <c r="D139" s="357"/>
      <c r="E139" s="378"/>
      <c r="F139" s="375">
        <f t="shared" si="21"/>
        <v>515924814</v>
      </c>
      <c r="G139" s="361">
        <v>275487955.43000001</v>
      </c>
      <c r="H139" s="357">
        <v>10897845.710000001</v>
      </c>
      <c r="I139" s="358">
        <v>275487955.43000001</v>
      </c>
      <c r="J139" s="376">
        <f t="shared" si="37"/>
        <v>240436858.56999999</v>
      </c>
      <c r="K139" s="377">
        <f t="shared" si="25"/>
        <v>0.53396919077049865</v>
      </c>
      <c r="L139" s="113">
        <f t="shared" si="38"/>
        <v>0</v>
      </c>
    </row>
    <row r="140" spans="1:18" x14ac:dyDescent="0.25">
      <c r="A140" s="351" t="s">
        <v>458</v>
      </c>
      <c r="B140" s="352" t="s">
        <v>459</v>
      </c>
      <c r="C140" s="357">
        <v>474667785</v>
      </c>
      <c r="D140" s="357"/>
      <c r="E140" s="378"/>
      <c r="F140" s="375">
        <f t="shared" si="21"/>
        <v>474667785</v>
      </c>
      <c r="G140" s="358"/>
      <c r="H140" s="357"/>
      <c r="I140" s="358"/>
      <c r="J140" s="376">
        <f t="shared" si="37"/>
        <v>474667785</v>
      </c>
      <c r="K140" s="377">
        <f t="shared" si="25"/>
        <v>0</v>
      </c>
      <c r="L140" s="113">
        <f t="shared" si="38"/>
        <v>0</v>
      </c>
    </row>
    <row r="141" spans="1:18" x14ac:dyDescent="0.25">
      <c r="A141" s="351" t="s">
        <v>460</v>
      </c>
      <c r="B141" s="352" t="s">
        <v>461</v>
      </c>
      <c r="C141" s="357">
        <v>375216641</v>
      </c>
      <c r="D141" s="357"/>
      <c r="E141" s="378"/>
      <c r="F141" s="375">
        <f t="shared" si="21"/>
        <v>375216641</v>
      </c>
      <c r="G141" s="358"/>
      <c r="H141" s="357"/>
      <c r="I141" s="358"/>
      <c r="J141" s="376">
        <f t="shared" si="37"/>
        <v>375216641</v>
      </c>
      <c r="K141" s="377">
        <f t="shared" si="25"/>
        <v>0</v>
      </c>
      <c r="L141" s="113">
        <f t="shared" si="38"/>
        <v>0</v>
      </c>
    </row>
    <row r="142" spans="1:18" x14ac:dyDescent="0.25">
      <c r="A142" s="351" t="s">
        <v>887</v>
      </c>
      <c r="B142" s="352" t="s">
        <v>888</v>
      </c>
      <c r="C142" s="357">
        <v>0</v>
      </c>
      <c r="D142" s="357">
        <v>1030476658</v>
      </c>
      <c r="E142" s="378"/>
      <c r="F142" s="375">
        <f t="shared" si="21"/>
        <v>1030476658</v>
      </c>
      <c r="G142" s="361">
        <v>1030476658</v>
      </c>
      <c r="H142" s="357"/>
      <c r="I142" s="358">
        <v>1030476658</v>
      </c>
      <c r="J142" s="376">
        <f t="shared" si="37"/>
        <v>0</v>
      </c>
      <c r="K142" s="377"/>
      <c r="L142" s="113">
        <f t="shared" si="38"/>
        <v>0</v>
      </c>
    </row>
    <row r="143" spans="1:18" x14ac:dyDescent="0.25">
      <c r="A143" s="351" t="s">
        <v>1005</v>
      </c>
      <c r="B143" s="352" t="s">
        <v>1006</v>
      </c>
      <c r="C143" s="357"/>
      <c r="D143" s="357"/>
      <c r="E143" s="378"/>
      <c r="F143" s="375">
        <f t="shared" si="21"/>
        <v>0</v>
      </c>
      <c r="G143" s="361">
        <v>3143880321</v>
      </c>
      <c r="H143" s="357">
        <v>150815000</v>
      </c>
      <c r="I143" s="358">
        <v>3143880321</v>
      </c>
      <c r="J143" s="376">
        <f t="shared" si="37"/>
        <v>-3143880321</v>
      </c>
      <c r="K143" s="377"/>
      <c r="L143" s="113">
        <f t="shared" ref="L143" si="41">+I144-G144</f>
        <v>0</v>
      </c>
    </row>
    <row r="144" spans="1:18" x14ac:dyDescent="0.25">
      <c r="A144" s="347" t="s">
        <v>462</v>
      </c>
      <c r="B144" s="348" t="s">
        <v>463</v>
      </c>
      <c r="C144" s="355">
        <f t="shared" ref="C144:I144" si="42">+C145</f>
        <v>1095322674</v>
      </c>
      <c r="D144" s="355">
        <f t="shared" si="42"/>
        <v>0</v>
      </c>
      <c r="E144" s="355">
        <f t="shared" si="42"/>
        <v>0</v>
      </c>
      <c r="F144" s="355">
        <f t="shared" si="42"/>
        <v>1095322674</v>
      </c>
      <c r="G144" s="355">
        <f t="shared" si="42"/>
        <v>1593512772</v>
      </c>
      <c r="H144" s="355"/>
      <c r="I144" s="355">
        <f t="shared" si="42"/>
        <v>1593512772</v>
      </c>
      <c r="J144" s="355">
        <f t="shared" si="37"/>
        <v>-498190098</v>
      </c>
      <c r="K144" s="371">
        <f t="shared" ref="K144:K160" si="43">+I144/F144</f>
        <v>1.4548340957652812</v>
      </c>
      <c r="L144" s="113">
        <f>+I145-G145</f>
        <v>0</v>
      </c>
    </row>
    <row r="145" spans="1:14" x14ac:dyDescent="0.25">
      <c r="A145" s="351" t="s">
        <v>464</v>
      </c>
      <c r="B145" s="352" t="s">
        <v>465</v>
      </c>
      <c r="C145" s="357">
        <v>1095322674</v>
      </c>
      <c r="D145" s="357"/>
      <c r="E145" s="378"/>
      <c r="F145" s="375">
        <f t="shared" ref="F145:F185" si="44">+C145+D145</f>
        <v>1095322674</v>
      </c>
      <c r="G145" s="361">
        <v>1593512772</v>
      </c>
      <c r="H145" s="357">
        <v>8347603</v>
      </c>
      <c r="I145" s="358">
        <v>1593512772</v>
      </c>
      <c r="J145" s="376">
        <f t="shared" si="37"/>
        <v>-498190098</v>
      </c>
      <c r="K145" s="377">
        <f t="shared" si="43"/>
        <v>1.4548340957652812</v>
      </c>
      <c r="L145" s="113">
        <f t="shared" ref="L145:L159" si="45">+I147-G147</f>
        <v>0</v>
      </c>
      <c r="N145" s="2" t="s">
        <v>1044</v>
      </c>
    </row>
    <row r="146" spans="1:14" x14ac:dyDescent="0.25">
      <c r="A146" s="347" t="s">
        <v>466</v>
      </c>
      <c r="B146" s="348" t="s">
        <v>467</v>
      </c>
      <c r="C146" s="355">
        <f t="shared" ref="C146:I147" si="46">+C147</f>
        <v>0</v>
      </c>
      <c r="D146" s="355">
        <f t="shared" si="46"/>
        <v>2211359569</v>
      </c>
      <c r="E146" s="355">
        <f t="shared" si="46"/>
        <v>0</v>
      </c>
      <c r="F146" s="355">
        <f t="shared" si="46"/>
        <v>2211359569</v>
      </c>
      <c r="G146" s="355">
        <f t="shared" si="46"/>
        <v>1562878828</v>
      </c>
      <c r="H146" s="355">
        <v>8347603</v>
      </c>
      <c r="I146" s="355">
        <f t="shared" si="46"/>
        <v>1562878828</v>
      </c>
      <c r="J146" s="355">
        <f t="shared" si="37"/>
        <v>648480741</v>
      </c>
      <c r="K146" s="371">
        <f t="shared" si="43"/>
        <v>0.70675020467465188</v>
      </c>
      <c r="L146" s="113">
        <f t="shared" si="45"/>
        <v>0</v>
      </c>
    </row>
    <row r="147" spans="1:14" x14ac:dyDescent="0.25">
      <c r="A147" s="347" t="s">
        <v>468</v>
      </c>
      <c r="B147" s="348" t="s">
        <v>469</v>
      </c>
      <c r="C147" s="355">
        <f t="shared" si="46"/>
        <v>0</v>
      </c>
      <c r="D147" s="355">
        <f t="shared" si="46"/>
        <v>2211359569</v>
      </c>
      <c r="E147" s="355">
        <f t="shared" si="46"/>
        <v>0</v>
      </c>
      <c r="F147" s="355">
        <f t="shared" si="46"/>
        <v>2211359569</v>
      </c>
      <c r="G147" s="355">
        <f t="shared" si="46"/>
        <v>1562878828</v>
      </c>
      <c r="H147" s="355">
        <v>8347603</v>
      </c>
      <c r="I147" s="355">
        <f t="shared" si="46"/>
        <v>1562878828</v>
      </c>
      <c r="J147" s="355">
        <f t="shared" si="37"/>
        <v>648480741</v>
      </c>
      <c r="K147" s="371">
        <f t="shared" si="43"/>
        <v>0.70675020467465188</v>
      </c>
      <c r="L147" s="113">
        <f t="shared" si="45"/>
        <v>0</v>
      </c>
    </row>
    <row r="148" spans="1:14" x14ac:dyDescent="0.25">
      <c r="A148" s="349" t="s">
        <v>470</v>
      </c>
      <c r="B148" s="350" t="s">
        <v>471</v>
      </c>
      <c r="C148" s="356">
        <f>SUM(C149:C164)</f>
        <v>0</v>
      </c>
      <c r="D148" s="356">
        <f t="shared" ref="D148:I148" si="47">SUM(D149:D164)</f>
        <v>2211359569</v>
      </c>
      <c r="E148" s="356">
        <f t="shared" si="47"/>
        <v>0</v>
      </c>
      <c r="F148" s="356">
        <f t="shared" si="47"/>
        <v>2211359569</v>
      </c>
      <c r="G148" s="356">
        <f t="shared" si="47"/>
        <v>1562878828</v>
      </c>
      <c r="H148" s="356"/>
      <c r="I148" s="356">
        <f t="shared" si="47"/>
        <v>1562878828</v>
      </c>
      <c r="J148" s="356">
        <f t="shared" si="37"/>
        <v>648480741</v>
      </c>
      <c r="K148" s="372">
        <f t="shared" si="43"/>
        <v>0.70675020467465188</v>
      </c>
      <c r="L148" s="113">
        <f t="shared" si="45"/>
        <v>0</v>
      </c>
    </row>
    <row r="149" spans="1:14" x14ac:dyDescent="0.25">
      <c r="A149" s="351">
        <v>112670102</v>
      </c>
      <c r="B149" s="352" t="s">
        <v>472</v>
      </c>
      <c r="C149" s="357"/>
      <c r="D149" s="357">
        <v>267934973</v>
      </c>
      <c r="E149" s="378"/>
      <c r="F149" s="375">
        <f t="shared" si="44"/>
        <v>267934973</v>
      </c>
      <c r="G149" s="358">
        <v>267934973</v>
      </c>
      <c r="H149" s="357"/>
      <c r="I149" s="358">
        <v>267934973</v>
      </c>
      <c r="J149" s="376">
        <f t="shared" si="37"/>
        <v>0</v>
      </c>
      <c r="K149" s="377">
        <f t="shared" si="43"/>
        <v>1</v>
      </c>
      <c r="L149" s="113">
        <f t="shared" si="45"/>
        <v>0</v>
      </c>
    </row>
    <row r="150" spans="1:14" x14ac:dyDescent="0.25">
      <c r="A150" s="351">
        <v>112670103</v>
      </c>
      <c r="B150" s="352" t="s">
        <v>858</v>
      </c>
      <c r="C150" s="357"/>
      <c r="D150" s="357"/>
      <c r="E150" s="378"/>
      <c r="F150" s="375">
        <f t="shared" si="44"/>
        <v>0</v>
      </c>
      <c r="G150" s="358"/>
      <c r="H150" s="357"/>
      <c r="I150" s="358"/>
      <c r="J150" s="376">
        <f t="shared" si="37"/>
        <v>0</v>
      </c>
      <c r="K150" s="377" t="e">
        <f t="shared" si="43"/>
        <v>#DIV/0!</v>
      </c>
      <c r="L150" s="113">
        <f t="shared" si="45"/>
        <v>0</v>
      </c>
    </row>
    <row r="151" spans="1:14" x14ac:dyDescent="0.25">
      <c r="A151" s="351">
        <v>112670104</v>
      </c>
      <c r="B151" s="352" t="s">
        <v>859</v>
      </c>
      <c r="C151" s="357"/>
      <c r="D151" s="357"/>
      <c r="E151" s="378"/>
      <c r="F151" s="375">
        <f t="shared" si="44"/>
        <v>0</v>
      </c>
      <c r="G151" s="358">
        <v>1397800</v>
      </c>
      <c r="H151" s="357"/>
      <c r="I151" s="358">
        <v>1397800</v>
      </c>
      <c r="J151" s="376">
        <f t="shared" si="37"/>
        <v>-1397800</v>
      </c>
      <c r="K151" s="377" t="e">
        <f t="shared" si="43"/>
        <v>#DIV/0!</v>
      </c>
      <c r="L151" s="113">
        <f t="shared" si="45"/>
        <v>0</v>
      </c>
    </row>
    <row r="152" spans="1:14" x14ac:dyDescent="0.25">
      <c r="A152" s="351">
        <v>112670105</v>
      </c>
      <c r="B152" s="352" t="s">
        <v>860</v>
      </c>
      <c r="C152" s="357"/>
      <c r="D152" s="357">
        <v>450000000</v>
      </c>
      <c r="E152" s="378"/>
      <c r="F152" s="375">
        <f t="shared" si="44"/>
        <v>450000000</v>
      </c>
      <c r="G152" s="358">
        <v>450000000</v>
      </c>
      <c r="H152" s="357"/>
      <c r="I152" s="358">
        <v>450000000</v>
      </c>
      <c r="J152" s="376">
        <f t="shared" si="37"/>
        <v>0</v>
      </c>
      <c r="K152" s="377">
        <f t="shared" si="43"/>
        <v>1</v>
      </c>
      <c r="L152" s="113">
        <f t="shared" si="45"/>
        <v>0</v>
      </c>
    </row>
    <row r="153" spans="1:14" x14ac:dyDescent="0.25">
      <c r="A153" s="351">
        <v>112670106</v>
      </c>
      <c r="B153" s="352" t="s">
        <v>861</v>
      </c>
      <c r="C153" s="357"/>
      <c r="D153" s="357"/>
      <c r="E153" s="378"/>
      <c r="F153" s="375">
        <f t="shared" si="44"/>
        <v>0</v>
      </c>
      <c r="G153" s="358"/>
      <c r="H153" s="357"/>
      <c r="I153" s="358"/>
      <c r="J153" s="376">
        <f t="shared" si="37"/>
        <v>0</v>
      </c>
      <c r="K153" s="377" t="e">
        <f t="shared" si="43"/>
        <v>#DIV/0!</v>
      </c>
      <c r="L153" s="113">
        <f t="shared" si="45"/>
        <v>0</v>
      </c>
    </row>
    <row r="154" spans="1:14" x14ac:dyDescent="0.25">
      <c r="A154" s="351">
        <v>112670107</v>
      </c>
      <c r="B154" s="352" t="s">
        <v>862</v>
      </c>
      <c r="C154" s="357"/>
      <c r="D154" s="357"/>
      <c r="E154" s="378"/>
      <c r="F154" s="375">
        <f t="shared" si="44"/>
        <v>0</v>
      </c>
      <c r="G154" s="358">
        <v>6800000</v>
      </c>
      <c r="H154" s="357"/>
      <c r="I154" s="358">
        <v>6800000</v>
      </c>
      <c r="J154" s="376">
        <f t="shared" si="37"/>
        <v>-6800000</v>
      </c>
      <c r="K154" s="377" t="e">
        <f t="shared" si="43"/>
        <v>#DIV/0!</v>
      </c>
      <c r="L154" s="113">
        <f t="shared" si="45"/>
        <v>0</v>
      </c>
    </row>
    <row r="155" spans="1:14" x14ac:dyDescent="0.25">
      <c r="A155" s="351">
        <v>112670108</v>
      </c>
      <c r="B155" s="352" t="s">
        <v>863</v>
      </c>
      <c r="C155" s="357"/>
      <c r="D155" s="357"/>
      <c r="E155" s="378"/>
      <c r="F155" s="375">
        <f t="shared" si="44"/>
        <v>0</v>
      </c>
      <c r="G155" s="358"/>
      <c r="H155" s="357"/>
      <c r="I155" s="358"/>
      <c r="J155" s="376">
        <f t="shared" si="37"/>
        <v>0</v>
      </c>
      <c r="K155" s="377" t="e">
        <f t="shared" si="43"/>
        <v>#DIV/0!</v>
      </c>
      <c r="L155" s="113">
        <f t="shared" si="45"/>
        <v>0</v>
      </c>
    </row>
    <row r="156" spans="1:14" x14ac:dyDescent="0.25">
      <c r="A156" s="351">
        <v>112670109</v>
      </c>
      <c r="B156" s="352" t="s">
        <v>864</v>
      </c>
      <c r="C156" s="357"/>
      <c r="D156" s="357"/>
      <c r="E156" s="378"/>
      <c r="F156" s="375">
        <f t="shared" si="44"/>
        <v>0</v>
      </c>
      <c r="G156" s="358"/>
      <c r="H156" s="357"/>
      <c r="I156" s="358"/>
      <c r="J156" s="376">
        <f t="shared" si="37"/>
        <v>0</v>
      </c>
      <c r="K156" s="377" t="e">
        <f t="shared" si="43"/>
        <v>#DIV/0!</v>
      </c>
      <c r="L156" s="113">
        <f t="shared" si="45"/>
        <v>0</v>
      </c>
    </row>
    <row r="157" spans="1:14" x14ac:dyDescent="0.25">
      <c r="A157" s="351">
        <v>112670110</v>
      </c>
      <c r="B157" s="352" t="s">
        <v>865</v>
      </c>
      <c r="C157" s="357"/>
      <c r="D157" s="357"/>
      <c r="E157" s="378"/>
      <c r="F157" s="375">
        <f t="shared" si="44"/>
        <v>0</v>
      </c>
      <c r="G157" s="358">
        <v>50483923</v>
      </c>
      <c r="H157" s="357"/>
      <c r="I157" s="358">
        <v>50483923</v>
      </c>
      <c r="J157" s="376">
        <f t="shared" si="37"/>
        <v>-50483923</v>
      </c>
      <c r="K157" s="377" t="e">
        <f t="shared" si="43"/>
        <v>#DIV/0!</v>
      </c>
      <c r="L157" s="113">
        <f t="shared" si="45"/>
        <v>0</v>
      </c>
    </row>
    <row r="158" spans="1:14" x14ac:dyDescent="0.25">
      <c r="A158" s="351">
        <v>112670111</v>
      </c>
      <c r="B158" s="352" t="s">
        <v>866</v>
      </c>
      <c r="C158" s="357"/>
      <c r="D158" s="357">
        <v>75272541</v>
      </c>
      <c r="E158" s="378"/>
      <c r="F158" s="375">
        <f t="shared" si="44"/>
        <v>75272541</v>
      </c>
      <c r="G158" s="358">
        <v>102975000</v>
      </c>
      <c r="H158" s="357"/>
      <c r="I158" s="358">
        <v>102975000</v>
      </c>
      <c r="J158" s="376">
        <f t="shared" si="37"/>
        <v>-27702459</v>
      </c>
      <c r="K158" s="377">
        <f t="shared" si="43"/>
        <v>1.3680287476943285</v>
      </c>
      <c r="L158" s="113">
        <f t="shared" si="45"/>
        <v>0</v>
      </c>
    </row>
    <row r="159" spans="1:14" x14ac:dyDescent="0.25">
      <c r="A159" s="351">
        <v>112670112</v>
      </c>
      <c r="B159" s="352" t="s">
        <v>867</v>
      </c>
      <c r="C159" s="357"/>
      <c r="D159" s="357"/>
      <c r="E159" s="378"/>
      <c r="F159" s="375">
        <f t="shared" si="44"/>
        <v>0</v>
      </c>
      <c r="G159" s="358">
        <v>30882000</v>
      </c>
      <c r="H159" s="357"/>
      <c r="I159" s="358">
        <v>30882000</v>
      </c>
      <c r="J159" s="376">
        <f t="shared" si="37"/>
        <v>-30882000</v>
      </c>
      <c r="K159" s="377" t="e">
        <f t="shared" si="43"/>
        <v>#DIV/0!</v>
      </c>
      <c r="L159" s="113">
        <f t="shared" si="45"/>
        <v>0</v>
      </c>
    </row>
    <row r="160" spans="1:14" x14ac:dyDescent="0.25">
      <c r="A160" s="351">
        <v>112670113</v>
      </c>
      <c r="B160" s="352" t="s">
        <v>868</v>
      </c>
      <c r="C160" s="357"/>
      <c r="D160" s="357"/>
      <c r="E160" s="378"/>
      <c r="F160" s="375">
        <f t="shared" si="44"/>
        <v>0</v>
      </c>
      <c r="G160" s="358">
        <v>17500000</v>
      </c>
      <c r="H160" s="357"/>
      <c r="I160" s="358">
        <v>17500000</v>
      </c>
      <c r="J160" s="376">
        <f t="shared" si="37"/>
        <v>-17500000</v>
      </c>
      <c r="K160" s="377" t="e">
        <f t="shared" si="43"/>
        <v>#DIV/0!</v>
      </c>
      <c r="L160" s="113">
        <f t="shared" ref="L160:L180" si="48">+I165-G165</f>
        <v>0</v>
      </c>
    </row>
    <row r="161" spans="1:12" x14ac:dyDescent="0.25">
      <c r="A161" s="351">
        <v>112670114</v>
      </c>
      <c r="B161" s="352" t="s">
        <v>885</v>
      </c>
      <c r="C161" s="357"/>
      <c r="D161" s="357">
        <v>96000000</v>
      </c>
      <c r="E161" s="378"/>
      <c r="F161" s="375">
        <f t="shared" si="44"/>
        <v>96000000</v>
      </c>
      <c r="G161" s="358"/>
      <c r="H161" s="357">
        <v>8347603</v>
      </c>
      <c r="I161" s="358"/>
      <c r="J161" s="376">
        <f t="shared" si="37"/>
        <v>96000000</v>
      </c>
      <c r="K161" s="377"/>
      <c r="L161" s="113">
        <f t="shared" si="48"/>
        <v>0</v>
      </c>
    </row>
    <row r="162" spans="1:12" x14ac:dyDescent="0.25">
      <c r="A162" s="351">
        <v>112670119</v>
      </c>
      <c r="B162" s="352" t="s">
        <v>1007</v>
      </c>
      <c r="C162" s="357"/>
      <c r="D162" s="357">
        <v>308347603</v>
      </c>
      <c r="E162" s="378"/>
      <c r="F162" s="375">
        <f t="shared" si="44"/>
        <v>308347603</v>
      </c>
      <c r="G162" s="358">
        <v>308347603</v>
      </c>
      <c r="H162" s="357"/>
      <c r="I162" s="358">
        <v>308347603</v>
      </c>
      <c r="J162" s="376">
        <f t="shared" si="37"/>
        <v>0</v>
      </c>
      <c r="K162" s="377"/>
      <c r="L162" s="113">
        <f t="shared" si="48"/>
        <v>0</v>
      </c>
    </row>
    <row r="163" spans="1:12" x14ac:dyDescent="0.25">
      <c r="A163" s="351">
        <v>112670120</v>
      </c>
      <c r="B163" s="352" t="s">
        <v>1032</v>
      </c>
      <c r="C163" s="357"/>
      <c r="D163" s="357">
        <v>543246923</v>
      </c>
      <c r="E163" s="378"/>
      <c r="F163" s="375">
        <f t="shared" si="44"/>
        <v>543246923</v>
      </c>
      <c r="G163" s="358"/>
      <c r="H163" s="357"/>
      <c r="I163" s="358"/>
      <c r="J163" s="376">
        <f t="shared" si="37"/>
        <v>543246923</v>
      </c>
      <c r="K163" s="377"/>
      <c r="L163" s="113">
        <f t="shared" si="48"/>
        <v>0</v>
      </c>
    </row>
    <row r="164" spans="1:12" x14ac:dyDescent="0.25">
      <c r="A164" s="351">
        <v>112670121</v>
      </c>
      <c r="B164" s="352" t="s">
        <v>1008</v>
      </c>
      <c r="C164" s="357"/>
      <c r="D164" s="357">
        <v>470557529</v>
      </c>
      <c r="E164" s="378"/>
      <c r="F164" s="375">
        <f t="shared" si="44"/>
        <v>470557529</v>
      </c>
      <c r="G164" s="358">
        <v>326557529</v>
      </c>
      <c r="H164" s="357">
        <v>89698147.200000003</v>
      </c>
      <c r="I164" s="358">
        <v>326557529</v>
      </c>
      <c r="J164" s="376">
        <f t="shared" si="37"/>
        <v>144000000</v>
      </c>
      <c r="K164" s="377"/>
      <c r="L164" s="113">
        <f t="shared" si="48"/>
        <v>0</v>
      </c>
    </row>
    <row r="165" spans="1:12" x14ac:dyDescent="0.25">
      <c r="A165" s="345" t="s">
        <v>473</v>
      </c>
      <c r="B165" s="346" t="s">
        <v>474</v>
      </c>
      <c r="C165" s="354">
        <f>+C166+C169+C171</f>
        <v>360566197</v>
      </c>
      <c r="D165" s="354">
        <f t="shared" ref="D165:I165" si="49">+D166+D169+D171</f>
        <v>23080820183.77</v>
      </c>
      <c r="E165" s="354">
        <f t="shared" si="49"/>
        <v>0</v>
      </c>
      <c r="F165" s="354">
        <f t="shared" si="49"/>
        <v>23441386380.77</v>
      </c>
      <c r="G165" s="354">
        <f t="shared" si="49"/>
        <v>23658833395.59</v>
      </c>
      <c r="H165" s="354">
        <v>0</v>
      </c>
      <c r="I165" s="354">
        <f t="shared" si="49"/>
        <v>23658833395.59</v>
      </c>
      <c r="J165" s="354">
        <f t="shared" si="37"/>
        <v>-217447014.81999969</v>
      </c>
      <c r="K165" s="370">
        <f t="shared" ref="K165:K185" si="50">+I165/F165</f>
        <v>1.0092762011293999</v>
      </c>
      <c r="L165" s="113">
        <f t="shared" si="48"/>
        <v>0</v>
      </c>
    </row>
    <row r="166" spans="1:12" x14ac:dyDescent="0.25">
      <c r="A166" s="345" t="s">
        <v>475</v>
      </c>
      <c r="B166" s="346" t="s">
        <v>476</v>
      </c>
      <c r="C166" s="354">
        <f>+C167+C168</f>
        <v>0</v>
      </c>
      <c r="D166" s="354">
        <f t="shared" ref="D166:I166" si="51">+D167+D168</f>
        <v>22435224661.73</v>
      </c>
      <c r="E166" s="354">
        <f t="shared" si="51"/>
        <v>0</v>
      </c>
      <c r="F166" s="354">
        <f t="shared" si="51"/>
        <v>22435224661.73</v>
      </c>
      <c r="G166" s="354">
        <f t="shared" si="51"/>
        <v>22435224661.73</v>
      </c>
      <c r="H166" s="354"/>
      <c r="I166" s="354">
        <f t="shared" si="51"/>
        <v>22435224661.73</v>
      </c>
      <c r="J166" s="354">
        <f t="shared" si="37"/>
        <v>0</v>
      </c>
      <c r="K166" s="370">
        <f t="shared" si="50"/>
        <v>1</v>
      </c>
      <c r="L166" s="113">
        <f t="shared" si="48"/>
        <v>0</v>
      </c>
    </row>
    <row r="167" spans="1:12" x14ac:dyDescent="0.25">
      <c r="A167" s="351" t="s">
        <v>477</v>
      </c>
      <c r="B167" s="352" t="s">
        <v>478</v>
      </c>
      <c r="C167" s="357"/>
      <c r="D167" s="357">
        <v>22370712241</v>
      </c>
      <c r="E167" s="378"/>
      <c r="F167" s="375">
        <f t="shared" si="44"/>
        <v>22370712241</v>
      </c>
      <c r="G167" s="358">
        <v>22370712241</v>
      </c>
      <c r="H167" s="357"/>
      <c r="I167" s="358">
        <v>22370712241</v>
      </c>
      <c r="J167" s="376">
        <f t="shared" si="37"/>
        <v>0</v>
      </c>
      <c r="K167" s="377">
        <f t="shared" si="50"/>
        <v>1</v>
      </c>
      <c r="L167" s="113">
        <f t="shared" si="48"/>
        <v>0</v>
      </c>
    </row>
    <row r="168" spans="1:12" x14ac:dyDescent="0.25">
      <c r="A168" s="351">
        <v>121301</v>
      </c>
      <c r="B168" s="352" t="s">
        <v>886</v>
      </c>
      <c r="C168" s="357"/>
      <c r="D168" s="357">
        <v>64512420.729999997</v>
      </c>
      <c r="E168" s="378"/>
      <c r="F168" s="375">
        <f t="shared" si="44"/>
        <v>64512420.729999997</v>
      </c>
      <c r="G168" s="358">
        <v>64512420.729999997</v>
      </c>
      <c r="H168" s="357">
        <v>0</v>
      </c>
      <c r="I168" s="358">
        <v>64512420.729999997</v>
      </c>
      <c r="J168" s="376">
        <f t="shared" si="37"/>
        <v>0</v>
      </c>
      <c r="K168" s="377">
        <f t="shared" si="50"/>
        <v>1</v>
      </c>
      <c r="L168" s="113">
        <f t="shared" si="48"/>
        <v>0</v>
      </c>
    </row>
    <row r="169" spans="1:12" x14ac:dyDescent="0.25">
      <c r="A169" s="345">
        <v>123</v>
      </c>
      <c r="B169" s="346" t="s">
        <v>869</v>
      </c>
      <c r="C169" s="354">
        <f>+C170</f>
        <v>0</v>
      </c>
      <c r="D169" s="354">
        <f t="shared" ref="D169:I169" si="52">+D170</f>
        <v>304605042</v>
      </c>
      <c r="E169" s="354">
        <f t="shared" si="52"/>
        <v>0</v>
      </c>
      <c r="F169" s="354">
        <f t="shared" si="52"/>
        <v>304605042</v>
      </c>
      <c r="G169" s="354">
        <f t="shared" si="52"/>
        <v>304605042</v>
      </c>
      <c r="H169" s="354"/>
      <c r="I169" s="354">
        <f t="shared" si="52"/>
        <v>304605042</v>
      </c>
      <c r="J169" s="354">
        <f t="shared" si="37"/>
        <v>0</v>
      </c>
      <c r="K169" s="370">
        <f t="shared" si="50"/>
        <v>1</v>
      </c>
      <c r="L169" s="113">
        <f t="shared" si="48"/>
        <v>0</v>
      </c>
    </row>
    <row r="170" spans="1:12" x14ac:dyDescent="0.25">
      <c r="A170" s="351">
        <v>1232</v>
      </c>
      <c r="B170" s="352" t="s">
        <v>870</v>
      </c>
      <c r="C170" s="357"/>
      <c r="D170" s="357">
        <v>304605042</v>
      </c>
      <c r="E170" s="378"/>
      <c r="F170" s="375">
        <f t="shared" si="44"/>
        <v>304605042</v>
      </c>
      <c r="G170" s="361">
        <v>304605042</v>
      </c>
      <c r="H170" s="357">
        <v>26673263.199999999</v>
      </c>
      <c r="I170" s="358">
        <v>304605042</v>
      </c>
      <c r="J170" s="376">
        <f t="shared" si="37"/>
        <v>0</v>
      </c>
      <c r="K170" s="377">
        <f t="shared" si="50"/>
        <v>1</v>
      </c>
      <c r="L170" s="113">
        <f t="shared" si="48"/>
        <v>0</v>
      </c>
    </row>
    <row r="171" spans="1:12" x14ac:dyDescent="0.25">
      <c r="A171" s="345" t="s">
        <v>479</v>
      </c>
      <c r="B171" s="346" t="s">
        <v>480</v>
      </c>
      <c r="C171" s="354">
        <f>+C172+C185</f>
        <v>360566197</v>
      </c>
      <c r="D171" s="354">
        <f t="shared" ref="D171:I171" si="53">+D172+D185</f>
        <v>340990480.04000002</v>
      </c>
      <c r="E171" s="354">
        <f t="shared" si="53"/>
        <v>0</v>
      </c>
      <c r="F171" s="354">
        <f t="shared" si="53"/>
        <v>701556677.03999996</v>
      </c>
      <c r="G171" s="354">
        <f t="shared" si="53"/>
        <v>919003691.86000001</v>
      </c>
      <c r="H171" s="354">
        <v>26673263.199999999</v>
      </c>
      <c r="I171" s="354">
        <f t="shared" si="53"/>
        <v>919003691.86000001</v>
      </c>
      <c r="J171" s="354">
        <f t="shared" si="37"/>
        <v>-217447014.82000005</v>
      </c>
      <c r="K171" s="370">
        <f t="shared" si="50"/>
        <v>1.309949319757671</v>
      </c>
      <c r="L171" s="113">
        <f t="shared" si="48"/>
        <v>0</v>
      </c>
    </row>
    <row r="172" spans="1:12" x14ac:dyDescent="0.25">
      <c r="A172" s="349" t="s">
        <v>481</v>
      </c>
      <c r="B172" s="350" t="s">
        <v>482</v>
      </c>
      <c r="C172" s="356">
        <f t="shared" ref="C172" si="54">SUM(C173:C184)</f>
        <v>360566197</v>
      </c>
      <c r="D172" s="356">
        <f t="shared" ref="D172:I172" si="55">SUM(D173:D184)</f>
        <v>25003040.039999999</v>
      </c>
      <c r="E172" s="356">
        <f t="shared" si="55"/>
        <v>0</v>
      </c>
      <c r="F172" s="356">
        <f t="shared" si="55"/>
        <v>385569237.04000002</v>
      </c>
      <c r="G172" s="356">
        <f t="shared" si="55"/>
        <v>527655469.86000001</v>
      </c>
      <c r="H172" s="356">
        <v>610160.64000000001</v>
      </c>
      <c r="I172" s="356">
        <f t="shared" si="55"/>
        <v>527655469.86000001</v>
      </c>
      <c r="J172" s="356">
        <f t="shared" si="37"/>
        <v>-142086232.81999999</v>
      </c>
      <c r="K172" s="372">
        <f t="shared" si="50"/>
        <v>1.3685102937951961</v>
      </c>
      <c r="L172" s="113">
        <f t="shared" si="48"/>
        <v>0</v>
      </c>
    </row>
    <row r="173" spans="1:12" x14ac:dyDescent="0.25">
      <c r="A173" s="351" t="s">
        <v>483</v>
      </c>
      <c r="B173" s="352" t="s">
        <v>484</v>
      </c>
      <c r="C173" s="375"/>
      <c r="D173" s="357"/>
      <c r="E173" s="378"/>
      <c r="F173" s="375">
        <f t="shared" si="44"/>
        <v>0</v>
      </c>
      <c r="G173" s="358">
        <v>15280233.450000001</v>
      </c>
      <c r="H173" s="357">
        <v>2252313.0299999998</v>
      </c>
      <c r="I173" s="358">
        <v>15280233.450000001</v>
      </c>
      <c r="J173" s="376">
        <f t="shared" si="37"/>
        <v>-15280233.450000001</v>
      </c>
      <c r="K173" s="377" t="e">
        <f t="shared" si="50"/>
        <v>#DIV/0!</v>
      </c>
      <c r="L173" s="113">
        <f t="shared" si="48"/>
        <v>0</v>
      </c>
    </row>
    <row r="174" spans="1:12" x14ac:dyDescent="0.25">
      <c r="A174" s="351" t="s">
        <v>485</v>
      </c>
      <c r="B174" s="352" t="s">
        <v>486</v>
      </c>
      <c r="C174" s="357"/>
      <c r="D174" s="357"/>
      <c r="E174" s="378"/>
      <c r="F174" s="375">
        <f t="shared" si="44"/>
        <v>0</v>
      </c>
      <c r="G174" s="358">
        <v>10649213.879999999</v>
      </c>
      <c r="H174" s="357">
        <v>3703663.1</v>
      </c>
      <c r="I174" s="358">
        <v>10649213.879999999</v>
      </c>
      <c r="J174" s="376">
        <f t="shared" si="37"/>
        <v>-10649213.879999999</v>
      </c>
      <c r="K174" s="377" t="e">
        <f t="shared" si="50"/>
        <v>#DIV/0!</v>
      </c>
      <c r="L174" s="113">
        <f t="shared" si="48"/>
        <v>0</v>
      </c>
    </row>
    <row r="175" spans="1:12" x14ac:dyDescent="0.25">
      <c r="A175" s="351" t="s">
        <v>487</v>
      </c>
      <c r="B175" s="352" t="s">
        <v>488</v>
      </c>
      <c r="C175" s="357"/>
      <c r="D175" s="357">
        <v>20933828.129999999</v>
      </c>
      <c r="E175" s="378"/>
      <c r="F175" s="375">
        <f t="shared" si="44"/>
        <v>20933828.129999999</v>
      </c>
      <c r="G175" s="358">
        <v>57756796.090000004</v>
      </c>
      <c r="H175" s="357">
        <v>1611475.44</v>
      </c>
      <c r="I175" s="358">
        <v>57756796.090000004</v>
      </c>
      <c r="J175" s="376">
        <f t="shared" si="37"/>
        <v>-36822967.960000008</v>
      </c>
      <c r="K175" s="377">
        <f t="shared" si="50"/>
        <v>2.7590174014675073</v>
      </c>
      <c r="L175" s="113">
        <f t="shared" si="48"/>
        <v>0</v>
      </c>
    </row>
    <row r="176" spans="1:12" x14ac:dyDescent="0.25">
      <c r="A176" s="351" t="s">
        <v>489</v>
      </c>
      <c r="B176" s="352" t="s">
        <v>490</v>
      </c>
      <c r="C176" s="357"/>
      <c r="D176" s="357">
        <v>1579921.17</v>
      </c>
      <c r="E176" s="378"/>
      <c r="F176" s="375">
        <f t="shared" si="44"/>
        <v>1579921.17</v>
      </c>
      <c r="G176" s="358">
        <v>25859860.800000001</v>
      </c>
      <c r="H176" s="357"/>
      <c r="I176" s="358">
        <v>25859860.800000001</v>
      </c>
      <c r="J176" s="376">
        <f t="shared" si="37"/>
        <v>-24279939.630000003</v>
      </c>
      <c r="K176" s="377">
        <f t="shared" si="50"/>
        <v>16.36781713609167</v>
      </c>
      <c r="L176" s="113">
        <f t="shared" si="48"/>
        <v>0</v>
      </c>
    </row>
    <row r="177" spans="1:12" x14ac:dyDescent="0.25">
      <c r="A177" s="351" t="s">
        <v>491</v>
      </c>
      <c r="B177" s="352" t="s">
        <v>492</v>
      </c>
      <c r="C177" s="357"/>
      <c r="D177" s="357"/>
      <c r="E177" s="378"/>
      <c r="F177" s="375">
        <f t="shared" si="44"/>
        <v>0</v>
      </c>
      <c r="G177" s="358">
        <v>124113295.66</v>
      </c>
      <c r="H177" s="357">
        <v>7903418.5700000003</v>
      </c>
      <c r="I177" s="358">
        <v>124113295.66</v>
      </c>
      <c r="J177" s="376">
        <f t="shared" si="37"/>
        <v>-124113295.66</v>
      </c>
      <c r="K177" s="377" t="e">
        <f t="shared" si="50"/>
        <v>#DIV/0!</v>
      </c>
      <c r="L177" s="113">
        <f t="shared" si="48"/>
        <v>0</v>
      </c>
    </row>
    <row r="178" spans="1:12" x14ac:dyDescent="0.25">
      <c r="A178" s="351" t="s">
        <v>493</v>
      </c>
      <c r="B178" s="352" t="s">
        <v>494</v>
      </c>
      <c r="C178" s="357"/>
      <c r="D178" s="357">
        <v>2489290.7400000002</v>
      </c>
      <c r="E178" s="378"/>
      <c r="F178" s="375">
        <f t="shared" si="44"/>
        <v>2489290.7400000002</v>
      </c>
      <c r="G178" s="358">
        <v>18591673.870000001</v>
      </c>
      <c r="H178" s="357">
        <v>80138</v>
      </c>
      <c r="I178" s="358">
        <v>18591673.870000001</v>
      </c>
      <c r="J178" s="376">
        <f t="shared" si="37"/>
        <v>-16102383.130000001</v>
      </c>
      <c r="K178" s="377">
        <f t="shared" si="50"/>
        <v>7.4686630899530844</v>
      </c>
      <c r="L178" s="113">
        <f t="shared" si="48"/>
        <v>0</v>
      </c>
    </row>
    <row r="179" spans="1:12" x14ac:dyDescent="0.25">
      <c r="A179" s="351" t="s">
        <v>495</v>
      </c>
      <c r="B179" s="352" t="s">
        <v>496</v>
      </c>
      <c r="C179" s="357"/>
      <c r="D179" s="357"/>
      <c r="E179" s="378"/>
      <c r="F179" s="375">
        <f t="shared" si="44"/>
        <v>0</v>
      </c>
      <c r="G179" s="358">
        <v>10023456.869999999</v>
      </c>
      <c r="H179" s="357">
        <v>6032615.4199999999</v>
      </c>
      <c r="I179" s="358">
        <v>10023456.869999999</v>
      </c>
      <c r="J179" s="376">
        <f t="shared" si="37"/>
        <v>-10023456.869999999</v>
      </c>
      <c r="K179" s="377" t="e">
        <f t="shared" si="50"/>
        <v>#DIV/0!</v>
      </c>
      <c r="L179" s="113">
        <f t="shared" si="48"/>
        <v>0</v>
      </c>
    </row>
    <row r="180" spans="1:12" x14ac:dyDescent="0.25">
      <c r="A180" s="351" t="s">
        <v>497</v>
      </c>
      <c r="B180" s="352" t="s">
        <v>498</v>
      </c>
      <c r="C180" s="357">
        <v>360566197</v>
      </c>
      <c r="D180" s="357"/>
      <c r="E180" s="378"/>
      <c r="F180" s="375">
        <f t="shared" si="44"/>
        <v>360566197</v>
      </c>
      <c r="G180" s="358">
        <v>158585221.23999998</v>
      </c>
      <c r="H180" s="357">
        <v>2819</v>
      </c>
      <c r="I180" s="358">
        <v>158585221.23999998</v>
      </c>
      <c r="J180" s="376">
        <f t="shared" si="37"/>
        <v>201980975.76000002</v>
      </c>
      <c r="K180" s="377">
        <f t="shared" si="50"/>
        <v>0.43982276364081901</v>
      </c>
      <c r="L180" s="113">
        <f t="shared" si="48"/>
        <v>0</v>
      </c>
    </row>
    <row r="181" spans="1:12" x14ac:dyDescent="0.25">
      <c r="A181" s="351" t="s">
        <v>499</v>
      </c>
      <c r="B181" s="352" t="s">
        <v>500</v>
      </c>
      <c r="C181" s="357"/>
      <c r="D181" s="357"/>
      <c r="E181" s="378"/>
      <c r="F181" s="375">
        <f t="shared" si="44"/>
        <v>0</v>
      </c>
      <c r="G181" s="358">
        <v>1207630</v>
      </c>
      <c r="H181" s="357">
        <v>399317</v>
      </c>
      <c r="I181" s="358">
        <v>1207630</v>
      </c>
      <c r="J181" s="376">
        <f t="shared" si="37"/>
        <v>-1207630</v>
      </c>
      <c r="K181" s="377" t="e">
        <f t="shared" si="50"/>
        <v>#DIV/0!</v>
      </c>
    </row>
    <row r="182" spans="1:12" x14ac:dyDescent="0.25">
      <c r="A182" s="351" t="s">
        <v>501</v>
      </c>
      <c r="B182" s="352" t="s">
        <v>502</v>
      </c>
      <c r="C182" s="357"/>
      <c r="D182" s="357"/>
      <c r="E182" s="378"/>
      <c r="F182" s="375">
        <f t="shared" si="44"/>
        <v>0</v>
      </c>
      <c r="G182" s="358">
        <v>19578945</v>
      </c>
      <c r="H182" s="357">
        <v>4077343</v>
      </c>
      <c r="I182" s="358">
        <v>19578945</v>
      </c>
      <c r="J182" s="376">
        <f t="shared" si="37"/>
        <v>-19578945</v>
      </c>
      <c r="K182" s="377" t="e">
        <f t="shared" si="50"/>
        <v>#DIV/0!</v>
      </c>
    </row>
    <row r="183" spans="1:12" x14ac:dyDescent="0.25">
      <c r="A183" s="351" t="s">
        <v>503</v>
      </c>
      <c r="B183" s="352" t="s">
        <v>504</v>
      </c>
      <c r="C183" s="357"/>
      <c r="D183" s="357"/>
      <c r="E183" s="378"/>
      <c r="F183" s="375">
        <f t="shared" si="44"/>
        <v>0</v>
      </c>
      <c r="G183" s="358">
        <v>80946524</v>
      </c>
      <c r="H183" s="357">
        <v>766839</v>
      </c>
      <c r="I183" s="358">
        <v>80946524</v>
      </c>
      <c r="J183" s="376">
        <f t="shared" si="37"/>
        <v>-80946524</v>
      </c>
      <c r="K183" s="377" t="e">
        <f t="shared" si="50"/>
        <v>#DIV/0!</v>
      </c>
    </row>
    <row r="184" spans="1:12" x14ac:dyDescent="0.25">
      <c r="A184" s="353">
        <v>1262212</v>
      </c>
      <c r="B184" s="352" t="s">
        <v>871</v>
      </c>
      <c r="C184" s="378"/>
      <c r="D184" s="378"/>
      <c r="E184" s="378"/>
      <c r="F184" s="375">
        <f t="shared" si="44"/>
        <v>0</v>
      </c>
      <c r="G184" s="358">
        <v>5062619</v>
      </c>
      <c r="H184" s="357">
        <v>63024884</v>
      </c>
      <c r="I184" s="358">
        <v>5062619</v>
      </c>
      <c r="J184" s="376">
        <f t="shared" si="37"/>
        <v>-5062619</v>
      </c>
      <c r="K184" s="377" t="e">
        <f t="shared" si="50"/>
        <v>#DIV/0!</v>
      </c>
    </row>
    <row r="185" spans="1:12" x14ac:dyDescent="0.25">
      <c r="A185" s="353">
        <v>12627</v>
      </c>
      <c r="B185" s="352" t="s">
        <v>872</v>
      </c>
      <c r="C185" s="378"/>
      <c r="D185" s="378">
        <v>315987440</v>
      </c>
      <c r="E185" s="378"/>
      <c r="F185" s="375">
        <f t="shared" si="44"/>
        <v>315987440</v>
      </c>
      <c r="G185" s="361">
        <v>391348222</v>
      </c>
      <c r="H185" s="357">
        <v>7929425</v>
      </c>
      <c r="I185" s="358">
        <v>391348222</v>
      </c>
      <c r="J185" s="376">
        <f t="shared" si="37"/>
        <v>-75360782</v>
      </c>
      <c r="K185" s="377">
        <f t="shared" si="50"/>
        <v>1.2384929666824731</v>
      </c>
    </row>
    <row r="186" spans="1:12" x14ac:dyDescent="0.25">
      <c r="C186" s="4"/>
      <c r="D186" s="4"/>
      <c r="F186" s="4"/>
    </row>
    <row r="187" spans="1:12" x14ac:dyDescent="0.25">
      <c r="C187" s="4"/>
      <c r="D187" s="4"/>
      <c r="F187" s="4"/>
      <c r="G187" s="4"/>
      <c r="I187" s="4"/>
    </row>
    <row r="188" spans="1:12" x14ac:dyDescent="0.25">
      <c r="C188" s="113"/>
      <c r="D188" s="113"/>
      <c r="F188" s="113"/>
      <c r="G188" s="3"/>
      <c r="I188" s="113"/>
    </row>
    <row r="189" spans="1:12" x14ac:dyDescent="0.25">
      <c r="D189" s="127"/>
      <c r="F189" s="4"/>
      <c r="G189" s="4"/>
    </row>
    <row r="190" spans="1:12" x14ac:dyDescent="0.25">
      <c r="D190" s="127"/>
      <c r="F190" s="127"/>
      <c r="G190" s="3"/>
      <c r="H190" s="4"/>
    </row>
    <row r="191" spans="1:12" x14ac:dyDescent="0.25">
      <c r="D191" s="127">
        <f>+D190-D189</f>
        <v>0</v>
      </c>
      <c r="F191" s="113"/>
      <c r="G191" s="3"/>
      <c r="H191" s="4"/>
      <c r="I191" s="4"/>
    </row>
    <row r="192" spans="1:12" x14ac:dyDescent="0.25">
      <c r="G192" s="4"/>
    </row>
  </sheetData>
  <mergeCells count="1">
    <mergeCell ref="C3:K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U419"/>
  <sheetViews>
    <sheetView showGridLines="0" workbookViewId="0">
      <pane xSplit="2" ySplit="5" topLeftCell="J69" activePane="bottomRight" state="frozen"/>
      <selection pane="topRight" activeCell="C1" sqref="C1"/>
      <selection pane="bottomLeft" activeCell="A6" sqref="A6"/>
      <selection pane="bottomRight" activeCell="P83" sqref="P83"/>
    </sheetView>
  </sheetViews>
  <sheetFormatPr baseColWidth="10" defaultColWidth="4.5703125" defaultRowHeight="15" x14ac:dyDescent="0.25"/>
  <cols>
    <col min="1" max="1" width="15" style="84" customWidth="1"/>
    <col min="2" max="2" width="52.85546875" style="84" customWidth="1"/>
    <col min="3" max="3" width="20" style="89" bestFit="1" customWidth="1"/>
    <col min="4" max="4" width="18.85546875" style="89" bestFit="1" customWidth="1"/>
    <col min="5" max="5" width="22.140625" style="89" bestFit="1" customWidth="1"/>
    <col min="6" max="6" width="18.85546875" style="89" bestFit="1" customWidth="1"/>
    <col min="7" max="7" width="21.42578125" style="89" bestFit="1" customWidth="1"/>
    <col min="8" max="8" width="18.85546875" style="89" bestFit="1" customWidth="1"/>
    <col min="9" max="9" width="26.28515625" style="89" bestFit="1" customWidth="1"/>
    <col min="10" max="10" width="19.85546875" style="89" bestFit="1" customWidth="1"/>
    <col min="11" max="11" width="17.5703125" style="89" bestFit="1" customWidth="1"/>
    <col min="12" max="13" width="18.85546875" style="89" bestFit="1" customWidth="1"/>
    <col min="14" max="14" width="20" style="89" bestFit="1" customWidth="1"/>
    <col min="15" max="15" width="19.85546875" style="89" bestFit="1" customWidth="1"/>
    <col min="16" max="16" width="23.28515625" style="89" bestFit="1" customWidth="1"/>
    <col min="17" max="17" width="17.42578125" style="89" bestFit="1" customWidth="1"/>
    <col min="18" max="18" width="6.42578125" style="84" hidden="1" customWidth="1"/>
    <col min="19" max="19" width="17.42578125" style="84" hidden="1" customWidth="1"/>
    <col min="20" max="20" width="18" style="84" hidden="1" customWidth="1"/>
    <col min="21" max="21" width="41.5703125" style="84" bestFit="1" customWidth="1"/>
    <col min="22" max="22" width="19.42578125" style="84" customWidth="1"/>
    <col min="23" max="23" width="4.5703125" style="84"/>
    <col min="24" max="24" width="14.85546875" style="84" customWidth="1"/>
    <col min="25" max="25" width="13.7109375" style="84" customWidth="1"/>
    <col min="26" max="26" width="4.5703125" style="84"/>
    <col min="27" max="27" width="13.28515625" style="84" customWidth="1"/>
    <col min="28" max="28" width="100" style="84" customWidth="1"/>
    <col min="29" max="29" width="20" style="84" customWidth="1"/>
    <col min="30" max="30" width="18.85546875" style="84" customWidth="1"/>
    <col min="31" max="31" width="18.5703125" style="84" customWidth="1"/>
    <col min="32" max="32" width="18.85546875" style="84" customWidth="1"/>
    <col min="33" max="33" width="20" style="84" customWidth="1"/>
    <col min="34" max="34" width="18.85546875" style="84" customWidth="1"/>
    <col min="35" max="35" width="22.5703125" style="84" customWidth="1"/>
    <col min="36" max="36" width="20.140625" style="84" customWidth="1"/>
    <col min="37" max="37" width="16" style="84" customWidth="1"/>
    <col min="38" max="38" width="17.5703125" style="84" customWidth="1"/>
    <col min="39" max="40" width="18.85546875" style="84" customWidth="1"/>
    <col min="41" max="41" width="17.5703125" style="84" customWidth="1"/>
    <col min="42" max="42" width="18.85546875" style="84" customWidth="1"/>
    <col min="43" max="43" width="20" style="84" customWidth="1"/>
    <col min="44" max="44" width="18.85546875" style="84" customWidth="1"/>
    <col min="45" max="45" width="21.28515625" style="84" customWidth="1"/>
    <col min="46" max="46" width="20.7109375" style="84" customWidth="1"/>
    <col min="47" max="53" width="4.5703125" style="84"/>
    <col min="54" max="54" width="16" style="84" customWidth="1"/>
    <col min="55" max="55" width="60.42578125" style="84" customWidth="1"/>
    <col min="56" max="56" width="20" style="84" customWidth="1"/>
    <col min="57" max="57" width="18.85546875" style="84" customWidth="1"/>
    <col min="58" max="58" width="18.5703125" style="84" customWidth="1"/>
    <col min="59" max="59" width="18.85546875" style="84" customWidth="1"/>
    <col min="60" max="60" width="20" style="84" customWidth="1"/>
    <col min="61" max="61" width="17.5703125" style="84" customWidth="1"/>
    <col min="62" max="62" width="22.5703125" style="84" customWidth="1"/>
    <col min="63" max="63" width="20.140625" style="84" customWidth="1"/>
    <col min="64" max="64" width="17.5703125" style="84" customWidth="1"/>
    <col min="65" max="67" width="18.85546875" style="84" customWidth="1"/>
    <col min="68" max="68" width="20" style="84" customWidth="1"/>
    <col min="69" max="69" width="21.28515625" style="84" customWidth="1"/>
    <col min="70" max="70" width="20.7109375" style="84" customWidth="1"/>
    <col min="71" max="71" width="18.85546875" style="84" customWidth="1"/>
    <col min="72" max="16381" width="4.5703125" style="84"/>
    <col min="16382" max="16382" width="14" style="84" customWidth="1"/>
    <col min="16383" max="16383" width="13.42578125" style="84" customWidth="1"/>
    <col min="16384" max="16384" width="5.28515625" style="84" customWidth="1"/>
  </cols>
  <sheetData>
    <row r="4" spans="1:21" ht="49.5" customHeight="1" x14ac:dyDescent="0.25"/>
    <row r="5" spans="1:21" ht="30" x14ac:dyDescent="0.25">
      <c r="A5" s="44" t="s">
        <v>0</v>
      </c>
      <c r="B5" s="44" t="s">
        <v>1</v>
      </c>
      <c r="C5" s="45" t="s">
        <v>2</v>
      </c>
      <c r="D5" s="45" t="s">
        <v>3</v>
      </c>
      <c r="E5" s="45" t="s">
        <v>4</v>
      </c>
      <c r="F5" s="45" t="s">
        <v>5</v>
      </c>
      <c r="G5" s="45" t="s">
        <v>505</v>
      </c>
      <c r="H5" s="45" t="s">
        <v>797</v>
      </c>
      <c r="I5" s="45" t="s">
        <v>798</v>
      </c>
      <c r="J5" s="45" t="s">
        <v>506</v>
      </c>
      <c r="K5" s="45" t="s">
        <v>800</v>
      </c>
      <c r="L5" s="45" t="s">
        <v>801</v>
      </c>
      <c r="M5" s="45" t="s">
        <v>802</v>
      </c>
      <c r="N5" s="45" t="s">
        <v>803</v>
      </c>
      <c r="O5" s="45" t="s">
        <v>508</v>
      </c>
      <c r="P5" s="45" t="s">
        <v>220</v>
      </c>
      <c r="Q5" s="45" t="s">
        <v>509</v>
      </c>
      <c r="S5" s="45" t="s">
        <v>890</v>
      </c>
      <c r="T5" s="45" t="s">
        <v>891</v>
      </c>
    </row>
    <row r="6" spans="1:21" s="100" customFormat="1" x14ac:dyDescent="0.25">
      <c r="A6" s="97">
        <v>2</v>
      </c>
      <c r="B6" s="98" t="s">
        <v>6</v>
      </c>
      <c r="C6" s="99">
        <f>+C7+C250</f>
        <v>128545687388</v>
      </c>
      <c r="D6" s="99">
        <f t="shared" ref="D6:Q6" si="0">+D7+D250</f>
        <v>12758079262</v>
      </c>
      <c r="E6" s="99">
        <f t="shared" si="0"/>
        <v>12758079262</v>
      </c>
      <c r="F6" s="99">
        <f t="shared" si="0"/>
        <v>27215530992.239998</v>
      </c>
      <c r="G6" s="99">
        <f t="shared" si="0"/>
        <v>155761218380.23999</v>
      </c>
      <c r="H6" s="99">
        <v>8204039367.5099993</v>
      </c>
      <c r="I6" s="99">
        <v>110589253097.19</v>
      </c>
      <c r="J6" s="99">
        <f t="shared" si="0"/>
        <v>43708013100.410004</v>
      </c>
      <c r="K6" s="99">
        <v>8866564695.2099991</v>
      </c>
      <c r="L6" s="99">
        <v>93545057509.830002</v>
      </c>
      <c r="M6" s="99">
        <f t="shared" si="0"/>
        <v>16478457198.960003</v>
      </c>
      <c r="N6" s="99">
        <v>115430380306.66997</v>
      </c>
      <c r="O6" s="99">
        <f t="shared" si="0"/>
        <v>4803884903.4799986</v>
      </c>
      <c r="P6" s="99">
        <f t="shared" si="0"/>
        <v>39061108517.970001</v>
      </c>
      <c r="Q6" s="99">
        <f t="shared" si="0"/>
        <v>91898829552.329987</v>
      </c>
      <c r="R6" s="148"/>
      <c r="S6" s="99"/>
      <c r="T6" s="99"/>
    </row>
    <row r="7" spans="1:21" s="100" customFormat="1" x14ac:dyDescent="0.25">
      <c r="A7" s="335">
        <v>21</v>
      </c>
      <c r="B7" s="336" t="s">
        <v>7</v>
      </c>
      <c r="C7" s="365">
        <f>+C8+C63+C236+C240+C242</f>
        <v>117594878148</v>
      </c>
      <c r="D7" s="365">
        <f t="shared" ref="D7:Q7" si="1">+D8+D63+D236+D240+D242</f>
        <v>3778700936</v>
      </c>
      <c r="E7" s="365">
        <f t="shared" si="1"/>
        <v>3982700936</v>
      </c>
      <c r="F7" s="365">
        <f t="shared" si="1"/>
        <v>4891395969.7299995</v>
      </c>
      <c r="G7" s="365">
        <f t="shared" si="1"/>
        <v>122282274117.73</v>
      </c>
      <c r="H7" s="365">
        <v>6385976075.71</v>
      </c>
      <c r="I7" s="365">
        <v>97100088945.490005</v>
      </c>
      <c r="J7" s="365">
        <f t="shared" si="1"/>
        <v>25182185172.240002</v>
      </c>
      <c r="K7" s="365">
        <v>7212381767.5</v>
      </c>
      <c r="L7" s="365">
        <v>85227508164.939987</v>
      </c>
      <c r="M7" s="365">
        <f t="shared" si="1"/>
        <v>11872580780.550003</v>
      </c>
      <c r="N7" s="365">
        <v>99331297374.589996</v>
      </c>
      <c r="O7" s="365">
        <f t="shared" si="1"/>
        <v>2231208429.0999985</v>
      </c>
      <c r="P7" s="365">
        <f t="shared" si="1"/>
        <v>22950976743.140003</v>
      </c>
      <c r="Q7" s="365">
        <f t="shared" si="1"/>
        <v>85041200883.539993</v>
      </c>
      <c r="S7" s="365"/>
      <c r="T7" s="365"/>
    </row>
    <row r="8" spans="1:21" s="100" customFormat="1" x14ac:dyDescent="0.25">
      <c r="A8" s="335">
        <v>211</v>
      </c>
      <c r="B8" s="336" t="s">
        <v>8</v>
      </c>
      <c r="C8" s="365">
        <f>+C9+C43</f>
        <v>103924427514</v>
      </c>
      <c r="D8" s="365">
        <f t="shared" ref="D8:Q8" si="2">+D9+D43</f>
        <v>678643009</v>
      </c>
      <c r="E8" s="365">
        <f t="shared" si="2"/>
        <v>2303003991</v>
      </c>
      <c r="F8" s="365">
        <f t="shared" si="2"/>
        <v>2883791067</v>
      </c>
      <c r="G8" s="365">
        <f t="shared" si="2"/>
        <v>105183857599</v>
      </c>
      <c r="H8" s="365">
        <v>5862824568</v>
      </c>
      <c r="I8" s="365">
        <v>83984742188.25</v>
      </c>
      <c r="J8" s="365">
        <f t="shared" si="2"/>
        <v>21199115410.75</v>
      </c>
      <c r="K8" s="365">
        <v>6613265119</v>
      </c>
      <c r="L8" s="365">
        <v>74470792834.050003</v>
      </c>
      <c r="M8" s="365">
        <f t="shared" si="2"/>
        <v>9513949354.2000027</v>
      </c>
      <c r="N8" s="365">
        <v>84639885230.169998</v>
      </c>
      <c r="O8" s="365">
        <f t="shared" si="2"/>
        <v>655143041.91999817</v>
      </c>
      <c r="P8" s="365">
        <f t="shared" si="2"/>
        <v>20543972368.830002</v>
      </c>
      <c r="Q8" s="365">
        <f t="shared" si="2"/>
        <v>74470792834.049988</v>
      </c>
      <c r="S8" s="365">
        <f>+S9+S43</f>
        <v>45759122529.080002</v>
      </c>
      <c r="T8" s="382">
        <f t="shared" ref="T8" si="3">+T9+T43</f>
        <v>-35196320262.080002</v>
      </c>
      <c r="U8" s="155" t="s">
        <v>892</v>
      </c>
    </row>
    <row r="9" spans="1:21" s="100" customFormat="1" x14ac:dyDescent="0.25">
      <c r="A9" s="335">
        <v>2111</v>
      </c>
      <c r="B9" s="336" t="s">
        <v>9</v>
      </c>
      <c r="C9" s="365">
        <f>+C10+C27+C34</f>
        <v>76451082961</v>
      </c>
      <c r="D9" s="365">
        <f t="shared" ref="D9:Q9" si="4">+D10+D27+D34</f>
        <v>298775800</v>
      </c>
      <c r="E9" s="365">
        <f t="shared" si="4"/>
        <v>1938003991</v>
      </c>
      <c r="F9" s="365">
        <f t="shared" si="4"/>
        <v>1111920165</v>
      </c>
      <c r="G9" s="365">
        <f t="shared" si="4"/>
        <v>75923774935</v>
      </c>
      <c r="H9" s="365">
        <v>5070265691</v>
      </c>
      <c r="I9" s="365">
        <v>55425043106.169998</v>
      </c>
      <c r="J9" s="365">
        <f t="shared" si="4"/>
        <v>20498731828.830002</v>
      </c>
      <c r="K9" s="365">
        <v>4943441967</v>
      </c>
      <c r="L9" s="365">
        <v>55285338954.169998</v>
      </c>
      <c r="M9" s="365">
        <f t="shared" si="4"/>
        <v>139704152</v>
      </c>
      <c r="N9" s="365">
        <v>55533964996.169998</v>
      </c>
      <c r="O9" s="365">
        <f t="shared" si="4"/>
        <v>108921890</v>
      </c>
      <c r="P9" s="365">
        <f t="shared" si="4"/>
        <v>20389809938.830002</v>
      </c>
      <c r="Q9" s="365">
        <f t="shared" si="4"/>
        <v>55285338954.169998</v>
      </c>
      <c r="R9" s="156"/>
      <c r="S9" s="365">
        <f t="shared" ref="S9:T9" si="5">+S10+S27+S34</f>
        <v>22800328404</v>
      </c>
      <c r="T9" s="365">
        <f t="shared" si="5"/>
        <v>-11482290017</v>
      </c>
    </row>
    <row r="10" spans="1:21" s="100" customFormat="1" x14ac:dyDescent="0.25">
      <c r="A10" s="337">
        <v>21111</v>
      </c>
      <c r="B10" s="338" t="s">
        <v>10</v>
      </c>
      <c r="C10" s="366">
        <f>+C11+C23</f>
        <v>58994774236</v>
      </c>
      <c r="D10" s="366">
        <f t="shared" ref="D10:Q10" si="6">+D11+D23</f>
        <v>148775800</v>
      </c>
      <c r="E10" s="366">
        <f t="shared" si="6"/>
        <v>0</v>
      </c>
      <c r="F10" s="366">
        <f t="shared" si="6"/>
        <v>1111920165</v>
      </c>
      <c r="G10" s="366">
        <f t="shared" si="6"/>
        <v>60255470201</v>
      </c>
      <c r="H10" s="366">
        <v>3825420541</v>
      </c>
      <c r="I10" s="366">
        <v>42660335055.169998</v>
      </c>
      <c r="J10" s="366">
        <f t="shared" si="6"/>
        <v>17595135145.830002</v>
      </c>
      <c r="K10" s="366">
        <v>3782865905</v>
      </c>
      <c r="L10" s="366">
        <v>42612165727.169998</v>
      </c>
      <c r="M10" s="366">
        <f t="shared" si="6"/>
        <v>48169328</v>
      </c>
      <c r="N10" s="366">
        <v>42768933605.169998</v>
      </c>
      <c r="O10" s="366">
        <f t="shared" si="6"/>
        <v>108598550</v>
      </c>
      <c r="P10" s="366">
        <f t="shared" si="6"/>
        <v>17486536595.830002</v>
      </c>
      <c r="Q10" s="366">
        <f t="shared" si="6"/>
        <v>42612165727.169998</v>
      </c>
      <c r="R10" s="156"/>
      <c r="S10" s="366">
        <f t="shared" ref="S10:T10" si="7">+S11+S23</f>
        <v>22800328404</v>
      </c>
      <c r="T10" s="366">
        <f t="shared" si="7"/>
        <v>-11482290017</v>
      </c>
    </row>
    <row r="11" spans="1:21" s="100" customFormat="1" x14ac:dyDescent="0.25">
      <c r="A11" s="339">
        <v>211111</v>
      </c>
      <c r="B11" s="340" t="s">
        <v>11</v>
      </c>
      <c r="C11" s="367">
        <f>+C12+C13+C14+C15+C16+C17+C18+C19+C22</f>
        <v>57900582100</v>
      </c>
      <c r="D11" s="367">
        <f t="shared" ref="D11:Q11" si="8">+D12+D13+D14+D15+D16+D17+D18+D19+D22</f>
        <v>0</v>
      </c>
      <c r="E11" s="367">
        <f t="shared" si="8"/>
        <v>0</v>
      </c>
      <c r="F11" s="367">
        <f t="shared" si="8"/>
        <v>1111920165</v>
      </c>
      <c r="G11" s="367">
        <f t="shared" si="8"/>
        <v>59012502265</v>
      </c>
      <c r="H11" s="367">
        <v>3814618570</v>
      </c>
      <c r="I11" s="367">
        <v>41421147119.169998</v>
      </c>
      <c r="J11" s="367">
        <f t="shared" si="8"/>
        <v>17591355145.830002</v>
      </c>
      <c r="K11" s="367">
        <v>3772063934</v>
      </c>
      <c r="L11" s="367">
        <v>41378532040.169998</v>
      </c>
      <c r="M11" s="367">
        <f t="shared" si="8"/>
        <v>42615079</v>
      </c>
      <c r="N11" s="367">
        <v>41525965669.169998</v>
      </c>
      <c r="O11" s="367">
        <f t="shared" si="8"/>
        <v>104818550</v>
      </c>
      <c r="P11" s="367">
        <f t="shared" si="8"/>
        <v>17486536595.830002</v>
      </c>
      <c r="Q11" s="367">
        <f t="shared" si="8"/>
        <v>41378532040.169998</v>
      </c>
      <c r="S11" s="367">
        <f t="shared" ref="S11:T11" si="9">+S12+S13+S14+S15+S16+S17+S18+S19+S22</f>
        <v>22800328404</v>
      </c>
      <c r="T11" s="367">
        <f t="shared" si="9"/>
        <v>-11482290017</v>
      </c>
    </row>
    <row r="12" spans="1:21" x14ac:dyDescent="0.25">
      <c r="A12" s="341">
        <v>2111111</v>
      </c>
      <c r="B12" s="342" t="s">
        <v>510</v>
      </c>
      <c r="C12" s="368">
        <v>32061480419</v>
      </c>
      <c r="D12" s="368">
        <v>0</v>
      </c>
      <c r="E12" s="368">
        <v>0</v>
      </c>
      <c r="F12" s="368">
        <f>81443507+1030476658</f>
        <v>1111920165</v>
      </c>
      <c r="G12" s="368">
        <f>+C12+D12-E12+F12</f>
        <v>33173400584</v>
      </c>
      <c r="H12" s="368">
        <v>2379528855</v>
      </c>
      <c r="I12" s="368">
        <v>24358145047</v>
      </c>
      <c r="J12" s="368">
        <f t="shared" ref="J12:J69" si="10">+G12-I12</f>
        <v>8815255537</v>
      </c>
      <c r="K12" s="368">
        <v>2367509042</v>
      </c>
      <c r="L12" s="368">
        <v>24346125234</v>
      </c>
      <c r="M12" s="368">
        <f t="shared" ref="M12:M69" si="11">+I12-L12</f>
        <v>12019813</v>
      </c>
      <c r="N12" s="368">
        <v>24462953597</v>
      </c>
      <c r="O12" s="368">
        <f t="shared" ref="O12:O69" si="12">+N12-I12</f>
        <v>104808550</v>
      </c>
      <c r="P12" s="368">
        <f t="shared" ref="P12:P69" si="13">+G12-N12</f>
        <v>8710446987</v>
      </c>
      <c r="Q12" s="368">
        <f t="shared" ref="Q12:Q69" si="14">+L12</f>
        <v>24346125234</v>
      </c>
      <c r="S12" s="121">
        <f t="shared" ref="S12:S18" si="15">+H12*6</f>
        <v>14277173130</v>
      </c>
      <c r="T12" s="166">
        <f t="shared" ref="T12:T18" si="16">+P12-S12</f>
        <v>-5566726143</v>
      </c>
    </row>
    <row r="13" spans="1:21" x14ac:dyDescent="0.25">
      <c r="A13" s="341">
        <v>2111112</v>
      </c>
      <c r="B13" s="342" t="s">
        <v>511</v>
      </c>
      <c r="C13" s="368">
        <v>585798342</v>
      </c>
      <c r="D13" s="368">
        <v>0</v>
      </c>
      <c r="E13" s="368">
        <v>0</v>
      </c>
      <c r="F13" s="368">
        <v>0</v>
      </c>
      <c r="G13" s="368">
        <f>+C13+D13-E13+F13</f>
        <v>585798342</v>
      </c>
      <c r="H13" s="368">
        <v>33347068</v>
      </c>
      <c r="I13" s="368">
        <v>416040535</v>
      </c>
      <c r="J13" s="368">
        <f t="shared" si="10"/>
        <v>169757807</v>
      </c>
      <c r="K13" s="368">
        <v>33347068</v>
      </c>
      <c r="L13" s="368">
        <v>416040535</v>
      </c>
      <c r="M13" s="368">
        <f t="shared" si="11"/>
        <v>0</v>
      </c>
      <c r="N13" s="368">
        <v>416040535</v>
      </c>
      <c r="O13" s="368">
        <f t="shared" si="12"/>
        <v>0</v>
      </c>
      <c r="P13" s="368">
        <f t="shared" si="13"/>
        <v>169757807</v>
      </c>
      <c r="Q13" s="368">
        <f t="shared" si="14"/>
        <v>416040535</v>
      </c>
      <c r="S13" s="121">
        <f t="shared" si="15"/>
        <v>200082408</v>
      </c>
      <c r="T13" s="166">
        <f t="shared" si="16"/>
        <v>-30324601</v>
      </c>
    </row>
    <row r="14" spans="1:21" x14ac:dyDescent="0.25">
      <c r="A14" s="341">
        <v>2111113</v>
      </c>
      <c r="B14" s="342" t="s">
        <v>512</v>
      </c>
      <c r="C14" s="368">
        <v>12743785045</v>
      </c>
      <c r="D14" s="368">
        <v>0</v>
      </c>
      <c r="E14" s="368">
        <v>0</v>
      </c>
      <c r="F14" s="368">
        <v>0</v>
      </c>
      <c r="G14" s="368">
        <f>+C14+D14-E14+F14</f>
        <v>12743785045</v>
      </c>
      <c r="H14" s="368">
        <v>1081006293</v>
      </c>
      <c r="I14" s="368">
        <v>10709593574</v>
      </c>
      <c r="J14" s="368">
        <f t="shared" si="10"/>
        <v>2034191471</v>
      </c>
      <c r="K14" s="368">
        <v>1081006293</v>
      </c>
      <c r="L14" s="368">
        <v>10709593574</v>
      </c>
      <c r="M14" s="368">
        <f t="shared" si="11"/>
        <v>0</v>
      </c>
      <c r="N14" s="368">
        <v>10709593574</v>
      </c>
      <c r="O14" s="368">
        <f t="shared" si="12"/>
        <v>0</v>
      </c>
      <c r="P14" s="368">
        <f t="shared" si="13"/>
        <v>2034191471</v>
      </c>
      <c r="Q14" s="368">
        <f t="shared" si="14"/>
        <v>10709593574</v>
      </c>
      <c r="S14" s="121">
        <f t="shared" si="15"/>
        <v>6486037758</v>
      </c>
      <c r="T14" s="166">
        <f t="shared" si="16"/>
        <v>-4451846287</v>
      </c>
    </row>
    <row r="15" spans="1:21" x14ac:dyDescent="0.25">
      <c r="A15" s="341">
        <v>2111114</v>
      </c>
      <c r="B15" s="342" t="s">
        <v>513</v>
      </c>
      <c r="C15" s="368">
        <v>319163730</v>
      </c>
      <c r="D15" s="368">
        <v>0</v>
      </c>
      <c r="E15" s="368">
        <v>0</v>
      </c>
      <c r="F15" s="368">
        <v>0</v>
      </c>
      <c r="G15" s="368">
        <f>+C15+D15-E15+F15</f>
        <v>319163730</v>
      </c>
      <c r="H15" s="368">
        <v>31112232</v>
      </c>
      <c r="I15" s="368">
        <v>221962455</v>
      </c>
      <c r="J15" s="368">
        <f t="shared" si="10"/>
        <v>97201275</v>
      </c>
      <c r="K15" s="368">
        <v>25250371</v>
      </c>
      <c r="L15" s="368">
        <v>217433355</v>
      </c>
      <c r="M15" s="368">
        <f t="shared" si="11"/>
        <v>4529100</v>
      </c>
      <c r="N15" s="368">
        <v>221972455</v>
      </c>
      <c r="O15" s="368">
        <f t="shared" si="12"/>
        <v>10000</v>
      </c>
      <c r="P15" s="368">
        <f t="shared" si="13"/>
        <v>97191275</v>
      </c>
      <c r="Q15" s="368">
        <f t="shared" si="14"/>
        <v>217433355</v>
      </c>
      <c r="S15" s="121">
        <f t="shared" si="15"/>
        <v>186673392</v>
      </c>
      <c r="T15" s="166">
        <f t="shared" si="16"/>
        <v>-89482117</v>
      </c>
    </row>
    <row r="16" spans="1:21" x14ac:dyDescent="0.25">
      <c r="A16" s="341">
        <v>2111115</v>
      </c>
      <c r="B16" s="342" t="s">
        <v>514</v>
      </c>
      <c r="C16" s="368">
        <v>331125950</v>
      </c>
      <c r="D16" s="368">
        <v>0</v>
      </c>
      <c r="E16" s="368">
        <v>0</v>
      </c>
      <c r="F16" s="368">
        <v>0</v>
      </c>
      <c r="G16" s="368">
        <f t="shared" ref="G16:G79" si="17">+C16+D16-E16+F16</f>
        <v>331125950</v>
      </c>
      <c r="H16" s="368">
        <v>25640957</v>
      </c>
      <c r="I16" s="368">
        <v>226911479</v>
      </c>
      <c r="J16" s="368">
        <f t="shared" si="10"/>
        <v>104214471</v>
      </c>
      <c r="K16" s="368">
        <v>21405596</v>
      </c>
      <c r="L16" s="368">
        <v>222676118</v>
      </c>
      <c r="M16" s="368">
        <f t="shared" si="11"/>
        <v>4235361</v>
      </c>
      <c r="N16" s="368">
        <v>226911479</v>
      </c>
      <c r="O16" s="368">
        <f t="shared" si="12"/>
        <v>0</v>
      </c>
      <c r="P16" s="368">
        <f t="shared" si="13"/>
        <v>104214471</v>
      </c>
      <c r="Q16" s="368">
        <f t="shared" si="14"/>
        <v>222676118</v>
      </c>
      <c r="S16" s="121">
        <f t="shared" si="15"/>
        <v>153845742</v>
      </c>
      <c r="T16" s="166">
        <f t="shared" si="16"/>
        <v>-49631271</v>
      </c>
    </row>
    <row r="17" spans="1:20" x14ac:dyDescent="0.25">
      <c r="A17" s="341">
        <v>2111116</v>
      </c>
      <c r="B17" s="342" t="s">
        <v>515</v>
      </c>
      <c r="C17" s="368">
        <v>3339172054</v>
      </c>
      <c r="D17" s="368">
        <v>0</v>
      </c>
      <c r="E17" s="368">
        <v>0</v>
      </c>
      <c r="F17" s="368">
        <v>0</v>
      </c>
      <c r="G17" s="368">
        <f t="shared" si="17"/>
        <v>3339172054</v>
      </c>
      <c r="H17" s="368">
        <v>0</v>
      </c>
      <c r="I17" s="368">
        <v>3339172054</v>
      </c>
      <c r="J17" s="368">
        <f t="shared" si="10"/>
        <v>0</v>
      </c>
      <c r="K17" s="368">
        <v>0</v>
      </c>
      <c r="L17" s="368">
        <v>3339172054</v>
      </c>
      <c r="M17" s="368">
        <f t="shared" si="11"/>
        <v>0</v>
      </c>
      <c r="N17" s="368">
        <v>3339172054</v>
      </c>
      <c r="O17" s="368">
        <f t="shared" si="12"/>
        <v>0</v>
      </c>
      <c r="P17" s="368">
        <f t="shared" si="13"/>
        <v>0</v>
      </c>
      <c r="Q17" s="368">
        <f t="shared" si="14"/>
        <v>3339172054</v>
      </c>
      <c r="S17" s="121">
        <f t="shared" si="15"/>
        <v>0</v>
      </c>
      <c r="T17" s="166">
        <f t="shared" si="16"/>
        <v>0</v>
      </c>
    </row>
    <row r="18" spans="1:20" x14ac:dyDescent="0.25">
      <c r="A18" s="341">
        <v>2111117</v>
      </c>
      <c r="B18" s="342" t="s">
        <v>516</v>
      </c>
      <c r="C18" s="368">
        <v>1856673210</v>
      </c>
      <c r="D18" s="368">
        <v>0</v>
      </c>
      <c r="E18" s="368">
        <v>0</v>
      </c>
      <c r="F18" s="368">
        <v>0</v>
      </c>
      <c r="G18" s="368">
        <f t="shared" si="17"/>
        <v>1856673210</v>
      </c>
      <c r="H18" s="368">
        <v>226875313</v>
      </c>
      <c r="I18" s="368">
        <v>1703356033</v>
      </c>
      <c r="J18" s="368">
        <f t="shared" si="10"/>
        <v>153317177</v>
      </c>
      <c r="K18" s="368">
        <v>211765695</v>
      </c>
      <c r="L18" s="368">
        <v>1689839232</v>
      </c>
      <c r="M18" s="368">
        <f t="shared" si="11"/>
        <v>13516801</v>
      </c>
      <c r="N18" s="368">
        <v>1703356033</v>
      </c>
      <c r="O18" s="368">
        <f t="shared" si="12"/>
        <v>0</v>
      </c>
      <c r="P18" s="368">
        <f t="shared" si="13"/>
        <v>153317177</v>
      </c>
      <c r="Q18" s="368">
        <f t="shared" si="14"/>
        <v>1689839232</v>
      </c>
      <c r="S18" s="121">
        <f t="shared" si="15"/>
        <v>1361251878</v>
      </c>
      <c r="T18" s="166">
        <f t="shared" si="16"/>
        <v>-1207934701</v>
      </c>
    </row>
    <row r="19" spans="1:20" s="100" customFormat="1" x14ac:dyDescent="0.25">
      <c r="A19" s="339">
        <v>2111118</v>
      </c>
      <c r="B19" s="340" t="s">
        <v>12</v>
      </c>
      <c r="C19" s="367">
        <f>+C20+C21</f>
        <v>6389023991</v>
      </c>
      <c r="D19" s="367">
        <f t="shared" ref="D19:Q19" si="18">+D20+D21</f>
        <v>0</v>
      </c>
      <c r="E19" s="367">
        <f t="shared" si="18"/>
        <v>0</v>
      </c>
      <c r="F19" s="367">
        <f t="shared" si="18"/>
        <v>0</v>
      </c>
      <c r="G19" s="367">
        <f t="shared" si="18"/>
        <v>6389023991</v>
      </c>
      <c r="H19" s="367">
        <v>14563836</v>
      </c>
      <c r="I19" s="367">
        <v>220525782.17000002</v>
      </c>
      <c r="J19" s="367">
        <f t="shared" si="18"/>
        <v>6168498208.8299999</v>
      </c>
      <c r="K19" s="367">
        <v>9235853</v>
      </c>
      <c r="L19" s="367">
        <v>212211778.17000002</v>
      </c>
      <c r="M19" s="367">
        <f t="shared" si="18"/>
        <v>8314004</v>
      </c>
      <c r="N19" s="367">
        <v>220525782.17000002</v>
      </c>
      <c r="O19" s="367">
        <f t="shared" si="18"/>
        <v>0</v>
      </c>
      <c r="P19" s="367">
        <f t="shared" si="18"/>
        <v>6168498208.8299999</v>
      </c>
      <c r="Q19" s="367">
        <f t="shared" si="18"/>
        <v>212211778.17000002</v>
      </c>
    </row>
    <row r="20" spans="1:20" x14ac:dyDescent="0.25">
      <c r="A20" s="341">
        <v>21111181</v>
      </c>
      <c r="B20" s="342" t="s">
        <v>517</v>
      </c>
      <c r="C20" s="368">
        <v>3937020869</v>
      </c>
      <c r="D20" s="368">
        <v>0</v>
      </c>
      <c r="E20" s="368">
        <v>0</v>
      </c>
      <c r="F20" s="368">
        <v>0</v>
      </c>
      <c r="G20" s="368">
        <f t="shared" si="17"/>
        <v>3937020869</v>
      </c>
      <c r="H20" s="368">
        <v>0</v>
      </c>
      <c r="I20" s="368">
        <v>54993202.170000002</v>
      </c>
      <c r="J20" s="368">
        <f t="shared" si="10"/>
        <v>3882027666.8299999</v>
      </c>
      <c r="K20" s="368">
        <v>0</v>
      </c>
      <c r="L20" s="368">
        <v>54993202.170000002</v>
      </c>
      <c r="M20" s="368">
        <f t="shared" si="11"/>
        <v>0</v>
      </c>
      <c r="N20" s="368">
        <v>54993202.170000002</v>
      </c>
      <c r="O20" s="368">
        <f t="shared" si="12"/>
        <v>0</v>
      </c>
      <c r="P20" s="368">
        <f t="shared" si="13"/>
        <v>3882027666.8299999</v>
      </c>
      <c r="Q20" s="368">
        <f t="shared" si="14"/>
        <v>54993202.170000002</v>
      </c>
      <c r="S20" s="121">
        <f>+H20*6</f>
        <v>0</v>
      </c>
      <c r="T20" s="166">
        <f>+P20-S20</f>
        <v>3882027666.8299999</v>
      </c>
    </row>
    <row r="21" spans="1:20" x14ac:dyDescent="0.25">
      <c r="A21" s="341">
        <v>21111182</v>
      </c>
      <c r="B21" s="342" t="s">
        <v>518</v>
      </c>
      <c r="C21" s="368">
        <v>2452003122</v>
      </c>
      <c r="D21" s="368">
        <v>0</v>
      </c>
      <c r="E21" s="368">
        <v>0</v>
      </c>
      <c r="F21" s="368">
        <v>0</v>
      </c>
      <c r="G21" s="368">
        <f t="shared" si="17"/>
        <v>2452003122</v>
      </c>
      <c r="H21" s="368">
        <v>14563836</v>
      </c>
      <c r="I21" s="368">
        <v>165532580</v>
      </c>
      <c r="J21" s="368">
        <f t="shared" si="10"/>
        <v>2286470542</v>
      </c>
      <c r="K21" s="368">
        <v>9235853</v>
      </c>
      <c r="L21" s="368">
        <v>157218576</v>
      </c>
      <c r="M21" s="368">
        <f t="shared" si="11"/>
        <v>8314004</v>
      </c>
      <c r="N21" s="368">
        <v>165532580</v>
      </c>
      <c r="O21" s="368">
        <f t="shared" si="12"/>
        <v>0</v>
      </c>
      <c r="P21" s="368">
        <f t="shared" si="13"/>
        <v>2286470542</v>
      </c>
      <c r="Q21" s="368">
        <f t="shared" si="14"/>
        <v>157218576</v>
      </c>
      <c r="S21" s="121">
        <f>+H21*6</f>
        <v>87383016</v>
      </c>
      <c r="T21" s="166">
        <f>+P21-S21</f>
        <v>2199087526</v>
      </c>
    </row>
    <row r="22" spans="1:20" x14ac:dyDescent="0.25">
      <c r="A22" s="341">
        <v>2111119</v>
      </c>
      <c r="B22" s="342" t="s">
        <v>519</v>
      </c>
      <c r="C22" s="368">
        <v>274359359</v>
      </c>
      <c r="D22" s="368">
        <v>0</v>
      </c>
      <c r="E22" s="368">
        <v>0</v>
      </c>
      <c r="F22" s="368">
        <v>0</v>
      </c>
      <c r="G22" s="368">
        <f t="shared" si="17"/>
        <v>274359359</v>
      </c>
      <c r="H22" s="368">
        <v>22544016</v>
      </c>
      <c r="I22" s="368">
        <v>225440160</v>
      </c>
      <c r="J22" s="368">
        <f t="shared" si="10"/>
        <v>48919199</v>
      </c>
      <c r="K22" s="368">
        <v>22544016</v>
      </c>
      <c r="L22" s="368">
        <v>225440160</v>
      </c>
      <c r="M22" s="368">
        <f t="shared" si="11"/>
        <v>0</v>
      </c>
      <c r="N22" s="368">
        <v>225440160</v>
      </c>
      <c r="O22" s="368">
        <f t="shared" si="12"/>
        <v>0</v>
      </c>
      <c r="P22" s="368">
        <f t="shared" si="13"/>
        <v>48919199</v>
      </c>
      <c r="Q22" s="368">
        <f t="shared" si="14"/>
        <v>225440160</v>
      </c>
      <c r="S22" s="121">
        <f>+H22*6</f>
        <v>135264096</v>
      </c>
      <c r="T22" s="166">
        <f>+P22-S22</f>
        <v>-86344897</v>
      </c>
    </row>
    <row r="23" spans="1:20" s="100" customFormat="1" x14ac:dyDescent="0.25">
      <c r="A23" s="339">
        <v>211112</v>
      </c>
      <c r="B23" s="340" t="s">
        <v>13</v>
      </c>
      <c r="C23" s="367">
        <f>SUM(C24:C26)</f>
        <v>1094192136</v>
      </c>
      <c r="D23" s="367">
        <f t="shared" ref="D23:Q23" si="19">SUM(D24:D26)</f>
        <v>148775800</v>
      </c>
      <c r="E23" s="367">
        <f t="shared" si="19"/>
        <v>0</v>
      </c>
      <c r="F23" s="367">
        <f t="shared" si="19"/>
        <v>0</v>
      </c>
      <c r="G23" s="367">
        <f t="shared" si="19"/>
        <v>1242967936</v>
      </c>
      <c r="H23" s="367">
        <v>10801971</v>
      </c>
      <c r="I23" s="367">
        <v>1239187936</v>
      </c>
      <c r="J23" s="367">
        <f t="shared" si="19"/>
        <v>3780000</v>
      </c>
      <c r="K23" s="367">
        <v>10801971</v>
      </c>
      <c r="L23" s="367">
        <v>1233633687</v>
      </c>
      <c r="M23" s="367">
        <f t="shared" si="19"/>
        <v>5554249</v>
      </c>
      <c r="N23" s="367">
        <v>1242967936</v>
      </c>
      <c r="O23" s="367">
        <f t="shared" si="19"/>
        <v>3780000</v>
      </c>
      <c r="P23" s="367">
        <f t="shared" si="19"/>
        <v>0</v>
      </c>
      <c r="Q23" s="367">
        <f t="shared" si="19"/>
        <v>1233633687</v>
      </c>
    </row>
    <row r="24" spans="1:20" x14ac:dyDescent="0.25">
      <c r="A24" s="341">
        <v>2111122</v>
      </c>
      <c r="B24" s="362" t="s">
        <v>520</v>
      </c>
      <c r="C24" s="368">
        <v>71380618</v>
      </c>
      <c r="D24" s="368">
        <v>0</v>
      </c>
      <c r="E24" s="368">
        <v>0</v>
      </c>
      <c r="F24" s="368">
        <v>0</v>
      </c>
      <c r="G24" s="368">
        <f t="shared" si="17"/>
        <v>71380618</v>
      </c>
      <c r="H24" s="368">
        <v>0</v>
      </c>
      <c r="I24" s="368">
        <v>71380618</v>
      </c>
      <c r="J24" s="368">
        <f t="shared" si="10"/>
        <v>0</v>
      </c>
      <c r="K24" s="368">
        <v>0</v>
      </c>
      <c r="L24" s="368">
        <v>70502814</v>
      </c>
      <c r="M24" s="368">
        <f t="shared" si="11"/>
        <v>877804</v>
      </c>
      <c r="N24" s="368">
        <v>71380618</v>
      </c>
      <c r="O24" s="368">
        <f t="shared" si="12"/>
        <v>0</v>
      </c>
      <c r="P24" s="368">
        <f t="shared" si="13"/>
        <v>0</v>
      </c>
      <c r="Q24" s="368">
        <f t="shared" si="14"/>
        <v>70502814</v>
      </c>
      <c r="S24" s="121">
        <f>+H24*7</f>
        <v>0</v>
      </c>
      <c r="T24" s="166">
        <f>+P24-S24</f>
        <v>0</v>
      </c>
    </row>
    <row r="25" spans="1:20" x14ac:dyDescent="0.25">
      <c r="A25" s="341">
        <v>2111124</v>
      </c>
      <c r="B25" s="362" t="s">
        <v>521</v>
      </c>
      <c r="C25" s="368">
        <v>65137062</v>
      </c>
      <c r="D25" s="368">
        <v>0</v>
      </c>
      <c r="E25" s="368">
        <v>0</v>
      </c>
      <c r="F25" s="368">
        <v>0</v>
      </c>
      <c r="G25" s="368">
        <f t="shared" si="17"/>
        <v>65137062</v>
      </c>
      <c r="H25" s="368">
        <v>10801971</v>
      </c>
      <c r="I25" s="368">
        <v>61357062</v>
      </c>
      <c r="J25" s="368">
        <f t="shared" si="10"/>
        <v>3780000</v>
      </c>
      <c r="K25" s="368">
        <v>10801971</v>
      </c>
      <c r="L25" s="368">
        <v>61357062</v>
      </c>
      <c r="M25" s="368">
        <f t="shared" si="11"/>
        <v>0</v>
      </c>
      <c r="N25" s="368">
        <v>65137062</v>
      </c>
      <c r="O25" s="368">
        <f t="shared" si="12"/>
        <v>3780000</v>
      </c>
      <c r="P25" s="368">
        <f t="shared" si="13"/>
        <v>0</v>
      </c>
      <c r="Q25" s="368">
        <f t="shared" si="14"/>
        <v>61357062</v>
      </c>
      <c r="S25" s="121">
        <f>5600000*6</f>
        <v>33600000</v>
      </c>
      <c r="T25" s="166">
        <f>+P25-S25</f>
        <v>-33600000</v>
      </c>
    </row>
    <row r="26" spans="1:20" x14ac:dyDescent="0.25">
      <c r="A26" s="341">
        <v>2111126</v>
      </c>
      <c r="B26" s="362" t="s">
        <v>522</v>
      </c>
      <c r="C26" s="368">
        <v>957674456</v>
      </c>
      <c r="D26" s="368">
        <v>148775800</v>
      </c>
      <c r="E26" s="368">
        <v>0</v>
      </c>
      <c r="F26" s="368">
        <v>0</v>
      </c>
      <c r="G26" s="368">
        <f t="shared" si="17"/>
        <v>1106450256</v>
      </c>
      <c r="H26" s="368">
        <v>0</v>
      </c>
      <c r="I26" s="368">
        <v>1106450256</v>
      </c>
      <c r="J26" s="368">
        <f t="shared" si="10"/>
        <v>0</v>
      </c>
      <c r="K26" s="368">
        <v>0</v>
      </c>
      <c r="L26" s="368">
        <v>1101773811</v>
      </c>
      <c r="M26" s="368">
        <f t="shared" si="11"/>
        <v>4676445</v>
      </c>
      <c r="N26" s="368">
        <v>1106450256</v>
      </c>
      <c r="O26" s="368">
        <f t="shared" si="12"/>
        <v>0</v>
      </c>
      <c r="P26" s="368">
        <f t="shared" si="13"/>
        <v>0</v>
      </c>
      <c r="Q26" s="368">
        <f t="shared" si="14"/>
        <v>1101773811</v>
      </c>
      <c r="S26" s="121">
        <f>+H26*7</f>
        <v>0</v>
      </c>
    </row>
    <row r="27" spans="1:20" s="100" customFormat="1" x14ac:dyDescent="0.25">
      <c r="A27" s="339">
        <v>21112</v>
      </c>
      <c r="B27" s="340" t="s">
        <v>14</v>
      </c>
      <c r="C27" s="367">
        <f>SUM(C28:C33)</f>
        <v>16332606577</v>
      </c>
      <c r="D27" s="367">
        <f t="shared" ref="D27:Q27" si="20">SUM(D28:D33)</f>
        <v>0</v>
      </c>
      <c r="E27" s="367">
        <f t="shared" si="20"/>
        <v>1938003991</v>
      </c>
      <c r="F27" s="367">
        <f t="shared" si="20"/>
        <v>0</v>
      </c>
      <c r="G27" s="367">
        <f t="shared" si="20"/>
        <v>14394602586</v>
      </c>
      <c r="H27" s="367">
        <v>1089550939</v>
      </c>
      <c r="I27" s="367">
        <v>11556831541</v>
      </c>
      <c r="J27" s="367">
        <f t="shared" si="20"/>
        <v>2837771045.0000005</v>
      </c>
      <c r="K27" s="367">
        <v>1089550939</v>
      </c>
      <c r="L27" s="367">
        <v>11553103018</v>
      </c>
      <c r="M27" s="367">
        <f t="shared" si="20"/>
        <v>3728523</v>
      </c>
      <c r="N27" s="367">
        <v>11556831541</v>
      </c>
      <c r="O27" s="367">
        <f t="shared" si="20"/>
        <v>0</v>
      </c>
      <c r="P27" s="367">
        <f t="shared" si="20"/>
        <v>2837771045.0000005</v>
      </c>
      <c r="Q27" s="367">
        <f t="shared" si="20"/>
        <v>11553103018</v>
      </c>
    </row>
    <row r="28" spans="1:20" x14ac:dyDescent="0.25">
      <c r="A28" s="341">
        <v>211121</v>
      </c>
      <c r="B28" s="342" t="s">
        <v>523</v>
      </c>
      <c r="C28" s="368">
        <v>6597489723</v>
      </c>
      <c r="D28" s="368">
        <v>0</v>
      </c>
      <c r="E28" s="368">
        <v>518000000</v>
      </c>
      <c r="F28" s="368">
        <v>0</v>
      </c>
      <c r="G28" s="368">
        <f t="shared" si="17"/>
        <v>6079489723</v>
      </c>
      <c r="H28" s="368">
        <v>437813927</v>
      </c>
      <c r="I28" s="368">
        <v>4452904599.3999996</v>
      </c>
      <c r="J28" s="368">
        <f t="shared" si="10"/>
        <v>1626585123.6000004</v>
      </c>
      <c r="K28" s="368">
        <v>437813927</v>
      </c>
      <c r="L28" s="368">
        <v>4452904599.3999996</v>
      </c>
      <c r="M28" s="368">
        <f t="shared" si="11"/>
        <v>0</v>
      </c>
      <c r="N28" s="368">
        <v>4452904599.3999996</v>
      </c>
      <c r="O28" s="368">
        <f t="shared" si="12"/>
        <v>0</v>
      </c>
      <c r="P28" s="368">
        <f t="shared" si="13"/>
        <v>1626585123.6000004</v>
      </c>
      <c r="Q28" s="368">
        <f t="shared" si="14"/>
        <v>4452904599.3999996</v>
      </c>
      <c r="S28" s="121">
        <f t="shared" ref="S28:S33" si="21">+H28*6</f>
        <v>2626883562</v>
      </c>
      <c r="T28" s="166">
        <f>+P28-S28</f>
        <v>-1000298438.3999996</v>
      </c>
    </row>
    <row r="29" spans="1:20" x14ac:dyDescent="0.25">
      <c r="A29" s="341">
        <v>211122</v>
      </c>
      <c r="B29" s="342" t="s">
        <v>524</v>
      </c>
      <c r="C29" s="368">
        <v>4673221887</v>
      </c>
      <c r="D29" s="368">
        <v>0</v>
      </c>
      <c r="E29" s="368">
        <v>0</v>
      </c>
      <c r="F29" s="368">
        <v>0</v>
      </c>
      <c r="G29" s="368">
        <f t="shared" si="17"/>
        <v>4673221887</v>
      </c>
      <c r="H29" s="368">
        <v>358211395</v>
      </c>
      <c r="I29" s="368">
        <v>3652832433.5999999</v>
      </c>
      <c r="J29" s="368">
        <f t="shared" si="10"/>
        <v>1020389453.4000001</v>
      </c>
      <c r="K29" s="368">
        <v>358211395</v>
      </c>
      <c r="L29" s="368">
        <v>3652832433.5999999</v>
      </c>
      <c r="M29" s="368">
        <f t="shared" si="11"/>
        <v>0</v>
      </c>
      <c r="N29" s="368">
        <v>3652832433.5999999</v>
      </c>
      <c r="O29" s="368">
        <f t="shared" si="12"/>
        <v>0</v>
      </c>
      <c r="P29" s="368">
        <f t="shared" si="13"/>
        <v>1020389453.4000001</v>
      </c>
      <c r="Q29" s="368">
        <f t="shared" si="14"/>
        <v>3652832433.5999999</v>
      </c>
      <c r="S29" s="121">
        <f t="shared" si="21"/>
        <v>2149268370</v>
      </c>
      <c r="T29" s="166">
        <f>+P29-S29</f>
        <v>-1128878916.5999999</v>
      </c>
    </row>
    <row r="30" spans="1:20" x14ac:dyDescent="0.25">
      <c r="A30" s="341">
        <v>211123</v>
      </c>
      <c r="B30" s="342" t="s">
        <v>525</v>
      </c>
      <c r="C30" s="368">
        <v>890128449</v>
      </c>
      <c r="D30" s="368">
        <v>0</v>
      </c>
      <c r="E30" s="368">
        <v>485500000</v>
      </c>
      <c r="F30" s="368">
        <v>0</v>
      </c>
      <c r="G30" s="368">
        <f t="shared" si="17"/>
        <v>404628449</v>
      </c>
      <c r="H30" s="368">
        <v>0</v>
      </c>
      <c r="I30" s="368">
        <v>404628449</v>
      </c>
      <c r="J30" s="368">
        <f t="shared" si="10"/>
        <v>0</v>
      </c>
      <c r="K30" s="368">
        <v>0</v>
      </c>
      <c r="L30" s="368">
        <v>404628449</v>
      </c>
      <c r="M30" s="368">
        <f t="shared" si="11"/>
        <v>0</v>
      </c>
      <c r="N30" s="368">
        <v>404628449</v>
      </c>
      <c r="O30" s="368">
        <f t="shared" si="12"/>
        <v>0</v>
      </c>
      <c r="P30" s="368">
        <f t="shared" si="13"/>
        <v>0</v>
      </c>
      <c r="Q30" s="368">
        <f t="shared" si="14"/>
        <v>404628449</v>
      </c>
      <c r="S30" s="121">
        <f t="shared" si="21"/>
        <v>0</v>
      </c>
    </row>
    <row r="31" spans="1:20" x14ac:dyDescent="0.25">
      <c r="A31" s="341">
        <v>211124</v>
      </c>
      <c r="B31" s="342" t="s">
        <v>526</v>
      </c>
      <c r="C31" s="368">
        <v>2199163241</v>
      </c>
      <c r="D31" s="368">
        <v>0</v>
      </c>
      <c r="E31" s="368">
        <v>684503991</v>
      </c>
      <c r="F31" s="368">
        <v>0</v>
      </c>
      <c r="G31" s="368">
        <f t="shared" si="17"/>
        <v>1514659250</v>
      </c>
      <c r="H31" s="368">
        <v>37802881.68</v>
      </c>
      <c r="I31" s="368">
        <v>1514659250</v>
      </c>
      <c r="J31" s="368">
        <f t="shared" si="10"/>
        <v>0</v>
      </c>
      <c r="K31" s="368">
        <v>37802881.68</v>
      </c>
      <c r="L31" s="368">
        <v>1514659250</v>
      </c>
      <c r="M31" s="368">
        <f t="shared" si="11"/>
        <v>0</v>
      </c>
      <c r="N31" s="368">
        <v>1514659250</v>
      </c>
      <c r="O31" s="368">
        <f t="shared" si="12"/>
        <v>0</v>
      </c>
      <c r="P31" s="368">
        <f t="shared" si="13"/>
        <v>0</v>
      </c>
      <c r="Q31" s="368">
        <f t="shared" si="14"/>
        <v>1514659250</v>
      </c>
      <c r="S31" s="121">
        <f t="shared" si="21"/>
        <v>226817290.07999998</v>
      </c>
      <c r="T31" s="166">
        <f>+P31-S31</f>
        <v>-226817290.07999998</v>
      </c>
    </row>
    <row r="32" spans="1:20" x14ac:dyDescent="0.25">
      <c r="A32" s="341">
        <v>211125</v>
      </c>
      <c r="B32" s="342" t="s">
        <v>527</v>
      </c>
      <c r="C32" s="368">
        <v>323230846</v>
      </c>
      <c r="D32" s="368">
        <v>0</v>
      </c>
      <c r="E32" s="368">
        <v>0</v>
      </c>
      <c r="F32" s="368">
        <v>0</v>
      </c>
      <c r="G32" s="368">
        <f t="shared" si="17"/>
        <v>323230846</v>
      </c>
      <c r="H32" s="368">
        <v>26261900</v>
      </c>
      <c r="I32" s="368">
        <v>264475323</v>
      </c>
      <c r="J32" s="368">
        <f t="shared" si="10"/>
        <v>58755523</v>
      </c>
      <c r="K32" s="368">
        <v>26261900</v>
      </c>
      <c r="L32" s="368">
        <v>260746800</v>
      </c>
      <c r="M32" s="368">
        <f t="shared" si="11"/>
        <v>3728523</v>
      </c>
      <c r="N32" s="368">
        <v>264475323</v>
      </c>
      <c r="O32" s="368">
        <f t="shared" si="12"/>
        <v>0</v>
      </c>
      <c r="P32" s="368">
        <f t="shared" si="13"/>
        <v>58755523</v>
      </c>
      <c r="Q32" s="368">
        <f t="shared" si="14"/>
        <v>260746800</v>
      </c>
      <c r="S32" s="121">
        <f t="shared" si="21"/>
        <v>157571400</v>
      </c>
      <c r="T32" s="166">
        <f>+P32-S32</f>
        <v>-98815877</v>
      </c>
    </row>
    <row r="33" spans="1:20" x14ac:dyDescent="0.25">
      <c r="A33" s="341">
        <v>211126</v>
      </c>
      <c r="B33" s="342" t="s">
        <v>633</v>
      </c>
      <c r="C33" s="368">
        <v>1649372431</v>
      </c>
      <c r="D33" s="368">
        <v>0</v>
      </c>
      <c r="E33" s="368">
        <v>250000000</v>
      </c>
      <c r="F33" s="368">
        <v>0</v>
      </c>
      <c r="G33" s="368">
        <f t="shared" si="17"/>
        <v>1399372431</v>
      </c>
      <c r="H33" s="368">
        <v>229460835.31999999</v>
      </c>
      <c r="I33" s="368">
        <v>1267331486</v>
      </c>
      <c r="J33" s="368">
        <f t="shared" si="10"/>
        <v>132040945</v>
      </c>
      <c r="K33" s="368">
        <v>229460835.31999999</v>
      </c>
      <c r="L33" s="368">
        <v>1267331486</v>
      </c>
      <c r="M33" s="368">
        <f t="shared" si="11"/>
        <v>0</v>
      </c>
      <c r="N33" s="368">
        <v>1267331486</v>
      </c>
      <c r="O33" s="368">
        <f t="shared" si="12"/>
        <v>0</v>
      </c>
      <c r="P33" s="368">
        <f t="shared" si="13"/>
        <v>132040945</v>
      </c>
      <c r="Q33" s="368">
        <f t="shared" si="14"/>
        <v>1267331486</v>
      </c>
      <c r="S33" s="121">
        <f t="shared" si="21"/>
        <v>1376765011.9200001</v>
      </c>
      <c r="T33" s="166">
        <f>+P33-S33</f>
        <v>-1244724066.9200001</v>
      </c>
    </row>
    <row r="34" spans="1:20" s="100" customFormat="1" x14ac:dyDescent="0.25">
      <c r="A34" s="337">
        <v>21113</v>
      </c>
      <c r="B34" s="337" t="s">
        <v>15</v>
      </c>
      <c r="C34" s="366">
        <f>+C35</f>
        <v>1123702148</v>
      </c>
      <c r="D34" s="366">
        <f t="shared" ref="D34:Q34" si="22">+D35</f>
        <v>150000000</v>
      </c>
      <c r="E34" s="366">
        <f t="shared" si="22"/>
        <v>0</v>
      </c>
      <c r="F34" s="366">
        <f t="shared" si="22"/>
        <v>0</v>
      </c>
      <c r="G34" s="366">
        <f t="shared" si="22"/>
        <v>1273702148</v>
      </c>
      <c r="H34" s="366">
        <v>155294211</v>
      </c>
      <c r="I34" s="366">
        <v>1207876510</v>
      </c>
      <c r="J34" s="366">
        <f t="shared" si="22"/>
        <v>65825638</v>
      </c>
      <c r="K34" s="366">
        <v>71025123</v>
      </c>
      <c r="L34" s="366">
        <v>1120070209</v>
      </c>
      <c r="M34" s="366">
        <f t="shared" si="22"/>
        <v>87806301</v>
      </c>
      <c r="N34" s="366">
        <v>1208199850</v>
      </c>
      <c r="O34" s="366">
        <f t="shared" si="22"/>
        <v>323340</v>
      </c>
      <c r="P34" s="366">
        <f t="shared" si="22"/>
        <v>65502298</v>
      </c>
      <c r="Q34" s="366">
        <f t="shared" si="22"/>
        <v>1120070209</v>
      </c>
    </row>
    <row r="35" spans="1:20" s="100" customFormat="1" x14ac:dyDescent="0.25">
      <c r="A35" s="337">
        <v>211131</v>
      </c>
      <c r="B35" s="337" t="s">
        <v>12</v>
      </c>
      <c r="C35" s="366">
        <f>+C36+C39</f>
        <v>1123702148</v>
      </c>
      <c r="D35" s="366">
        <f t="shared" ref="D35:Q35" si="23">+D36+D39</f>
        <v>150000000</v>
      </c>
      <c r="E35" s="366">
        <f t="shared" si="23"/>
        <v>0</v>
      </c>
      <c r="F35" s="366">
        <f t="shared" si="23"/>
        <v>0</v>
      </c>
      <c r="G35" s="366">
        <f t="shared" si="23"/>
        <v>1273702148</v>
      </c>
      <c r="H35" s="366">
        <v>155294211</v>
      </c>
      <c r="I35" s="366">
        <v>1207876510</v>
      </c>
      <c r="J35" s="366">
        <f t="shared" si="23"/>
        <v>65825638</v>
      </c>
      <c r="K35" s="366">
        <v>71025123</v>
      </c>
      <c r="L35" s="366">
        <v>1120070209</v>
      </c>
      <c r="M35" s="366">
        <f t="shared" si="23"/>
        <v>87806301</v>
      </c>
      <c r="N35" s="366">
        <v>1208199850</v>
      </c>
      <c r="O35" s="366">
        <f t="shared" si="23"/>
        <v>323340</v>
      </c>
      <c r="P35" s="366">
        <f t="shared" si="23"/>
        <v>65502298</v>
      </c>
      <c r="Q35" s="366">
        <f t="shared" si="23"/>
        <v>1120070209</v>
      </c>
    </row>
    <row r="36" spans="1:20" s="100" customFormat="1" x14ac:dyDescent="0.25">
      <c r="A36" s="339">
        <v>2111313</v>
      </c>
      <c r="B36" s="339" t="s">
        <v>16</v>
      </c>
      <c r="C36" s="367">
        <f>+C37+C38</f>
        <v>771955345</v>
      </c>
      <c r="D36" s="367">
        <f t="shared" ref="D36:Q36" si="24">+D37+D38</f>
        <v>0</v>
      </c>
      <c r="E36" s="367">
        <f t="shared" si="24"/>
        <v>0</v>
      </c>
      <c r="F36" s="367">
        <f t="shared" si="24"/>
        <v>0</v>
      </c>
      <c r="G36" s="367">
        <f t="shared" si="24"/>
        <v>771955345</v>
      </c>
      <c r="H36" s="367">
        <v>115096708</v>
      </c>
      <c r="I36" s="367">
        <v>706453047</v>
      </c>
      <c r="J36" s="367">
        <f t="shared" si="24"/>
        <v>65502298</v>
      </c>
      <c r="K36" s="367">
        <v>30827620</v>
      </c>
      <c r="L36" s="367">
        <v>622183959</v>
      </c>
      <c r="M36" s="367">
        <f t="shared" si="24"/>
        <v>84269088</v>
      </c>
      <c r="N36" s="367">
        <v>706453047</v>
      </c>
      <c r="O36" s="367">
        <f t="shared" si="24"/>
        <v>0</v>
      </c>
      <c r="P36" s="367">
        <f t="shared" si="24"/>
        <v>65502298</v>
      </c>
      <c r="Q36" s="367">
        <f t="shared" si="24"/>
        <v>622183959</v>
      </c>
    </row>
    <row r="37" spans="1:20" x14ac:dyDescent="0.25">
      <c r="A37" s="341">
        <v>21113131</v>
      </c>
      <c r="B37" s="341" t="s">
        <v>634</v>
      </c>
      <c r="C37" s="368">
        <v>1310595</v>
      </c>
      <c r="D37" s="368">
        <v>0</v>
      </c>
      <c r="E37" s="368">
        <v>0</v>
      </c>
      <c r="F37" s="368">
        <v>0</v>
      </c>
      <c r="G37" s="368">
        <f t="shared" si="17"/>
        <v>1310595</v>
      </c>
      <c r="H37" s="368">
        <v>60625</v>
      </c>
      <c r="I37" s="368">
        <v>606250</v>
      </c>
      <c r="J37" s="368">
        <f t="shared" si="10"/>
        <v>704345</v>
      </c>
      <c r="K37" s="368">
        <v>60625</v>
      </c>
      <c r="L37" s="368">
        <v>606250</v>
      </c>
      <c r="M37" s="368">
        <f t="shared" si="11"/>
        <v>0</v>
      </c>
      <c r="N37" s="368">
        <v>606250</v>
      </c>
      <c r="O37" s="368">
        <f t="shared" si="12"/>
        <v>0</v>
      </c>
      <c r="P37" s="368">
        <f t="shared" si="13"/>
        <v>704345</v>
      </c>
      <c r="Q37" s="368">
        <f t="shared" si="14"/>
        <v>606250</v>
      </c>
      <c r="S37" s="121">
        <f>+H37*6</f>
        <v>363750</v>
      </c>
    </row>
    <row r="38" spans="1:20" x14ac:dyDescent="0.25">
      <c r="A38" s="341">
        <v>21113132</v>
      </c>
      <c r="B38" s="341" t="s">
        <v>528</v>
      </c>
      <c r="C38" s="368">
        <v>770644750</v>
      </c>
      <c r="D38" s="368">
        <v>0</v>
      </c>
      <c r="E38" s="368">
        <v>0</v>
      </c>
      <c r="F38" s="368">
        <v>0</v>
      </c>
      <c r="G38" s="368">
        <f t="shared" si="17"/>
        <v>770644750</v>
      </c>
      <c r="H38" s="368">
        <v>115036083</v>
      </c>
      <c r="I38" s="368">
        <v>705846797</v>
      </c>
      <c r="J38" s="368">
        <f t="shared" si="10"/>
        <v>64797953</v>
      </c>
      <c r="K38" s="368">
        <v>30766995</v>
      </c>
      <c r="L38" s="368">
        <v>621577709</v>
      </c>
      <c r="M38" s="368">
        <f t="shared" si="11"/>
        <v>84269088</v>
      </c>
      <c r="N38" s="368">
        <v>705846797</v>
      </c>
      <c r="O38" s="368">
        <f t="shared" si="12"/>
        <v>0</v>
      </c>
      <c r="P38" s="368">
        <f t="shared" si="13"/>
        <v>64797953</v>
      </c>
      <c r="Q38" s="368">
        <f t="shared" si="14"/>
        <v>621577709</v>
      </c>
      <c r="S38" s="121">
        <f>+H38*6</f>
        <v>690216498</v>
      </c>
    </row>
    <row r="39" spans="1:20" s="100" customFormat="1" x14ac:dyDescent="0.25">
      <c r="A39" s="339">
        <v>2111314</v>
      </c>
      <c r="B39" s="339" t="s">
        <v>17</v>
      </c>
      <c r="C39" s="367">
        <f>+C40+C41+C42</f>
        <v>351746803</v>
      </c>
      <c r="D39" s="367">
        <f t="shared" ref="D39:Q39" si="25">+D40+D41+D42</f>
        <v>150000000</v>
      </c>
      <c r="E39" s="367">
        <f t="shared" si="25"/>
        <v>0</v>
      </c>
      <c r="F39" s="367">
        <f t="shared" si="25"/>
        <v>0</v>
      </c>
      <c r="G39" s="367">
        <f t="shared" si="25"/>
        <v>501746803</v>
      </c>
      <c r="H39" s="367">
        <v>40197503</v>
      </c>
      <c r="I39" s="367">
        <v>501423463</v>
      </c>
      <c r="J39" s="367">
        <f t="shared" si="25"/>
        <v>323340</v>
      </c>
      <c r="K39" s="367">
        <v>40197503</v>
      </c>
      <c r="L39" s="367">
        <v>497886250</v>
      </c>
      <c r="M39" s="367">
        <f t="shared" si="25"/>
        <v>3537213</v>
      </c>
      <c r="N39" s="367">
        <v>501746803</v>
      </c>
      <c r="O39" s="367">
        <f t="shared" si="25"/>
        <v>323340</v>
      </c>
      <c r="P39" s="367">
        <f t="shared" si="25"/>
        <v>0</v>
      </c>
      <c r="Q39" s="367">
        <f t="shared" si="25"/>
        <v>497886250</v>
      </c>
    </row>
    <row r="40" spans="1:20" x14ac:dyDescent="0.25">
      <c r="A40" s="341">
        <v>21113141</v>
      </c>
      <c r="B40" s="363" t="s">
        <v>520</v>
      </c>
      <c r="C40" s="368">
        <v>98148934</v>
      </c>
      <c r="D40" s="368">
        <v>150000000</v>
      </c>
      <c r="E40" s="368">
        <v>0</v>
      </c>
      <c r="F40" s="368">
        <v>0</v>
      </c>
      <c r="G40" s="368">
        <f t="shared" si="17"/>
        <v>248148934</v>
      </c>
      <c r="H40" s="368">
        <v>30424664</v>
      </c>
      <c r="I40" s="368">
        <v>248148934</v>
      </c>
      <c r="J40" s="368">
        <f t="shared" si="10"/>
        <v>0</v>
      </c>
      <c r="K40" s="368">
        <v>30424664</v>
      </c>
      <c r="L40" s="368">
        <v>246393327</v>
      </c>
      <c r="M40" s="368">
        <f t="shared" si="11"/>
        <v>1755607</v>
      </c>
      <c r="N40" s="368">
        <v>248148934</v>
      </c>
      <c r="O40" s="368">
        <f t="shared" si="12"/>
        <v>0</v>
      </c>
      <c r="P40" s="368">
        <f t="shared" si="13"/>
        <v>0</v>
      </c>
      <c r="Q40" s="368">
        <f t="shared" si="14"/>
        <v>246393327</v>
      </c>
      <c r="S40" s="121">
        <f>+H40*6</f>
        <v>182547984</v>
      </c>
    </row>
    <row r="41" spans="1:20" x14ac:dyDescent="0.25">
      <c r="A41" s="341">
        <v>21113142</v>
      </c>
      <c r="B41" s="363" t="s">
        <v>529</v>
      </c>
      <c r="C41" s="368">
        <v>235801530</v>
      </c>
      <c r="D41" s="368">
        <v>0</v>
      </c>
      <c r="E41" s="368">
        <v>0</v>
      </c>
      <c r="F41" s="368">
        <v>0</v>
      </c>
      <c r="G41" s="368">
        <f t="shared" si="17"/>
        <v>235801530</v>
      </c>
      <c r="H41" s="368">
        <v>131670</v>
      </c>
      <c r="I41" s="368">
        <v>235478190</v>
      </c>
      <c r="J41" s="368">
        <f t="shared" si="10"/>
        <v>323340</v>
      </c>
      <c r="K41" s="368">
        <v>131670</v>
      </c>
      <c r="L41" s="368">
        <v>233696584</v>
      </c>
      <c r="M41" s="368">
        <f t="shared" si="11"/>
        <v>1781606</v>
      </c>
      <c r="N41" s="368">
        <v>235801530</v>
      </c>
      <c r="O41" s="368">
        <f t="shared" si="12"/>
        <v>323340</v>
      </c>
      <c r="P41" s="368">
        <f t="shared" si="13"/>
        <v>0</v>
      </c>
      <c r="Q41" s="368">
        <f t="shared" si="14"/>
        <v>233696584</v>
      </c>
      <c r="S41" s="121">
        <f>+H41*6</f>
        <v>790020</v>
      </c>
    </row>
    <row r="42" spans="1:20" x14ac:dyDescent="0.25">
      <c r="A42" s="341">
        <v>21113143</v>
      </c>
      <c r="B42" s="363" t="s">
        <v>530</v>
      </c>
      <c r="C42" s="368">
        <v>17796339</v>
      </c>
      <c r="D42" s="368">
        <v>0</v>
      </c>
      <c r="E42" s="368">
        <v>0</v>
      </c>
      <c r="F42" s="368">
        <v>0</v>
      </c>
      <c r="G42" s="368">
        <f t="shared" si="17"/>
        <v>17796339</v>
      </c>
      <c r="H42" s="368">
        <v>9641169</v>
      </c>
      <c r="I42" s="368">
        <v>17796339</v>
      </c>
      <c r="J42" s="368">
        <f t="shared" si="10"/>
        <v>0</v>
      </c>
      <c r="K42" s="368">
        <v>9641169</v>
      </c>
      <c r="L42" s="368">
        <v>17796339</v>
      </c>
      <c r="M42" s="368">
        <f t="shared" si="11"/>
        <v>0</v>
      </c>
      <c r="N42" s="368">
        <v>17796339</v>
      </c>
      <c r="O42" s="368">
        <f t="shared" si="12"/>
        <v>0</v>
      </c>
      <c r="P42" s="368">
        <f t="shared" si="13"/>
        <v>0</v>
      </c>
      <c r="Q42" s="368">
        <f t="shared" si="14"/>
        <v>17796339</v>
      </c>
      <c r="S42" s="121">
        <f>+H42*6</f>
        <v>57847014</v>
      </c>
    </row>
    <row r="43" spans="1:20" s="100" customFormat="1" x14ac:dyDescent="0.25">
      <c r="A43" s="335">
        <v>2112</v>
      </c>
      <c r="B43" s="335" t="s">
        <v>18</v>
      </c>
      <c r="C43" s="365">
        <f>+C44+C56</f>
        <v>27473344553</v>
      </c>
      <c r="D43" s="365">
        <f t="shared" ref="D43:Q43" si="26">+D44+D56</f>
        <v>379867209</v>
      </c>
      <c r="E43" s="365">
        <f t="shared" si="26"/>
        <v>365000000</v>
      </c>
      <c r="F43" s="365">
        <f t="shared" si="26"/>
        <v>1771870902</v>
      </c>
      <c r="G43" s="365">
        <f t="shared" si="26"/>
        <v>29260082664</v>
      </c>
      <c r="H43" s="365">
        <v>792558877</v>
      </c>
      <c r="I43" s="365">
        <v>28559699082.080002</v>
      </c>
      <c r="J43" s="365">
        <f t="shared" si="26"/>
        <v>700383581.91999817</v>
      </c>
      <c r="K43" s="365">
        <v>1669823152</v>
      </c>
      <c r="L43" s="365">
        <v>19185453879.879997</v>
      </c>
      <c r="M43" s="365">
        <f t="shared" si="26"/>
        <v>9374245202.2000027</v>
      </c>
      <c r="N43" s="365">
        <v>29105920234</v>
      </c>
      <c r="O43" s="365">
        <f t="shared" si="26"/>
        <v>546221151.91999817</v>
      </c>
      <c r="P43" s="365">
        <f t="shared" si="26"/>
        <v>154162430</v>
      </c>
      <c r="Q43" s="365">
        <f t="shared" si="26"/>
        <v>19185453879.879997</v>
      </c>
      <c r="S43" s="365">
        <f t="shared" ref="S43:T43" si="27">+S44+S56</f>
        <v>22958794125.080002</v>
      </c>
      <c r="T43" s="365">
        <f t="shared" si="27"/>
        <v>-23714030245.080002</v>
      </c>
    </row>
    <row r="44" spans="1:20" x14ac:dyDescent="0.25">
      <c r="A44" s="343">
        <v>21121</v>
      </c>
      <c r="B44" s="343" t="s">
        <v>19</v>
      </c>
      <c r="C44" s="369">
        <f>+C45</f>
        <v>22678383399</v>
      </c>
      <c r="D44" s="369">
        <f t="shared" ref="D44:Q44" si="28">+D45</f>
        <v>379867209</v>
      </c>
      <c r="E44" s="369">
        <f t="shared" si="28"/>
        <v>365000000</v>
      </c>
      <c r="F44" s="369">
        <f t="shared" si="28"/>
        <v>1771870902</v>
      </c>
      <c r="G44" s="369">
        <f t="shared" si="28"/>
        <v>24465121510</v>
      </c>
      <c r="H44" s="369">
        <v>702328019.79999995</v>
      </c>
      <c r="I44" s="369">
        <v>24427700483.080002</v>
      </c>
      <c r="J44" s="369">
        <f t="shared" si="28"/>
        <v>37421026.919998169</v>
      </c>
      <c r="K44" s="369">
        <v>1432999398</v>
      </c>
      <c r="L44" s="369">
        <v>17039272453.879999</v>
      </c>
      <c r="M44" s="369">
        <f t="shared" si="28"/>
        <v>7388428029.2000027</v>
      </c>
      <c r="N44" s="369">
        <v>24972777970</v>
      </c>
      <c r="O44" s="369">
        <f t="shared" si="28"/>
        <v>545077486.91999817</v>
      </c>
      <c r="P44" s="369">
        <f t="shared" si="28"/>
        <v>-507656460</v>
      </c>
      <c r="Q44" s="369">
        <f t="shared" si="28"/>
        <v>17039272453.879999</v>
      </c>
      <c r="S44" s="369">
        <f t="shared" ref="S44:T44" si="29">+S45</f>
        <v>22958794125.080002</v>
      </c>
      <c r="T44" s="369">
        <f t="shared" si="29"/>
        <v>-23714030245.080002</v>
      </c>
    </row>
    <row r="45" spans="1:20" s="100" customFormat="1" x14ac:dyDescent="0.25">
      <c r="A45" s="339">
        <v>211211</v>
      </c>
      <c r="B45" s="339" t="s">
        <v>11</v>
      </c>
      <c r="C45" s="367">
        <f>+C46+C47+C48+C49+C50+C51+C52+C55</f>
        <v>22678383399</v>
      </c>
      <c r="D45" s="367">
        <f t="shared" ref="D45:Q45" si="30">+D46+D47+D48+D49+D50+D51+D52+D55</f>
        <v>379867209</v>
      </c>
      <c r="E45" s="367">
        <f t="shared" si="30"/>
        <v>365000000</v>
      </c>
      <c r="F45" s="367">
        <f t="shared" si="30"/>
        <v>1771870902</v>
      </c>
      <c r="G45" s="367">
        <f t="shared" si="30"/>
        <v>24465121510</v>
      </c>
      <c r="H45" s="367">
        <v>702328019.79999995</v>
      </c>
      <c r="I45" s="367">
        <v>24427700483.080002</v>
      </c>
      <c r="J45" s="367">
        <f t="shared" si="30"/>
        <v>37421026.919998169</v>
      </c>
      <c r="K45" s="367">
        <v>1432999398</v>
      </c>
      <c r="L45" s="367">
        <v>17039272453.879999</v>
      </c>
      <c r="M45" s="367">
        <f t="shared" si="30"/>
        <v>7388428029.2000027</v>
      </c>
      <c r="N45" s="367">
        <v>24972777970</v>
      </c>
      <c r="O45" s="367">
        <f t="shared" si="30"/>
        <v>545077486.91999817</v>
      </c>
      <c r="P45" s="367">
        <f t="shared" si="30"/>
        <v>-507656460</v>
      </c>
      <c r="Q45" s="367">
        <f t="shared" si="30"/>
        <v>17039272453.879999</v>
      </c>
      <c r="S45" s="367">
        <f t="shared" ref="S45:T45" si="31">+S46+S47+S48+S49+S50+S51+S52+S55</f>
        <v>22958794125.080002</v>
      </c>
      <c r="T45" s="367">
        <f t="shared" si="31"/>
        <v>-23714030245.080002</v>
      </c>
    </row>
    <row r="46" spans="1:20" x14ac:dyDescent="0.25">
      <c r="A46" s="341">
        <v>2112111</v>
      </c>
      <c r="B46" s="341" t="s">
        <v>510</v>
      </c>
      <c r="C46" s="368">
        <v>20052276642</v>
      </c>
      <c r="D46" s="368">
        <v>379867209</v>
      </c>
      <c r="E46" s="368">
        <v>365000000</v>
      </c>
      <c r="F46" s="368">
        <v>1771870902</v>
      </c>
      <c r="G46" s="368">
        <f t="shared" si="17"/>
        <v>21839014753</v>
      </c>
      <c r="H46" s="368">
        <v>702328019.79999995</v>
      </c>
      <c r="I46" s="368">
        <v>22163980743.080002</v>
      </c>
      <c r="J46" s="368">
        <f t="shared" si="10"/>
        <v>-324965990.08000183</v>
      </c>
      <c r="K46" s="368">
        <v>1352999398</v>
      </c>
      <c r="L46" s="368">
        <v>15859884145.879999</v>
      </c>
      <c r="M46" s="368">
        <f t="shared" si="11"/>
        <v>6304096597.2000027</v>
      </c>
      <c r="N46" s="368">
        <v>22709058230</v>
      </c>
      <c r="O46" s="368">
        <f t="shared" si="12"/>
        <v>545077486.91999817</v>
      </c>
      <c r="P46" s="368">
        <f>+G46-N46</f>
        <v>-870043477</v>
      </c>
      <c r="Q46" s="368">
        <f t="shared" si="14"/>
        <v>15859884145.879999</v>
      </c>
      <c r="S46" s="150">
        <f t="shared" ref="S46:S51" si="32">+I46</f>
        <v>22163980743.080002</v>
      </c>
      <c r="T46" s="150">
        <f t="shared" ref="T46:T51" si="33">+P46-S46</f>
        <v>-23034024220.080002</v>
      </c>
    </row>
    <row r="47" spans="1:20" x14ac:dyDescent="0.25">
      <c r="A47" s="341">
        <v>2112112</v>
      </c>
      <c r="B47" s="341" t="s">
        <v>511</v>
      </c>
      <c r="C47" s="368">
        <v>137214482</v>
      </c>
      <c r="D47" s="368">
        <v>0</v>
      </c>
      <c r="E47" s="368">
        <v>0</v>
      </c>
      <c r="F47" s="368">
        <v>0</v>
      </c>
      <c r="G47" s="368">
        <f t="shared" si="17"/>
        <v>137214482</v>
      </c>
      <c r="H47" s="368">
        <v>0</v>
      </c>
      <c r="I47" s="368">
        <v>22407125</v>
      </c>
      <c r="J47" s="368">
        <f t="shared" si="10"/>
        <v>114807357</v>
      </c>
      <c r="K47" s="368">
        <v>0</v>
      </c>
      <c r="L47" s="368">
        <v>22407125</v>
      </c>
      <c r="M47" s="368">
        <f t="shared" si="11"/>
        <v>0</v>
      </c>
      <c r="N47" s="368">
        <v>22407125</v>
      </c>
      <c r="O47" s="368">
        <f t="shared" si="12"/>
        <v>0</v>
      </c>
      <c r="P47" s="368">
        <f t="shared" si="13"/>
        <v>114807357</v>
      </c>
      <c r="Q47" s="368">
        <f t="shared" si="14"/>
        <v>22407125</v>
      </c>
      <c r="S47" s="150">
        <f t="shared" si="32"/>
        <v>22407125</v>
      </c>
      <c r="T47" s="150">
        <f t="shared" si="33"/>
        <v>92400232</v>
      </c>
    </row>
    <row r="48" spans="1:20" x14ac:dyDescent="0.25">
      <c r="A48" s="341">
        <v>2112114</v>
      </c>
      <c r="B48" s="341" t="s">
        <v>513</v>
      </c>
      <c r="C48" s="368">
        <v>419208140</v>
      </c>
      <c r="D48" s="368">
        <v>0</v>
      </c>
      <c r="E48" s="368">
        <v>0</v>
      </c>
      <c r="F48" s="368">
        <v>0</v>
      </c>
      <c r="G48" s="368">
        <f t="shared" si="17"/>
        <v>419208140</v>
      </c>
      <c r="H48" s="368">
        <v>0</v>
      </c>
      <c r="I48" s="368">
        <v>419208140</v>
      </c>
      <c r="J48" s="368">
        <f t="shared" si="10"/>
        <v>0</v>
      </c>
      <c r="K48" s="368">
        <v>0</v>
      </c>
      <c r="L48" s="368">
        <v>30846</v>
      </c>
      <c r="M48" s="368">
        <f t="shared" si="11"/>
        <v>419177294</v>
      </c>
      <c r="N48" s="368">
        <v>419208140</v>
      </c>
      <c r="O48" s="368">
        <f t="shared" si="12"/>
        <v>0</v>
      </c>
      <c r="P48" s="368">
        <f t="shared" si="13"/>
        <v>0</v>
      </c>
      <c r="Q48" s="368">
        <f t="shared" si="14"/>
        <v>30846</v>
      </c>
      <c r="S48" s="150">
        <f t="shared" si="32"/>
        <v>419208140</v>
      </c>
      <c r="T48" s="150">
        <f t="shared" si="33"/>
        <v>-419208140</v>
      </c>
    </row>
    <row r="49" spans="1:20" x14ac:dyDescent="0.25">
      <c r="A49" s="341">
        <v>2112115</v>
      </c>
      <c r="B49" s="341" t="s">
        <v>514</v>
      </c>
      <c r="C49" s="368">
        <v>60763988</v>
      </c>
      <c r="D49" s="368">
        <v>0</v>
      </c>
      <c r="E49" s="368">
        <v>0</v>
      </c>
      <c r="F49" s="368">
        <v>0</v>
      </c>
      <c r="G49" s="368">
        <f t="shared" si="17"/>
        <v>60763988</v>
      </c>
      <c r="H49" s="368">
        <v>0</v>
      </c>
      <c r="I49" s="368">
        <v>60763988</v>
      </c>
      <c r="J49" s="368">
        <f t="shared" si="10"/>
        <v>0</v>
      </c>
      <c r="K49" s="368">
        <v>0</v>
      </c>
      <c r="L49" s="368">
        <v>47998</v>
      </c>
      <c r="M49" s="368">
        <f t="shared" si="11"/>
        <v>60715990</v>
      </c>
      <c r="N49" s="368">
        <v>60763988</v>
      </c>
      <c r="O49" s="368">
        <f t="shared" si="12"/>
        <v>0</v>
      </c>
      <c r="P49" s="368">
        <f t="shared" si="13"/>
        <v>0</v>
      </c>
      <c r="Q49" s="368">
        <f t="shared" si="14"/>
        <v>47998</v>
      </c>
      <c r="S49" s="150">
        <f t="shared" si="32"/>
        <v>60763988</v>
      </c>
      <c r="T49" s="150">
        <f t="shared" si="33"/>
        <v>-60763988</v>
      </c>
    </row>
    <row r="50" spans="1:20" x14ac:dyDescent="0.25">
      <c r="A50" s="341">
        <v>2112116</v>
      </c>
      <c r="B50" s="341" t="s">
        <v>515</v>
      </c>
      <c r="C50" s="368">
        <v>146760056</v>
      </c>
      <c r="D50" s="368">
        <v>0</v>
      </c>
      <c r="E50" s="368">
        <v>0</v>
      </c>
      <c r="F50" s="368">
        <v>0</v>
      </c>
      <c r="G50" s="368">
        <f t="shared" si="17"/>
        <v>146760056</v>
      </c>
      <c r="H50" s="368">
        <v>0</v>
      </c>
      <c r="I50" s="368">
        <v>146760056</v>
      </c>
      <c r="J50" s="368">
        <f t="shared" si="10"/>
        <v>0</v>
      </c>
      <c r="K50" s="368">
        <v>0</v>
      </c>
      <c r="L50" s="368">
        <v>116674514</v>
      </c>
      <c r="M50" s="368">
        <f t="shared" si="11"/>
        <v>30085542</v>
      </c>
      <c r="N50" s="368">
        <v>146760056</v>
      </c>
      <c r="O50" s="368">
        <f t="shared" si="12"/>
        <v>0</v>
      </c>
      <c r="P50" s="368">
        <f t="shared" si="13"/>
        <v>0</v>
      </c>
      <c r="Q50" s="368">
        <f t="shared" si="14"/>
        <v>116674514</v>
      </c>
      <c r="S50" s="150">
        <f t="shared" si="32"/>
        <v>146760056</v>
      </c>
      <c r="T50" s="150">
        <f t="shared" si="33"/>
        <v>-146760056</v>
      </c>
    </row>
    <row r="51" spans="1:20" x14ac:dyDescent="0.25">
      <c r="A51" s="341">
        <v>2112117</v>
      </c>
      <c r="B51" s="341" t="s">
        <v>516</v>
      </c>
      <c r="C51" s="368">
        <v>80449599</v>
      </c>
      <c r="D51" s="368">
        <v>0</v>
      </c>
      <c r="E51" s="368">
        <v>0</v>
      </c>
      <c r="F51" s="368">
        <v>0</v>
      </c>
      <c r="G51" s="368">
        <f t="shared" si="17"/>
        <v>80449599</v>
      </c>
      <c r="H51" s="368">
        <v>0</v>
      </c>
      <c r="I51" s="368">
        <v>80449599</v>
      </c>
      <c r="J51" s="368">
        <f t="shared" si="10"/>
        <v>0</v>
      </c>
      <c r="K51" s="368">
        <v>0</v>
      </c>
      <c r="L51" s="368">
        <v>13137420</v>
      </c>
      <c r="M51" s="368">
        <f t="shared" si="11"/>
        <v>67312179</v>
      </c>
      <c r="N51" s="368">
        <v>80449599</v>
      </c>
      <c r="O51" s="368">
        <f t="shared" si="12"/>
        <v>0</v>
      </c>
      <c r="P51" s="368">
        <f t="shared" si="13"/>
        <v>0</v>
      </c>
      <c r="Q51" s="368">
        <f t="shared" si="14"/>
        <v>13137420</v>
      </c>
      <c r="S51" s="150">
        <f t="shared" si="32"/>
        <v>80449599</v>
      </c>
      <c r="T51" s="150">
        <f t="shared" si="33"/>
        <v>-80449599</v>
      </c>
    </row>
    <row r="52" spans="1:20" s="100" customFormat="1" x14ac:dyDescent="0.25">
      <c r="A52" s="339">
        <v>2112118</v>
      </c>
      <c r="B52" s="339" t="s">
        <v>12</v>
      </c>
      <c r="C52" s="367">
        <f>+C53+C54</f>
        <v>1716486018</v>
      </c>
      <c r="D52" s="367">
        <f t="shared" ref="D52:Q52" si="34">+D53+D54</f>
        <v>0</v>
      </c>
      <c r="E52" s="367">
        <f t="shared" si="34"/>
        <v>0</v>
      </c>
      <c r="F52" s="367">
        <f t="shared" si="34"/>
        <v>0</v>
      </c>
      <c r="G52" s="367">
        <f t="shared" si="34"/>
        <v>1716486018</v>
      </c>
      <c r="H52" s="367">
        <v>0</v>
      </c>
      <c r="I52" s="367">
        <v>1468906358</v>
      </c>
      <c r="J52" s="367">
        <f t="shared" si="34"/>
        <v>247579660</v>
      </c>
      <c r="K52" s="367">
        <v>80000000</v>
      </c>
      <c r="L52" s="367">
        <v>1024826247</v>
      </c>
      <c r="M52" s="367">
        <f t="shared" si="34"/>
        <v>444080111</v>
      </c>
      <c r="N52" s="367">
        <v>1468906358</v>
      </c>
      <c r="O52" s="367">
        <f t="shared" si="34"/>
        <v>0</v>
      </c>
      <c r="P52" s="367">
        <f t="shared" si="34"/>
        <v>247579660</v>
      </c>
      <c r="Q52" s="367">
        <f t="shared" si="34"/>
        <v>1024826247</v>
      </c>
    </row>
    <row r="53" spans="1:20" x14ac:dyDescent="0.25">
      <c r="A53" s="341">
        <v>21121181</v>
      </c>
      <c r="B53" s="342" t="s">
        <v>517</v>
      </c>
      <c r="C53" s="368">
        <v>740067090</v>
      </c>
      <c r="D53" s="368">
        <v>0</v>
      </c>
      <c r="E53" s="368">
        <v>0</v>
      </c>
      <c r="F53" s="368">
        <v>0</v>
      </c>
      <c r="G53" s="368">
        <f t="shared" si="17"/>
        <v>740067090</v>
      </c>
      <c r="H53" s="368">
        <v>0</v>
      </c>
      <c r="I53" s="368">
        <v>492487430</v>
      </c>
      <c r="J53" s="368">
        <f t="shared" si="10"/>
        <v>247579660</v>
      </c>
      <c r="K53" s="368">
        <v>0</v>
      </c>
      <c r="L53" s="368">
        <v>422534604.5</v>
      </c>
      <c r="M53" s="368">
        <f t="shared" si="11"/>
        <v>69952825.5</v>
      </c>
      <c r="N53" s="368">
        <v>492487430</v>
      </c>
      <c r="O53" s="368">
        <f t="shared" si="12"/>
        <v>0</v>
      </c>
      <c r="P53" s="368">
        <f t="shared" si="13"/>
        <v>247579660</v>
      </c>
      <c r="Q53" s="368">
        <f t="shared" si="14"/>
        <v>422534604.5</v>
      </c>
      <c r="S53" s="150">
        <f>+I53</f>
        <v>492487430</v>
      </c>
      <c r="T53" s="150">
        <f>+P53-S53</f>
        <v>-244907770</v>
      </c>
    </row>
    <row r="54" spans="1:20" x14ac:dyDescent="0.25">
      <c r="A54" s="341">
        <v>21121182</v>
      </c>
      <c r="B54" s="342" t="s">
        <v>518</v>
      </c>
      <c r="C54" s="368">
        <v>976418928</v>
      </c>
      <c r="D54" s="368">
        <v>0</v>
      </c>
      <c r="E54" s="368">
        <v>0</v>
      </c>
      <c r="F54" s="368">
        <v>0</v>
      </c>
      <c r="G54" s="368">
        <f t="shared" si="17"/>
        <v>976418928</v>
      </c>
      <c r="H54" s="368">
        <v>0</v>
      </c>
      <c r="I54" s="368">
        <v>976418928</v>
      </c>
      <c r="J54" s="368">
        <f t="shared" si="10"/>
        <v>0</v>
      </c>
      <c r="K54" s="368">
        <v>80000000</v>
      </c>
      <c r="L54" s="368">
        <v>602291642.5</v>
      </c>
      <c r="M54" s="368">
        <f t="shared" si="11"/>
        <v>374127285.5</v>
      </c>
      <c r="N54" s="368">
        <v>976418928</v>
      </c>
      <c r="O54" s="368">
        <f t="shared" si="12"/>
        <v>0</v>
      </c>
      <c r="P54" s="368">
        <f t="shared" si="13"/>
        <v>0</v>
      </c>
      <c r="Q54" s="368">
        <f t="shared" si="14"/>
        <v>602291642.5</v>
      </c>
      <c r="S54" s="150">
        <f>+I54</f>
        <v>976418928</v>
      </c>
      <c r="T54" s="150">
        <f>+P54-S54</f>
        <v>-976418928</v>
      </c>
    </row>
    <row r="55" spans="1:20" x14ac:dyDescent="0.25">
      <c r="A55" s="341">
        <v>2112119</v>
      </c>
      <c r="B55" s="342" t="s">
        <v>531</v>
      </c>
      <c r="C55" s="368">
        <v>65224474</v>
      </c>
      <c r="D55" s="368">
        <v>0</v>
      </c>
      <c r="E55" s="368">
        <v>0</v>
      </c>
      <c r="F55" s="368">
        <v>0</v>
      </c>
      <c r="G55" s="368">
        <f t="shared" si="17"/>
        <v>65224474</v>
      </c>
      <c r="H55" s="368">
        <v>0</v>
      </c>
      <c r="I55" s="368">
        <v>65224474</v>
      </c>
      <c r="J55" s="368">
        <f t="shared" si="10"/>
        <v>0</v>
      </c>
      <c r="K55" s="368">
        <v>0</v>
      </c>
      <c r="L55" s="368">
        <v>2264158</v>
      </c>
      <c r="M55" s="368">
        <f t="shared" si="11"/>
        <v>62960316</v>
      </c>
      <c r="N55" s="368">
        <v>65224474</v>
      </c>
      <c r="O55" s="368">
        <f t="shared" si="12"/>
        <v>0</v>
      </c>
      <c r="P55" s="368">
        <f t="shared" si="13"/>
        <v>0</v>
      </c>
      <c r="Q55" s="368">
        <f t="shared" si="14"/>
        <v>2264158</v>
      </c>
      <c r="S55" s="150">
        <f>+I55</f>
        <v>65224474</v>
      </c>
      <c r="T55" s="150">
        <f>+P55-S55</f>
        <v>-65224474</v>
      </c>
    </row>
    <row r="56" spans="1:20" s="100" customFormat="1" x14ac:dyDescent="0.25">
      <c r="A56" s="339">
        <v>21122</v>
      </c>
      <c r="B56" s="340" t="s">
        <v>14</v>
      </c>
      <c r="C56" s="367">
        <f>SUM(C57:C62)</f>
        <v>4794961154</v>
      </c>
      <c r="D56" s="367">
        <f t="shared" ref="D56:Q56" si="35">SUM(D57:D62)</f>
        <v>0</v>
      </c>
      <c r="E56" s="367">
        <f t="shared" si="35"/>
        <v>0</v>
      </c>
      <c r="F56" s="367">
        <f t="shared" si="35"/>
        <v>0</v>
      </c>
      <c r="G56" s="367">
        <f t="shared" si="35"/>
        <v>4794961154</v>
      </c>
      <c r="H56" s="367">
        <v>90230857.200000003</v>
      </c>
      <c r="I56" s="367">
        <v>4131998599</v>
      </c>
      <c r="J56" s="367">
        <f t="shared" si="35"/>
        <v>662962555</v>
      </c>
      <c r="K56" s="367">
        <v>236823754</v>
      </c>
      <c r="L56" s="367">
        <v>2146181426</v>
      </c>
      <c r="M56" s="367">
        <f t="shared" si="35"/>
        <v>1985817173</v>
      </c>
      <c r="N56" s="367">
        <v>4133142264</v>
      </c>
      <c r="O56" s="367">
        <f t="shared" si="35"/>
        <v>1143665</v>
      </c>
      <c r="P56" s="367">
        <f t="shared" si="35"/>
        <v>661818890</v>
      </c>
      <c r="Q56" s="367">
        <f t="shared" si="35"/>
        <v>2146181426</v>
      </c>
    </row>
    <row r="57" spans="1:20" x14ac:dyDescent="0.25">
      <c r="A57" s="341">
        <v>211221</v>
      </c>
      <c r="B57" s="342" t="s">
        <v>532</v>
      </c>
      <c r="C57" s="368">
        <v>1515268362</v>
      </c>
      <c r="D57" s="368">
        <v>0</v>
      </c>
      <c r="E57" s="368">
        <v>0</v>
      </c>
      <c r="F57" s="368">
        <v>0</v>
      </c>
      <c r="G57" s="368">
        <f t="shared" si="17"/>
        <v>1515268362</v>
      </c>
      <c r="H57" s="368">
        <v>66759843.200000003</v>
      </c>
      <c r="I57" s="368">
        <v>1322314645</v>
      </c>
      <c r="J57" s="368">
        <f t="shared" si="10"/>
        <v>192953717</v>
      </c>
      <c r="K57" s="368">
        <v>35000000</v>
      </c>
      <c r="L57" s="368">
        <v>833813168</v>
      </c>
      <c r="M57" s="368">
        <f t="shared" si="11"/>
        <v>488501477</v>
      </c>
      <c r="N57" s="368">
        <v>1322314645</v>
      </c>
      <c r="O57" s="368">
        <f t="shared" si="12"/>
        <v>0</v>
      </c>
      <c r="P57" s="368">
        <f t="shared" si="13"/>
        <v>192953717</v>
      </c>
      <c r="Q57" s="368">
        <f t="shared" si="14"/>
        <v>833813168</v>
      </c>
      <c r="S57" s="150">
        <f t="shared" ref="S57:S62" si="36">+I57</f>
        <v>1322314645</v>
      </c>
      <c r="T57" s="150">
        <f t="shared" ref="T57:T62" si="37">+P57-S57</f>
        <v>-1129360928</v>
      </c>
    </row>
    <row r="58" spans="1:20" x14ac:dyDescent="0.25">
      <c r="A58" s="341">
        <v>211222</v>
      </c>
      <c r="B58" s="342" t="s">
        <v>533</v>
      </c>
      <c r="C58" s="368">
        <v>1129786699</v>
      </c>
      <c r="D58" s="368">
        <v>0</v>
      </c>
      <c r="E58" s="368">
        <v>0</v>
      </c>
      <c r="F58" s="368">
        <v>0</v>
      </c>
      <c r="G58" s="368">
        <f t="shared" si="17"/>
        <v>1129786699</v>
      </c>
      <c r="H58" s="368">
        <v>0</v>
      </c>
      <c r="I58" s="368">
        <v>1036832981</v>
      </c>
      <c r="J58" s="368">
        <f t="shared" si="10"/>
        <v>92953718</v>
      </c>
      <c r="K58" s="368">
        <v>61823754</v>
      </c>
      <c r="L58" s="368">
        <v>783730094</v>
      </c>
      <c r="M58" s="368">
        <f t="shared" si="11"/>
        <v>253102887</v>
      </c>
      <c r="N58" s="368">
        <v>1036832981</v>
      </c>
      <c r="O58" s="368">
        <f t="shared" si="12"/>
        <v>0</v>
      </c>
      <c r="P58" s="368">
        <f t="shared" si="13"/>
        <v>92953718</v>
      </c>
      <c r="Q58" s="368">
        <f t="shared" si="14"/>
        <v>783730094</v>
      </c>
      <c r="S58" s="150">
        <f t="shared" si="36"/>
        <v>1036832981</v>
      </c>
      <c r="T58" s="150">
        <f t="shared" si="37"/>
        <v>-943879263</v>
      </c>
    </row>
    <row r="59" spans="1:20" x14ac:dyDescent="0.25">
      <c r="A59" s="341">
        <v>211223</v>
      </c>
      <c r="B59" s="342" t="s">
        <v>525</v>
      </c>
      <c r="C59" s="368">
        <v>1018047988</v>
      </c>
      <c r="D59" s="368">
        <v>0</v>
      </c>
      <c r="E59" s="368">
        <v>0</v>
      </c>
      <c r="F59" s="368">
        <v>0</v>
      </c>
      <c r="G59" s="368">
        <f t="shared" si="17"/>
        <v>1018047988</v>
      </c>
      <c r="H59" s="368">
        <v>11904643</v>
      </c>
      <c r="I59" s="368">
        <v>738175520</v>
      </c>
      <c r="J59" s="368">
        <f t="shared" si="10"/>
        <v>279872468</v>
      </c>
      <c r="K59" s="368">
        <v>10000000</v>
      </c>
      <c r="L59" s="368">
        <v>339716069</v>
      </c>
      <c r="M59" s="368">
        <f t="shared" si="11"/>
        <v>398459451</v>
      </c>
      <c r="N59" s="368">
        <v>738874726</v>
      </c>
      <c r="O59" s="368">
        <f t="shared" si="12"/>
        <v>699206</v>
      </c>
      <c r="P59" s="368">
        <f t="shared" si="13"/>
        <v>279173262</v>
      </c>
      <c r="Q59" s="368">
        <f t="shared" si="14"/>
        <v>339716069</v>
      </c>
      <c r="S59" s="150">
        <f t="shared" si="36"/>
        <v>738175520</v>
      </c>
      <c r="T59" s="150">
        <f t="shared" si="37"/>
        <v>-459002258</v>
      </c>
    </row>
    <row r="60" spans="1:20" x14ac:dyDescent="0.25">
      <c r="A60" s="341">
        <v>211224</v>
      </c>
      <c r="B60" s="342" t="s">
        <v>534</v>
      </c>
      <c r="C60" s="368">
        <v>502767364</v>
      </c>
      <c r="D60" s="368">
        <v>0</v>
      </c>
      <c r="E60" s="368">
        <v>0</v>
      </c>
      <c r="F60" s="368">
        <v>0</v>
      </c>
      <c r="G60" s="368">
        <f t="shared" si="17"/>
        <v>502767364</v>
      </c>
      <c r="H60" s="368">
        <v>0</v>
      </c>
      <c r="I60" s="368">
        <v>411689459</v>
      </c>
      <c r="J60" s="368">
        <f t="shared" si="10"/>
        <v>91077905</v>
      </c>
      <c r="K60" s="368">
        <v>25000000</v>
      </c>
      <c r="L60" s="368">
        <v>83922095</v>
      </c>
      <c r="M60" s="368">
        <f t="shared" si="11"/>
        <v>327767364</v>
      </c>
      <c r="N60" s="368">
        <v>411689459</v>
      </c>
      <c r="O60" s="368">
        <f t="shared" si="12"/>
        <v>0</v>
      </c>
      <c r="P60" s="368">
        <f t="shared" si="13"/>
        <v>91077905</v>
      </c>
      <c r="Q60" s="368">
        <f t="shared" si="14"/>
        <v>83922095</v>
      </c>
      <c r="S60" s="150">
        <f t="shared" si="36"/>
        <v>411689459</v>
      </c>
      <c r="T60" s="150">
        <f t="shared" si="37"/>
        <v>-320611554</v>
      </c>
    </row>
    <row r="61" spans="1:20" x14ac:dyDescent="0.25">
      <c r="A61" s="341">
        <v>211225</v>
      </c>
      <c r="B61" s="342" t="s">
        <v>527</v>
      </c>
      <c r="C61" s="368">
        <v>252015215</v>
      </c>
      <c r="D61" s="368">
        <v>0</v>
      </c>
      <c r="E61" s="368">
        <v>0</v>
      </c>
      <c r="F61" s="368">
        <v>0</v>
      </c>
      <c r="G61" s="368">
        <f t="shared" si="17"/>
        <v>252015215</v>
      </c>
      <c r="H61" s="368">
        <v>11566371</v>
      </c>
      <c r="I61" s="368">
        <v>247933674</v>
      </c>
      <c r="J61" s="368">
        <f t="shared" si="10"/>
        <v>4081541</v>
      </c>
      <c r="K61" s="368">
        <v>0</v>
      </c>
      <c r="L61" s="368">
        <v>0</v>
      </c>
      <c r="M61" s="368">
        <f t="shared" si="11"/>
        <v>247933674</v>
      </c>
      <c r="N61" s="368">
        <v>248378133</v>
      </c>
      <c r="O61" s="368">
        <f t="shared" si="12"/>
        <v>444459</v>
      </c>
      <c r="P61" s="368">
        <f t="shared" si="13"/>
        <v>3637082</v>
      </c>
      <c r="Q61" s="368">
        <f t="shared" si="14"/>
        <v>0</v>
      </c>
      <c r="S61" s="150">
        <f t="shared" si="36"/>
        <v>247933674</v>
      </c>
      <c r="T61" s="150">
        <f t="shared" si="37"/>
        <v>-244296592</v>
      </c>
    </row>
    <row r="62" spans="1:20" x14ac:dyDescent="0.25">
      <c r="A62" s="341">
        <v>211226</v>
      </c>
      <c r="B62" s="342" t="s">
        <v>633</v>
      </c>
      <c r="C62" s="368">
        <v>377075526</v>
      </c>
      <c r="D62" s="368">
        <v>0</v>
      </c>
      <c r="E62" s="368">
        <v>0</v>
      </c>
      <c r="F62" s="368">
        <v>0</v>
      </c>
      <c r="G62" s="368">
        <f t="shared" si="17"/>
        <v>377075526</v>
      </c>
      <c r="H62" s="368">
        <v>0</v>
      </c>
      <c r="I62" s="368">
        <v>375052320</v>
      </c>
      <c r="J62" s="368">
        <f t="shared" si="10"/>
        <v>2023206</v>
      </c>
      <c r="K62" s="368">
        <v>105000000</v>
      </c>
      <c r="L62" s="368">
        <v>105000000</v>
      </c>
      <c r="M62" s="368">
        <f t="shared" si="11"/>
        <v>270052320</v>
      </c>
      <c r="N62" s="368">
        <v>375052320</v>
      </c>
      <c r="O62" s="368">
        <f t="shared" si="12"/>
        <v>0</v>
      </c>
      <c r="P62" s="368">
        <f t="shared" si="13"/>
        <v>2023206</v>
      </c>
      <c r="Q62" s="368">
        <f t="shared" si="14"/>
        <v>105000000</v>
      </c>
      <c r="S62" s="150">
        <f t="shared" si="36"/>
        <v>375052320</v>
      </c>
      <c r="T62" s="150">
        <f t="shared" si="37"/>
        <v>-373029114</v>
      </c>
    </row>
    <row r="63" spans="1:20" s="100" customFormat="1" x14ac:dyDescent="0.25">
      <c r="A63" s="335">
        <v>212</v>
      </c>
      <c r="B63" s="336" t="s">
        <v>21</v>
      </c>
      <c r="C63" s="365">
        <f>+C64+C109</f>
        <v>8555827773</v>
      </c>
      <c r="D63" s="365">
        <f t="shared" ref="D63:Q63" si="38">+D64+D109</f>
        <v>3079745576</v>
      </c>
      <c r="E63" s="365">
        <f t="shared" si="38"/>
        <v>1320921145</v>
      </c>
      <c r="F63" s="365">
        <f t="shared" si="38"/>
        <v>1926138422</v>
      </c>
      <c r="G63" s="365">
        <f t="shared" si="38"/>
        <v>12240790626</v>
      </c>
      <c r="H63" s="365">
        <v>500026382.70999998</v>
      </c>
      <c r="I63" s="365">
        <v>8470738401.2399998</v>
      </c>
      <c r="J63" s="365">
        <f t="shared" si="38"/>
        <v>3770052224.7600002</v>
      </c>
      <c r="K63" s="365">
        <v>577408726.5</v>
      </c>
      <c r="L63" s="365">
        <v>6135403873.8900003</v>
      </c>
      <c r="M63" s="365">
        <f t="shared" si="38"/>
        <v>2335334527.3499999</v>
      </c>
      <c r="N63" s="365">
        <v>10012706884.420002</v>
      </c>
      <c r="O63" s="365">
        <f t="shared" si="38"/>
        <v>1541968483.1800001</v>
      </c>
      <c r="P63" s="365">
        <f t="shared" si="38"/>
        <v>2228083741.5799999</v>
      </c>
      <c r="Q63" s="365">
        <f t="shared" si="38"/>
        <v>5964361281.4899998</v>
      </c>
    </row>
    <row r="64" spans="1:20" s="100" customFormat="1" x14ac:dyDescent="0.25">
      <c r="A64" s="335">
        <v>2121</v>
      </c>
      <c r="B64" s="336" t="s">
        <v>22</v>
      </c>
      <c r="C64" s="365">
        <f>+C65+C107</f>
        <v>351990348</v>
      </c>
      <c r="D64" s="365">
        <f t="shared" ref="D64:Q64" si="39">+D65+D107</f>
        <v>764690000</v>
      </c>
      <c r="E64" s="365">
        <f t="shared" si="39"/>
        <v>247408159</v>
      </c>
      <c r="F64" s="365">
        <f t="shared" si="39"/>
        <v>521122658</v>
      </c>
      <c r="G64" s="365">
        <f t="shared" si="39"/>
        <v>1390394847</v>
      </c>
      <c r="H64" s="365">
        <v>121438543</v>
      </c>
      <c r="I64" s="365">
        <v>780052414</v>
      </c>
      <c r="J64" s="365">
        <f t="shared" si="39"/>
        <v>610342433</v>
      </c>
      <c r="K64" s="365">
        <v>52234612</v>
      </c>
      <c r="L64" s="365">
        <v>643041836</v>
      </c>
      <c r="M64" s="365">
        <f t="shared" si="39"/>
        <v>137010578</v>
      </c>
      <c r="N64" s="365">
        <v>944842714</v>
      </c>
      <c r="O64" s="365">
        <f t="shared" si="39"/>
        <v>164790300</v>
      </c>
      <c r="P64" s="365">
        <f t="shared" si="39"/>
        <v>445552133</v>
      </c>
      <c r="Q64" s="365">
        <f t="shared" si="39"/>
        <v>643041836</v>
      </c>
    </row>
    <row r="65" spans="1:17" s="100" customFormat="1" x14ac:dyDescent="0.25">
      <c r="A65" s="337">
        <v>21211</v>
      </c>
      <c r="B65" s="338" t="s">
        <v>23</v>
      </c>
      <c r="C65" s="366">
        <f>+C66+C70+C95</f>
        <v>331990348</v>
      </c>
      <c r="D65" s="366">
        <f t="shared" ref="D65:Q65" si="40">+D66+D70+D95</f>
        <v>764690000</v>
      </c>
      <c r="E65" s="366">
        <f t="shared" si="40"/>
        <v>227408159</v>
      </c>
      <c r="F65" s="366">
        <f t="shared" si="40"/>
        <v>521122658</v>
      </c>
      <c r="G65" s="366">
        <f t="shared" si="40"/>
        <v>1390394847</v>
      </c>
      <c r="H65" s="366">
        <v>121438543</v>
      </c>
      <c r="I65" s="366">
        <v>780052414</v>
      </c>
      <c r="J65" s="366">
        <f t="shared" si="40"/>
        <v>610342433</v>
      </c>
      <c r="K65" s="366">
        <v>52234612</v>
      </c>
      <c r="L65" s="366">
        <v>643041836</v>
      </c>
      <c r="M65" s="366">
        <f t="shared" si="40"/>
        <v>137010578</v>
      </c>
      <c r="N65" s="366">
        <v>944842714</v>
      </c>
      <c r="O65" s="366">
        <f t="shared" si="40"/>
        <v>164790300</v>
      </c>
      <c r="P65" s="366">
        <f t="shared" si="40"/>
        <v>445552133</v>
      </c>
      <c r="Q65" s="366">
        <f t="shared" si="40"/>
        <v>643041836</v>
      </c>
    </row>
    <row r="66" spans="1:17" s="100" customFormat="1" x14ac:dyDescent="0.25">
      <c r="A66" s="337">
        <v>212111</v>
      </c>
      <c r="B66" s="338" t="s">
        <v>24</v>
      </c>
      <c r="C66" s="366">
        <f>+C67</f>
        <v>10000000</v>
      </c>
      <c r="D66" s="366">
        <f t="shared" ref="D66:Q66" si="41">+D67</f>
        <v>0</v>
      </c>
      <c r="E66" s="366">
        <f t="shared" si="41"/>
        <v>10000000</v>
      </c>
      <c r="F66" s="366">
        <f t="shared" si="41"/>
        <v>0</v>
      </c>
      <c r="G66" s="366">
        <f t="shared" si="41"/>
        <v>0</v>
      </c>
      <c r="H66" s="366">
        <v>0</v>
      </c>
      <c r="I66" s="366">
        <v>0</v>
      </c>
      <c r="J66" s="366">
        <f t="shared" si="41"/>
        <v>0</v>
      </c>
      <c r="K66" s="366">
        <v>0</v>
      </c>
      <c r="L66" s="366">
        <v>0</v>
      </c>
      <c r="M66" s="366">
        <f t="shared" si="41"/>
        <v>0</v>
      </c>
      <c r="N66" s="366">
        <v>0</v>
      </c>
      <c r="O66" s="366">
        <f t="shared" si="41"/>
        <v>0</v>
      </c>
      <c r="P66" s="366">
        <f t="shared" si="41"/>
        <v>0</v>
      </c>
      <c r="Q66" s="366">
        <f t="shared" si="41"/>
        <v>0</v>
      </c>
    </row>
    <row r="67" spans="1:17" s="100" customFormat="1" x14ac:dyDescent="0.25">
      <c r="A67" s="339">
        <v>2121113</v>
      </c>
      <c r="B67" s="340" t="s">
        <v>25</v>
      </c>
      <c r="C67" s="367">
        <f>+C68+C69</f>
        <v>10000000</v>
      </c>
      <c r="D67" s="367">
        <f t="shared" ref="D67:Q67" si="42">+D68+D69</f>
        <v>0</v>
      </c>
      <c r="E67" s="367">
        <f t="shared" si="42"/>
        <v>10000000</v>
      </c>
      <c r="F67" s="367">
        <f t="shared" si="42"/>
        <v>0</v>
      </c>
      <c r="G67" s="367">
        <f t="shared" si="42"/>
        <v>0</v>
      </c>
      <c r="H67" s="367">
        <v>0</v>
      </c>
      <c r="I67" s="367">
        <v>0</v>
      </c>
      <c r="J67" s="367">
        <f t="shared" si="42"/>
        <v>0</v>
      </c>
      <c r="K67" s="367">
        <v>0</v>
      </c>
      <c r="L67" s="367">
        <v>0</v>
      </c>
      <c r="M67" s="367">
        <f t="shared" si="42"/>
        <v>0</v>
      </c>
      <c r="N67" s="367">
        <v>0</v>
      </c>
      <c r="O67" s="367">
        <f t="shared" si="42"/>
        <v>0</v>
      </c>
      <c r="P67" s="367">
        <f t="shared" si="42"/>
        <v>0</v>
      </c>
      <c r="Q67" s="367">
        <f t="shared" si="42"/>
        <v>0</v>
      </c>
    </row>
    <row r="68" spans="1:17" ht="30" x14ac:dyDescent="0.25">
      <c r="A68" s="341">
        <v>212111313</v>
      </c>
      <c r="B68" s="342" t="s">
        <v>535</v>
      </c>
      <c r="C68" s="368">
        <v>5000000</v>
      </c>
      <c r="D68" s="368">
        <v>0</v>
      </c>
      <c r="E68" s="368">
        <v>5000000</v>
      </c>
      <c r="F68" s="368">
        <v>0</v>
      </c>
      <c r="G68" s="368">
        <f t="shared" si="17"/>
        <v>0</v>
      </c>
      <c r="H68" s="368">
        <v>0</v>
      </c>
      <c r="I68" s="368">
        <v>0</v>
      </c>
      <c r="J68" s="368">
        <f t="shared" si="10"/>
        <v>0</v>
      </c>
      <c r="K68" s="368">
        <v>0</v>
      </c>
      <c r="L68" s="368">
        <v>0</v>
      </c>
      <c r="M68" s="368">
        <f t="shared" si="11"/>
        <v>0</v>
      </c>
      <c r="N68" s="368">
        <v>0</v>
      </c>
      <c r="O68" s="368">
        <f t="shared" si="12"/>
        <v>0</v>
      </c>
      <c r="P68" s="368">
        <f t="shared" si="13"/>
        <v>0</v>
      </c>
      <c r="Q68" s="368">
        <f t="shared" si="14"/>
        <v>0</v>
      </c>
    </row>
    <row r="69" spans="1:17" x14ac:dyDescent="0.25">
      <c r="A69" s="341">
        <v>212111314</v>
      </c>
      <c r="B69" s="342" t="s">
        <v>536</v>
      </c>
      <c r="C69" s="368">
        <v>5000000</v>
      </c>
      <c r="D69" s="368">
        <v>0</v>
      </c>
      <c r="E69" s="368">
        <v>5000000</v>
      </c>
      <c r="F69" s="368">
        <v>0</v>
      </c>
      <c r="G69" s="368">
        <f t="shared" si="17"/>
        <v>0</v>
      </c>
      <c r="H69" s="368">
        <v>0</v>
      </c>
      <c r="I69" s="368">
        <v>0</v>
      </c>
      <c r="J69" s="368">
        <f t="shared" si="10"/>
        <v>0</v>
      </c>
      <c r="K69" s="368">
        <v>0</v>
      </c>
      <c r="L69" s="368">
        <v>0</v>
      </c>
      <c r="M69" s="368">
        <f t="shared" si="11"/>
        <v>0</v>
      </c>
      <c r="N69" s="368">
        <v>0</v>
      </c>
      <c r="O69" s="368">
        <f t="shared" si="12"/>
        <v>0</v>
      </c>
      <c r="P69" s="368">
        <f t="shared" si="13"/>
        <v>0</v>
      </c>
      <c r="Q69" s="368">
        <f t="shared" si="14"/>
        <v>0</v>
      </c>
    </row>
    <row r="70" spans="1:17" s="100" customFormat="1" x14ac:dyDescent="0.25">
      <c r="A70" s="337">
        <v>212113</v>
      </c>
      <c r="B70" s="338" t="s">
        <v>26</v>
      </c>
      <c r="C70" s="366">
        <f>+C71</f>
        <v>243800000</v>
      </c>
      <c r="D70" s="366">
        <f t="shared" ref="D70:Q70" si="43">+D71</f>
        <v>329000000</v>
      </c>
      <c r="E70" s="366">
        <f t="shared" si="43"/>
        <v>159217811</v>
      </c>
      <c r="F70" s="366">
        <f t="shared" si="43"/>
        <v>496122658</v>
      </c>
      <c r="G70" s="366">
        <f t="shared" si="43"/>
        <v>909704847</v>
      </c>
      <c r="H70" s="366">
        <v>117478300</v>
      </c>
      <c r="I70" s="366">
        <v>446970913</v>
      </c>
      <c r="J70" s="366">
        <f t="shared" si="43"/>
        <v>462733934</v>
      </c>
      <c r="K70" s="366">
        <v>52234612</v>
      </c>
      <c r="L70" s="366">
        <v>313920578</v>
      </c>
      <c r="M70" s="366">
        <f t="shared" si="43"/>
        <v>133050335</v>
      </c>
      <c r="N70" s="366">
        <v>509152714</v>
      </c>
      <c r="O70" s="366">
        <f t="shared" si="43"/>
        <v>62181801</v>
      </c>
      <c r="P70" s="366">
        <f t="shared" si="43"/>
        <v>400552133</v>
      </c>
      <c r="Q70" s="366">
        <f t="shared" si="43"/>
        <v>313920578</v>
      </c>
    </row>
    <row r="71" spans="1:17" s="100" customFormat="1" x14ac:dyDescent="0.25">
      <c r="A71" s="337">
        <v>2121131</v>
      </c>
      <c r="B71" s="338" t="s">
        <v>27</v>
      </c>
      <c r="C71" s="366">
        <f>+C72+C74+C78+C81+C87+C91+C93</f>
        <v>243800000</v>
      </c>
      <c r="D71" s="366">
        <f>+D72+D74+D78+D81+D87+D91+D93</f>
        <v>329000000</v>
      </c>
      <c r="E71" s="366">
        <f t="shared" ref="E71:Q71" si="44">+E72+E74+E78+E81+E87+E91+E93</f>
        <v>159217811</v>
      </c>
      <c r="F71" s="366">
        <f t="shared" si="44"/>
        <v>496122658</v>
      </c>
      <c r="G71" s="366">
        <f t="shared" si="44"/>
        <v>909704847</v>
      </c>
      <c r="H71" s="366">
        <v>117478300</v>
      </c>
      <c r="I71" s="366">
        <v>446970913</v>
      </c>
      <c r="J71" s="366">
        <f t="shared" si="44"/>
        <v>462733934</v>
      </c>
      <c r="K71" s="366">
        <v>52234612</v>
      </c>
      <c r="L71" s="366">
        <v>313920578</v>
      </c>
      <c r="M71" s="366">
        <f t="shared" si="44"/>
        <v>133050335</v>
      </c>
      <c r="N71" s="366">
        <v>509152714</v>
      </c>
      <c r="O71" s="366">
        <f t="shared" si="44"/>
        <v>62181801</v>
      </c>
      <c r="P71" s="366">
        <f t="shared" si="44"/>
        <v>400552133</v>
      </c>
      <c r="Q71" s="366">
        <f t="shared" si="44"/>
        <v>313920578</v>
      </c>
    </row>
    <row r="72" spans="1:17" s="100" customFormat="1" x14ac:dyDescent="0.25">
      <c r="A72" s="339">
        <v>21211311</v>
      </c>
      <c r="B72" s="340" t="s">
        <v>28</v>
      </c>
      <c r="C72" s="367">
        <f>+C73</f>
        <v>20000000</v>
      </c>
      <c r="D72" s="367">
        <f t="shared" ref="D72:Q72" si="45">+D73</f>
        <v>10000000</v>
      </c>
      <c r="E72" s="367">
        <f t="shared" si="45"/>
        <v>0</v>
      </c>
      <c r="F72" s="367">
        <f t="shared" si="45"/>
        <v>0</v>
      </c>
      <c r="G72" s="367">
        <f t="shared" si="45"/>
        <v>30000000</v>
      </c>
      <c r="H72" s="367">
        <v>320000</v>
      </c>
      <c r="I72" s="367">
        <v>11033678</v>
      </c>
      <c r="J72" s="367">
        <f t="shared" si="45"/>
        <v>18966322</v>
      </c>
      <c r="K72" s="367">
        <v>65400</v>
      </c>
      <c r="L72" s="367">
        <v>7655400</v>
      </c>
      <c r="M72" s="367">
        <f t="shared" si="45"/>
        <v>3378278</v>
      </c>
      <c r="N72" s="367">
        <v>12830557</v>
      </c>
      <c r="O72" s="367">
        <f t="shared" si="45"/>
        <v>1796879</v>
      </c>
      <c r="P72" s="367">
        <f t="shared" si="45"/>
        <v>17169443</v>
      </c>
      <c r="Q72" s="367">
        <f t="shared" si="45"/>
        <v>7655400</v>
      </c>
    </row>
    <row r="73" spans="1:17" x14ac:dyDescent="0.25">
      <c r="A73" s="341">
        <v>212113116</v>
      </c>
      <c r="B73" s="342" t="s">
        <v>537</v>
      </c>
      <c r="C73" s="368">
        <v>20000000</v>
      </c>
      <c r="D73" s="368">
        <v>10000000</v>
      </c>
      <c r="E73" s="368">
        <v>0</v>
      </c>
      <c r="F73" s="368">
        <v>0</v>
      </c>
      <c r="G73" s="368">
        <f t="shared" si="17"/>
        <v>30000000</v>
      </c>
      <c r="H73" s="368">
        <v>320000</v>
      </c>
      <c r="I73" s="368">
        <v>11033678</v>
      </c>
      <c r="J73" s="368">
        <f t="shared" ref="J73:J136" si="46">+G73-I73</f>
        <v>18966322</v>
      </c>
      <c r="K73" s="368">
        <v>65400</v>
      </c>
      <c r="L73" s="368">
        <v>7655400</v>
      </c>
      <c r="M73" s="368">
        <f t="shared" ref="M73:M136" si="47">+I73-L73</f>
        <v>3378278</v>
      </c>
      <c r="N73" s="368">
        <v>12830557</v>
      </c>
      <c r="O73" s="368">
        <f t="shared" ref="O73:O136" si="48">+N73-I73</f>
        <v>1796879</v>
      </c>
      <c r="P73" s="368">
        <f t="shared" ref="P73:P136" si="49">+G73-N73</f>
        <v>17169443</v>
      </c>
      <c r="Q73" s="368">
        <f t="shared" ref="Q73:Q135" si="50">+L73</f>
        <v>7655400</v>
      </c>
    </row>
    <row r="74" spans="1:17" s="100" customFormat="1" x14ac:dyDescent="0.25">
      <c r="A74" s="339">
        <v>21211312</v>
      </c>
      <c r="B74" s="340" t="s">
        <v>29</v>
      </c>
      <c r="C74" s="367">
        <f>+C75+C76+C77</f>
        <v>53000000</v>
      </c>
      <c r="D74" s="367">
        <f t="shared" ref="D74:Q74" si="51">+D75+D76+D77</f>
        <v>49000000</v>
      </c>
      <c r="E74" s="367">
        <f t="shared" si="51"/>
        <v>29000000</v>
      </c>
      <c r="F74" s="367">
        <f t="shared" si="51"/>
        <v>132683041</v>
      </c>
      <c r="G74" s="367">
        <f t="shared" si="51"/>
        <v>205683041</v>
      </c>
      <c r="H74" s="367">
        <v>107446750</v>
      </c>
      <c r="I74" s="367">
        <v>127328015</v>
      </c>
      <c r="J74" s="367">
        <f t="shared" si="51"/>
        <v>78355026</v>
      </c>
      <c r="K74" s="367">
        <v>23983000</v>
      </c>
      <c r="L74" s="367">
        <v>40834565</v>
      </c>
      <c r="M74" s="367">
        <f t="shared" si="51"/>
        <v>86493450</v>
      </c>
      <c r="N74" s="367">
        <v>156550520</v>
      </c>
      <c r="O74" s="367">
        <f t="shared" si="51"/>
        <v>29222505</v>
      </c>
      <c r="P74" s="367">
        <f t="shared" si="51"/>
        <v>49132521</v>
      </c>
      <c r="Q74" s="367">
        <f t="shared" si="51"/>
        <v>40834565</v>
      </c>
    </row>
    <row r="75" spans="1:17" x14ac:dyDescent="0.25">
      <c r="A75" s="341">
        <v>212113121</v>
      </c>
      <c r="B75" s="342" t="s">
        <v>807</v>
      </c>
      <c r="C75" s="368"/>
      <c r="D75" s="368">
        <v>29000000</v>
      </c>
      <c r="E75" s="368">
        <v>29000000</v>
      </c>
      <c r="F75" s="368">
        <v>0</v>
      </c>
      <c r="G75" s="368">
        <f t="shared" si="17"/>
        <v>0</v>
      </c>
      <c r="H75" s="368">
        <v>0</v>
      </c>
      <c r="I75" s="368">
        <v>0</v>
      </c>
      <c r="J75" s="368">
        <f t="shared" si="46"/>
        <v>0</v>
      </c>
      <c r="K75" s="368">
        <v>0</v>
      </c>
      <c r="L75" s="368">
        <v>0</v>
      </c>
      <c r="M75" s="368">
        <f t="shared" si="47"/>
        <v>0</v>
      </c>
      <c r="N75" s="368">
        <v>0</v>
      </c>
      <c r="O75" s="368">
        <f t="shared" si="48"/>
        <v>0</v>
      </c>
      <c r="P75" s="368">
        <f t="shared" si="49"/>
        <v>0</v>
      </c>
      <c r="Q75" s="368"/>
    </row>
    <row r="76" spans="1:17" x14ac:dyDescent="0.25">
      <c r="A76" s="341">
        <v>212113122</v>
      </c>
      <c r="B76" s="342" t="s">
        <v>538</v>
      </c>
      <c r="C76" s="368">
        <v>8000000</v>
      </c>
      <c r="D76" s="368">
        <v>10000000</v>
      </c>
      <c r="E76" s="368">
        <v>0</v>
      </c>
      <c r="F76" s="368">
        <v>0</v>
      </c>
      <c r="G76" s="368">
        <f t="shared" si="17"/>
        <v>18000000</v>
      </c>
      <c r="H76" s="368">
        <v>400000</v>
      </c>
      <c r="I76" s="368">
        <v>8843365</v>
      </c>
      <c r="J76" s="368">
        <f t="shared" si="46"/>
        <v>9156635</v>
      </c>
      <c r="K76" s="368">
        <v>483000</v>
      </c>
      <c r="L76" s="368">
        <v>8436365</v>
      </c>
      <c r="M76" s="368">
        <f t="shared" si="47"/>
        <v>407000</v>
      </c>
      <c r="N76" s="368">
        <v>10400000</v>
      </c>
      <c r="O76" s="368">
        <f t="shared" si="48"/>
        <v>1556635</v>
      </c>
      <c r="P76" s="368">
        <f t="shared" si="49"/>
        <v>7600000</v>
      </c>
      <c r="Q76" s="368">
        <f t="shared" si="50"/>
        <v>8436365</v>
      </c>
    </row>
    <row r="77" spans="1:17" ht="30" x14ac:dyDescent="0.25">
      <c r="A77" s="341">
        <v>212113128</v>
      </c>
      <c r="B77" s="342" t="s">
        <v>539</v>
      </c>
      <c r="C77" s="368">
        <v>45000000</v>
      </c>
      <c r="D77" s="368">
        <v>10000000</v>
      </c>
      <c r="E77" s="368">
        <v>0</v>
      </c>
      <c r="F77" s="368">
        <v>132683041</v>
      </c>
      <c r="G77" s="368">
        <f t="shared" si="17"/>
        <v>187683041</v>
      </c>
      <c r="H77" s="368">
        <v>107046750</v>
      </c>
      <c r="I77" s="368">
        <v>118484650</v>
      </c>
      <c r="J77" s="368">
        <f t="shared" si="46"/>
        <v>69198391</v>
      </c>
      <c r="K77" s="368">
        <v>23500000</v>
      </c>
      <c r="L77" s="368">
        <v>32398200</v>
      </c>
      <c r="M77" s="368">
        <f t="shared" si="47"/>
        <v>86086450</v>
      </c>
      <c r="N77" s="368">
        <v>146150520</v>
      </c>
      <c r="O77" s="368">
        <f t="shared" si="48"/>
        <v>27665870</v>
      </c>
      <c r="P77" s="368">
        <f t="shared" si="49"/>
        <v>41532521</v>
      </c>
      <c r="Q77" s="368">
        <f t="shared" si="50"/>
        <v>32398200</v>
      </c>
    </row>
    <row r="78" spans="1:17" s="100" customFormat="1" ht="30" x14ac:dyDescent="0.25">
      <c r="A78" s="339">
        <v>21211313</v>
      </c>
      <c r="B78" s="340" t="s">
        <v>30</v>
      </c>
      <c r="C78" s="367">
        <f>+C79+C80</f>
        <v>100000000</v>
      </c>
      <c r="D78" s="367">
        <f t="shared" ref="D78:Q78" si="52">+D79+D80</f>
        <v>20000000</v>
      </c>
      <c r="E78" s="367">
        <f t="shared" si="52"/>
        <v>81267811</v>
      </c>
      <c r="F78" s="367">
        <f t="shared" si="52"/>
        <v>163439617</v>
      </c>
      <c r="G78" s="367">
        <f t="shared" si="52"/>
        <v>202171806</v>
      </c>
      <c r="H78" s="367">
        <v>5997950</v>
      </c>
      <c r="I78" s="367">
        <v>66134763</v>
      </c>
      <c r="J78" s="367">
        <f t="shared" si="52"/>
        <v>136037043</v>
      </c>
      <c r="K78" s="367">
        <v>0</v>
      </c>
      <c r="L78" s="367">
        <v>63470758</v>
      </c>
      <c r="M78" s="367">
        <f t="shared" si="52"/>
        <v>2664005</v>
      </c>
      <c r="N78" s="367">
        <v>84551984</v>
      </c>
      <c r="O78" s="367">
        <f t="shared" si="52"/>
        <v>18417221</v>
      </c>
      <c r="P78" s="367">
        <f t="shared" si="52"/>
        <v>117619822</v>
      </c>
      <c r="Q78" s="367">
        <f t="shared" si="52"/>
        <v>63470758</v>
      </c>
    </row>
    <row r="79" spans="1:17" ht="30" x14ac:dyDescent="0.25">
      <c r="A79" s="341">
        <v>212113131</v>
      </c>
      <c r="B79" s="342" t="s">
        <v>540</v>
      </c>
      <c r="C79" s="368">
        <v>45000000</v>
      </c>
      <c r="D79" s="368">
        <v>10000000</v>
      </c>
      <c r="E79" s="368">
        <v>0</v>
      </c>
      <c r="F79" s="368">
        <v>57000000</v>
      </c>
      <c r="G79" s="368">
        <f t="shared" si="17"/>
        <v>112000000</v>
      </c>
      <c r="H79" s="368">
        <v>0</v>
      </c>
      <c r="I79" s="368">
        <v>27632149</v>
      </c>
      <c r="J79" s="368">
        <f t="shared" si="46"/>
        <v>84367851</v>
      </c>
      <c r="K79" s="368">
        <v>0</v>
      </c>
      <c r="L79" s="368">
        <v>27632149</v>
      </c>
      <c r="M79" s="368">
        <f t="shared" si="47"/>
        <v>0</v>
      </c>
      <c r="N79" s="368">
        <v>31076649</v>
      </c>
      <c r="O79" s="368">
        <f t="shared" si="48"/>
        <v>3444500</v>
      </c>
      <c r="P79" s="368">
        <f t="shared" si="49"/>
        <v>80923351</v>
      </c>
      <c r="Q79" s="368">
        <f t="shared" si="50"/>
        <v>27632149</v>
      </c>
    </row>
    <row r="80" spans="1:17" ht="30" x14ac:dyDescent="0.25">
      <c r="A80" s="341">
        <v>212113132</v>
      </c>
      <c r="B80" s="342" t="s">
        <v>541</v>
      </c>
      <c r="C80" s="368">
        <v>55000000</v>
      </c>
      <c r="D80" s="368">
        <v>10000000</v>
      </c>
      <c r="E80" s="368">
        <v>81267811</v>
      </c>
      <c r="F80" s="368">
        <v>106439617</v>
      </c>
      <c r="G80" s="368">
        <f t="shared" ref="G80:G144" si="53">+C80+D80-E80+F80</f>
        <v>90171806</v>
      </c>
      <c r="H80" s="368">
        <v>5997950</v>
      </c>
      <c r="I80" s="368">
        <v>38502614</v>
      </c>
      <c r="J80" s="368">
        <f t="shared" si="46"/>
        <v>51669192</v>
      </c>
      <c r="K80" s="368">
        <v>0</v>
      </c>
      <c r="L80" s="368">
        <v>35838609</v>
      </c>
      <c r="M80" s="368">
        <f t="shared" si="47"/>
        <v>2664005</v>
      </c>
      <c r="N80" s="368">
        <v>53475335</v>
      </c>
      <c r="O80" s="368">
        <f t="shared" si="48"/>
        <v>14972721</v>
      </c>
      <c r="P80" s="368">
        <f t="shared" si="49"/>
        <v>36696471</v>
      </c>
      <c r="Q80" s="368">
        <f t="shared" si="50"/>
        <v>35838609</v>
      </c>
    </row>
    <row r="81" spans="1:17" s="100" customFormat="1" x14ac:dyDescent="0.25">
      <c r="A81" s="339">
        <v>21211314</v>
      </c>
      <c r="B81" s="340" t="s">
        <v>31</v>
      </c>
      <c r="C81" s="367">
        <f>+C82+C83+C84+C85+C86</f>
        <v>18800000</v>
      </c>
      <c r="D81" s="367">
        <f t="shared" ref="D81:Q81" si="54">+D82+D83+D84+D85+D86</f>
        <v>50000000</v>
      </c>
      <c r="E81" s="367">
        <f>+E82+E83+E84+E85+E86</f>
        <v>48950000</v>
      </c>
      <c r="F81" s="367">
        <f t="shared" si="54"/>
        <v>155000000</v>
      </c>
      <c r="G81" s="367">
        <f t="shared" si="54"/>
        <v>174850000</v>
      </c>
      <c r="H81" s="367">
        <v>2414600</v>
      </c>
      <c r="I81" s="367">
        <v>18081702</v>
      </c>
      <c r="J81" s="367">
        <f t="shared" si="54"/>
        <v>156768298</v>
      </c>
      <c r="K81" s="367">
        <v>931772</v>
      </c>
      <c r="L81" s="367">
        <v>15722152</v>
      </c>
      <c r="M81" s="367">
        <f t="shared" si="54"/>
        <v>2359550</v>
      </c>
      <c r="N81" s="367">
        <v>19748868</v>
      </c>
      <c r="O81" s="367">
        <f t="shared" si="54"/>
        <v>1667166</v>
      </c>
      <c r="P81" s="367">
        <f t="shared" si="54"/>
        <v>155101132</v>
      </c>
      <c r="Q81" s="367">
        <f t="shared" si="54"/>
        <v>15722152</v>
      </c>
    </row>
    <row r="82" spans="1:17" ht="30" x14ac:dyDescent="0.25">
      <c r="A82" s="341">
        <v>212113141</v>
      </c>
      <c r="B82" s="342" t="s">
        <v>542</v>
      </c>
      <c r="C82" s="368">
        <v>3000000</v>
      </c>
      <c r="D82" s="368">
        <v>10000000</v>
      </c>
      <c r="E82" s="368">
        <v>0</v>
      </c>
      <c r="F82" s="368">
        <v>45000000</v>
      </c>
      <c r="G82" s="368">
        <f t="shared" si="53"/>
        <v>58000000</v>
      </c>
      <c r="H82" s="368">
        <v>982000</v>
      </c>
      <c r="I82" s="368">
        <v>7132999</v>
      </c>
      <c r="J82" s="368">
        <f t="shared" si="46"/>
        <v>50867001</v>
      </c>
      <c r="K82" s="368">
        <v>207172</v>
      </c>
      <c r="L82" s="368">
        <v>6104171</v>
      </c>
      <c r="M82" s="368">
        <f t="shared" si="47"/>
        <v>1028828</v>
      </c>
      <c r="N82" s="368">
        <v>7134800</v>
      </c>
      <c r="O82" s="368">
        <f t="shared" si="48"/>
        <v>1801</v>
      </c>
      <c r="P82" s="368">
        <f t="shared" si="49"/>
        <v>50865200</v>
      </c>
      <c r="Q82" s="368">
        <f t="shared" si="50"/>
        <v>6104171</v>
      </c>
    </row>
    <row r="83" spans="1:17" x14ac:dyDescent="0.25">
      <c r="A83" s="341">
        <v>212113142</v>
      </c>
      <c r="B83" s="342" t="s">
        <v>543</v>
      </c>
      <c r="C83" s="368">
        <v>0</v>
      </c>
      <c r="D83" s="368">
        <v>10000000</v>
      </c>
      <c r="E83" s="368">
        <v>0</v>
      </c>
      <c r="F83" s="368">
        <v>35000000</v>
      </c>
      <c r="G83" s="368">
        <f t="shared" si="53"/>
        <v>45000000</v>
      </c>
      <c r="H83" s="368">
        <v>1432600</v>
      </c>
      <c r="I83" s="368">
        <v>10115703</v>
      </c>
      <c r="J83" s="368">
        <f t="shared" si="46"/>
        <v>34884297</v>
      </c>
      <c r="K83" s="368">
        <v>724600</v>
      </c>
      <c r="L83" s="368">
        <v>8784981</v>
      </c>
      <c r="M83" s="368">
        <f t="shared" si="47"/>
        <v>1330722</v>
      </c>
      <c r="N83" s="368">
        <v>11764068</v>
      </c>
      <c r="O83" s="368">
        <f t="shared" si="48"/>
        <v>1648365</v>
      </c>
      <c r="P83" s="368">
        <f t="shared" si="49"/>
        <v>33235932</v>
      </c>
      <c r="Q83" s="368">
        <f t="shared" si="50"/>
        <v>8784981</v>
      </c>
    </row>
    <row r="84" spans="1:17" ht="30" x14ac:dyDescent="0.25">
      <c r="A84" s="341">
        <v>212113143</v>
      </c>
      <c r="B84" s="342" t="s">
        <v>544</v>
      </c>
      <c r="C84" s="368">
        <v>0</v>
      </c>
      <c r="D84" s="368">
        <v>10000000</v>
      </c>
      <c r="E84" s="368">
        <v>0</v>
      </c>
      <c r="F84" s="368">
        <v>25000000</v>
      </c>
      <c r="G84" s="368">
        <f t="shared" si="53"/>
        <v>35000000</v>
      </c>
      <c r="H84" s="368">
        <v>0</v>
      </c>
      <c r="I84" s="368">
        <v>0</v>
      </c>
      <c r="J84" s="368">
        <f t="shared" si="46"/>
        <v>35000000</v>
      </c>
      <c r="K84" s="368">
        <v>0</v>
      </c>
      <c r="L84" s="368">
        <v>0</v>
      </c>
      <c r="M84" s="368">
        <f t="shared" si="47"/>
        <v>0</v>
      </c>
      <c r="N84" s="368">
        <v>0</v>
      </c>
      <c r="O84" s="368">
        <f t="shared" si="48"/>
        <v>0</v>
      </c>
      <c r="P84" s="368">
        <f t="shared" si="49"/>
        <v>35000000</v>
      </c>
      <c r="Q84" s="368">
        <f t="shared" si="50"/>
        <v>0</v>
      </c>
    </row>
    <row r="85" spans="1:17" ht="30" x14ac:dyDescent="0.25">
      <c r="A85" s="341">
        <v>212113144</v>
      </c>
      <c r="B85" s="342" t="s">
        <v>635</v>
      </c>
      <c r="C85" s="368">
        <v>1000000</v>
      </c>
      <c r="D85" s="368">
        <v>10000000</v>
      </c>
      <c r="E85" s="368"/>
      <c r="F85" s="368">
        <v>25000000</v>
      </c>
      <c r="G85" s="368">
        <f t="shared" si="53"/>
        <v>36000000</v>
      </c>
      <c r="H85" s="368">
        <v>0</v>
      </c>
      <c r="I85" s="368">
        <v>0</v>
      </c>
      <c r="J85" s="368">
        <f t="shared" si="46"/>
        <v>36000000</v>
      </c>
      <c r="K85" s="368">
        <v>0</v>
      </c>
      <c r="L85" s="368">
        <v>0</v>
      </c>
      <c r="M85" s="368">
        <f t="shared" si="47"/>
        <v>0</v>
      </c>
      <c r="N85" s="368">
        <v>0</v>
      </c>
      <c r="O85" s="368">
        <f t="shared" si="48"/>
        <v>0</v>
      </c>
      <c r="P85" s="368">
        <f t="shared" si="49"/>
        <v>36000000</v>
      </c>
      <c r="Q85" s="368">
        <f t="shared" si="50"/>
        <v>0</v>
      </c>
    </row>
    <row r="86" spans="1:17" x14ac:dyDescent="0.25">
      <c r="A86" s="341">
        <v>212113145</v>
      </c>
      <c r="B86" s="342" t="s">
        <v>543</v>
      </c>
      <c r="C86" s="368">
        <v>14800000</v>
      </c>
      <c r="D86" s="368">
        <v>10000000</v>
      </c>
      <c r="E86" s="368">
        <v>48950000</v>
      </c>
      <c r="F86" s="368">
        <v>25000000</v>
      </c>
      <c r="G86" s="368">
        <f t="shared" si="53"/>
        <v>850000</v>
      </c>
      <c r="H86" s="368">
        <v>0</v>
      </c>
      <c r="I86" s="368">
        <v>833000</v>
      </c>
      <c r="J86" s="368">
        <f t="shared" si="46"/>
        <v>17000</v>
      </c>
      <c r="K86" s="368">
        <v>0</v>
      </c>
      <c r="L86" s="368">
        <v>833000</v>
      </c>
      <c r="M86" s="368">
        <f t="shared" si="47"/>
        <v>0</v>
      </c>
      <c r="N86" s="368">
        <v>850000</v>
      </c>
      <c r="O86" s="368">
        <f t="shared" si="48"/>
        <v>17000</v>
      </c>
      <c r="P86" s="368">
        <f t="shared" si="49"/>
        <v>0</v>
      </c>
      <c r="Q86" s="368">
        <f t="shared" si="50"/>
        <v>833000</v>
      </c>
    </row>
    <row r="87" spans="1:17" s="100" customFormat="1" ht="30" x14ac:dyDescent="0.25">
      <c r="A87" s="339">
        <v>21211315</v>
      </c>
      <c r="B87" s="340" t="s">
        <v>32</v>
      </c>
      <c r="C87" s="367">
        <f>+C88+C89+C90</f>
        <v>17000000</v>
      </c>
      <c r="D87" s="367">
        <f t="shared" ref="D87:Q87" si="55">+D88+D89+D90</f>
        <v>0</v>
      </c>
      <c r="E87" s="367">
        <f t="shared" si="55"/>
        <v>0</v>
      </c>
      <c r="F87" s="367">
        <f t="shared" si="55"/>
        <v>0</v>
      </c>
      <c r="G87" s="367">
        <f t="shared" si="55"/>
        <v>17000000</v>
      </c>
      <c r="H87" s="367">
        <v>0</v>
      </c>
      <c r="I87" s="367">
        <v>3686515</v>
      </c>
      <c r="J87" s="367">
        <f t="shared" si="55"/>
        <v>13313485</v>
      </c>
      <c r="K87" s="367">
        <v>0</v>
      </c>
      <c r="L87" s="367">
        <v>2686515</v>
      </c>
      <c r="M87" s="367">
        <f t="shared" si="55"/>
        <v>1000000</v>
      </c>
      <c r="N87" s="367">
        <v>3686515</v>
      </c>
      <c r="O87" s="367">
        <f t="shared" si="55"/>
        <v>0</v>
      </c>
      <c r="P87" s="367">
        <f t="shared" si="55"/>
        <v>13313485</v>
      </c>
      <c r="Q87" s="367">
        <f t="shared" si="55"/>
        <v>2686515</v>
      </c>
    </row>
    <row r="88" spans="1:17" ht="30" x14ac:dyDescent="0.25">
      <c r="A88" s="341">
        <v>212113151</v>
      </c>
      <c r="B88" s="342" t="s">
        <v>545</v>
      </c>
      <c r="C88" s="368">
        <v>8000000</v>
      </c>
      <c r="D88" s="368">
        <v>0</v>
      </c>
      <c r="E88" s="368">
        <v>0</v>
      </c>
      <c r="F88" s="368">
        <v>0</v>
      </c>
      <c r="G88" s="368">
        <f t="shared" si="53"/>
        <v>8000000</v>
      </c>
      <c r="H88" s="368">
        <v>0</v>
      </c>
      <c r="I88" s="368">
        <v>3686515</v>
      </c>
      <c r="J88" s="368">
        <f t="shared" si="46"/>
        <v>4313485</v>
      </c>
      <c r="K88" s="368">
        <v>0</v>
      </c>
      <c r="L88" s="368">
        <v>2686515</v>
      </c>
      <c r="M88" s="368">
        <f t="shared" si="47"/>
        <v>1000000</v>
      </c>
      <c r="N88" s="368">
        <v>3686515</v>
      </c>
      <c r="O88" s="368">
        <f t="shared" si="48"/>
        <v>0</v>
      </c>
      <c r="P88" s="368">
        <f t="shared" si="49"/>
        <v>4313485</v>
      </c>
      <c r="Q88" s="368">
        <f t="shared" si="50"/>
        <v>2686515</v>
      </c>
    </row>
    <row r="89" spans="1:17" ht="30" x14ac:dyDescent="0.25">
      <c r="A89" s="341">
        <v>212113152</v>
      </c>
      <c r="B89" s="342" t="s">
        <v>546</v>
      </c>
      <c r="C89" s="368">
        <v>6000000</v>
      </c>
      <c r="D89" s="368">
        <v>0</v>
      </c>
      <c r="E89" s="368">
        <v>0</v>
      </c>
      <c r="F89" s="368">
        <v>0</v>
      </c>
      <c r="G89" s="368">
        <f t="shared" si="53"/>
        <v>6000000</v>
      </c>
      <c r="H89" s="368">
        <v>0</v>
      </c>
      <c r="I89" s="368">
        <v>0</v>
      </c>
      <c r="J89" s="368">
        <f t="shared" si="46"/>
        <v>6000000</v>
      </c>
      <c r="K89" s="368">
        <v>0</v>
      </c>
      <c r="L89" s="368">
        <v>0</v>
      </c>
      <c r="M89" s="368">
        <f t="shared" si="47"/>
        <v>0</v>
      </c>
      <c r="N89" s="368">
        <v>0</v>
      </c>
      <c r="O89" s="368">
        <f t="shared" si="48"/>
        <v>0</v>
      </c>
      <c r="P89" s="368">
        <f t="shared" si="49"/>
        <v>6000000</v>
      </c>
      <c r="Q89" s="368">
        <f t="shared" si="50"/>
        <v>0</v>
      </c>
    </row>
    <row r="90" spans="1:17" ht="30" x14ac:dyDescent="0.25">
      <c r="A90" s="341">
        <v>212113153</v>
      </c>
      <c r="B90" s="342" t="s">
        <v>636</v>
      </c>
      <c r="C90" s="368">
        <v>3000000</v>
      </c>
      <c r="D90" s="368">
        <v>0</v>
      </c>
      <c r="E90" s="368">
        <v>0</v>
      </c>
      <c r="F90" s="368">
        <v>0</v>
      </c>
      <c r="G90" s="368">
        <f t="shared" si="53"/>
        <v>3000000</v>
      </c>
      <c r="H90" s="368">
        <v>0</v>
      </c>
      <c r="I90" s="368">
        <v>0</v>
      </c>
      <c r="J90" s="368">
        <f t="shared" si="46"/>
        <v>3000000</v>
      </c>
      <c r="K90" s="368">
        <v>0</v>
      </c>
      <c r="L90" s="368">
        <v>0</v>
      </c>
      <c r="M90" s="368">
        <f t="shared" si="47"/>
        <v>0</v>
      </c>
      <c r="N90" s="368">
        <v>0</v>
      </c>
      <c r="O90" s="368">
        <f t="shared" si="48"/>
        <v>0</v>
      </c>
      <c r="P90" s="368">
        <f t="shared" si="49"/>
        <v>3000000</v>
      </c>
      <c r="Q90" s="368">
        <f t="shared" si="50"/>
        <v>0</v>
      </c>
    </row>
    <row r="91" spans="1:17" s="100" customFormat="1" ht="30" x14ac:dyDescent="0.25">
      <c r="A91" s="339">
        <v>21211316</v>
      </c>
      <c r="B91" s="340" t="s">
        <v>33</v>
      </c>
      <c r="C91" s="367">
        <f>+C92</f>
        <v>35000000</v>
      </c>
      <c r="D91" s="367">
        <f t="shared" ref="D91:Q91" si="56">+D92</f>
        <v>0</v>
      </c>
      <c r="E91" s="367">
        <f t="shared" si="56"/>
        <v>0</v>
      </c>
      <c r="F91" s="367">
        <f t="shared" si="56"/>
        <v>0</v>
      </c>
      <c r="G91" s="367">
        <f t="shared" si="56"/>
        <v>35000000</v>
      </c>
      <c r="H91" s="367">
        <v>119000</v>
      </c>
      <c r="I91" s="367">
        <v>2828500</v>
      </c>
      <c r="J91" s="367">
        <f t="shared" si="56"/>
        <v>32171500</v>
      </c>
      <c r="K91" s="367">
        <v>0</v>
      </c>
      <c r="L91" s="367">
        <v>2828500</v>
      </c>
      <c r="M91" s="367">
        <f t="shared" si="56"/>
        <v>0</v>
      </c>
      <c r="N91" s="367">
        <v>2828500</v>
      </c>
      <c r="O91" s="367">
        <f t="shared" si="56"/>
        <v>0</v>
      </c>
      <c r="P91" s="367">
        <f t="shared" si="56"/>
        <v>32171500</v>
      </c>
      <c r="Q91" s="367">
        <f t="shared" si="56"/>
        <v>2828500</v>
      </c>
    </row>
    <row r="92" spans="1:17" ht="30" x14ac:dyDescent="0.25">
      <c r="A92" s="341">
        <v>212113162</v>
      </c>
      <c r="B92" s="342" t="s">
        <v>547</v>
      </c>
      <c r="C92" s="368">
        <v>35000000</v>
      </c>
      <c r="D92" s="368">
        <v>0</v>
      </c>
      <c r="E92" s="368">
        <v>0</v>
      </c>
      <c r="F92" s="368">
        <v>0</v>
      </c>
      <c r="G92" s="368">
        <f t="shared" si="53"/>
        <v>35000000</v>
      </c>
      <c r="H92" s="368">
        <v>119000</v>
      </c>
      <c r="I92" s="368">
        <v>2828500</v>
      </c>
      <c r="J92" s="368">
        <f t="shared" si="46"/>
        <v>32171500</v>
      </c>
      <c r="K92" s="368">
        <v>0</v>
      </c>
      <c r="L92" s="368">
        <v>2828500</v>
      </c>
      <c r="M92" s="368">
        <f t="shared" si="47"/>
        <v>0</v>
      </c>
      <c r="N92" s="368">
        <v>2828500</v>
      </c>
      <c r="O92" s="368">
        <f t="shared" si="48"/>
        <v>0</v>
      </c>
      <c r="P92" s="368">
        <f t="shared" si="49"/>
        <v>32171500</v>
      </c>
      <c r="Q92" s="368">
        <f t="shared" si="50"/>
        <v>2828500</v>
      </c>
    </row>
    <row r="93" spans="1:17" s="100" customFormat="1" x14ac:dyDescent="0.25">
      <c r="A93" s="339">
        <v>21211317</v>
      </c>
      <c r="B93" s="340" t="s">
        <v>34</v>
      </c>
      <c r="C93" s="367">
        <f>+C94</f>
        <v>0</v>
      </c>
      <c r="D93" s="367">
        <f t="shared" ref="D93:Q93" si="57">+D94</f>
        <v>200000000</v>
      </c>
      <c r="E93" s="367">
        <f t="shared" si="57"/>
        <v>0</v>
      </c>
      <c r="F93" s="367">
        <f t="shared" si="57"/>
        <v>45000000</v>
      </c>
      <c r="G93" s="367">
        <f t="shared" si="57"/>
        <v>245000000</v>
      </c>
      <c r="H93" s="367">
        <v>1180000</v>
      </c>
      <c r="I93" s="367">
        <v>217877740</v>
      </c>
      <c r="J93" s="367">
        <f t="shared" si="57"/>
        <v>27122260</v>
      </c>
      <c r="K93" s="367">
        <v>27254440</v>
      </c>
      <c r="L93" s="367">
        <v>180722688</v>
      </c>
      <c r="M93" s="367">
        <f t="shared" si="57"/>
        <v>37155052</v>
      </c>
      <c r="N93" s="367">
        <v>228955770</v>
      </c>
      <c r="O93" s="367">
        <f t="shared" si="57"/>
        <v>11078030</v>
      </c>
      <c r="P93" s="367">
        <f t="shared" si="57"/>
        <v>16044230</v>
      </c>
      <c r="Q93" s="367">
        <f t="shared" si="57"/>
        <v>180722688</v>
      </c>
    </row>
    <row r="94" spans="1:17" ht="30" x14ac:dyDescent="0.25">
      <c r="A94" s="341">
        <v>212113171</v>
      </c>
      <c r="B94" s="342" t="s">
        <v>548</v>
      </c>
      <c r="C94" s="368">
        <v>0</v>
      </c>
      <c r="D94" s="368">
        <v>200000000</v>
      </c>
      <c r="E94" s="368">
        <v>0</v>
      </c>
      <c r="F94" s="368">
        <v>45000000</v>
      </c>
      <c r="G94" s="368">
        <f t="shared" si="53"/>
        <v>245000000</v>
      </c>
      <c r="H94" s="368">
        <v>1180000</v>
      </c>
      <c r="I94" s="368">
        <v>217877740</v>
      </c>
      <c r="J94" s="368">
        <f t="shared" si="46"/>
        <v>27122260</v>
      </c>
      <c r="K94" s="368">
        <v>27254440</v>
      </c>
      <c r="L94" s="368">
        <v>180722688</v>
      </c>
      <c r="M94" s="368">
        <f t="shared" si="47"/>
        <v>37155052</v>
      </c>
      <c r="N94" s="368">
        <v>228955770</v>
      </c>
      <c r="O94" s="368">
        <f t="shared" si="48"/>
        <v>11078030</v>
      </c>
      <c r="P94" s="368">
        <f t="shared" si="49"/>
        <v>16044230</v>
      </c>
      <c r="Q94" s="368">
        <f t="shared" si="50"/>
        <v>180722688</v>
      </c>
    </row>
    <row r="95" spans="1:17" s="100" customFormat="1" x14ac:dyDescent="0.25">
      <c r="A95" s="337">
        <v>212114</v>
      </c>
      <c r="B95" s="338" t="s">
        <v>35</v>
      </c>
      <c r="C95" s="366">
        <f>+C96+C101</f>
        <v>78190348</v>
      </c>
      <c r="D95" s="366">
        <f t="shared" ref="D95:Q95" si="58">+D96+D101</f>
        <v>435690000</v>
      </c>
      <c r="E95" s="366">
        <f t="shared" si="58"/>
        <v>58190348</v>
      </c>
      <c r="F95" s="366">
        <f t="shared" si="58"/>
        <v>25000000</v>
      </c>
      <c r="G95" s="366">
        <f t="shared" si="58"/>
        <v>480690000</v>
      </c>
      <c r="H95" s="366">
        <v>3960243</v>
      </c>
      <c r="I95" s="366">
        <v>333081501</v>
      </c>
      <c r="J95" s="366">
        <f t="shared" si="58"/>
        <v>147608499</v>
      </c>
      <c r="K95" s="366">
        <v>0</v>
      </c>
      <c r="L95" s="366">
        <v>329121258</v>
      </c>
      <c r="M95" s="366">
        <f t="shared" si="58"/>
        <v>3960243</v>
      </c>
      <c r="N95" s="366">
        <v>435690000</v>
      </c>
      <c r="O95" s="366">
        <f t="shared" si="58"/>
        <v>102608499</v>
      </c>
      <c r="P95" s="366">
        <f t="shared" si="58"/>
        <v>45000000</v>
      </c>
      <c r="Q95" s="366">
        <f t="shared" si="58"/>
        <v>329121258</v>
      </c>
    </row>
    <row r="96" spans="1:17" s="100" customFormat="1" x14ac:dyDescent="0.25">
      <c r="A96" s="337">
        <v>2121142</v>
      </c>
      <c r="B96" s="338" t="s">
        <v>36</v>
      </c>
      <c r="C96" s="366">
        <f>+C98</f>
        <v>0</v>
      </c>
      <c r="D96" s="366">
        <f>+D98</f>
        <v>410690000</v>
      </c>
      <c r="E96" s="366">
        <f>+E98</f>
        <v>0</v>
      </c>
      <c r="F96" s="366">
        <f>+F98</f>
        <v>25000000</v>
      </c>
      <c r="G96" s="366">
        <f>+G98</f>
        <v>435690000</v>
      </c>
      <c r="H96" s="366">
        <v>3960243</v>
      </c>
      <c r="I96" s="366">
        <v>333081501</v>
      </c>
      <c r="J96" s="366">
        <f>+J98</f>
        <v>102608499</v>
      </c>
      <c r="K96" s="366">
        <v>0</v>
      </c>
      <c r="L96" s="366">
        <v>329121258</v>
      </c>
      <c r="M96" s="366">
        <f>+M98</f>
        <v>3960243</v>
      </c>
      <c r="N96" s="366">
        <v>435690000</v>
      </c>
      <c r="O96" s="366">
        <f>+O98</f>
        <v>102608499</v>
      </c>
      <c r="P96" s="366">
        <f>+P98</f>
        <v>0</v>
      </c>
      <c r="Q96" s="366">
        <f>+Q98</f>
        <v>329121258</v>
      </c>
    </row>
    <row r="97" spans="1:17" s="100" customFormat="1" x14ac:dyDescent="0.25">
      <c r="A97" s="337"/>
      <c r="B97" s="338"/>
      <c r="C97" s="366"/>
      <c r="D97" s="366"/>
      <c r="E97" s="366"/>
      <c r="F97" s="366"/>
      <c r="G97" s="366"/>
      <c r="H97" s="366"/>
      <c r="I97" s="366"/>
      <c r="J97" s="366"/>
      <c r="K97" s="366"/>
      <c r="L97" s="366"/>
      <c r="M97" s="366"/>
      <c r="N97" s="366"/>
      <c r="O97" s="366"/>
      <c r="P97" s="366"/>
      <c r="Q97" s="366"/>
    </row>
    <row r="98" spans="1:17" x14ac:dyDescent="0.25">
      <c r="A98" s="343">
        <v>21211423</v>
      </c>
      <c r="B98" s="344" t="s">
        <v>37</v>
      </c>
      <c r="C98" s="369">
        <f>+C99</f>
        <v>0</v>
      </c>
      <c r="D98" s="369">
        <f t="shared" ref="D98:Q99" si="59">+D99</f>
        <v>410690000</v>
      </c>
      <c r="E98" s="369">
        <f t="shared" si="59"/>
        <v>0</v>
      </c>
      <c r="F98" s="369">
        <f t="shared" si="59"/>
        <v>25000000</v>
      </c>
      <c r="G98" s="369">
        <f t="shared" si="59"/>
        <v>435690000</v>
      </c>
      <c r="H98" s="369">
        <v>3960243</v>
      </c>
      <c r="I98" s="369">
        <v>333081501</v>
      </c>
      <c r="J98" s="369">
        <f t="shared" si="59"/>
        <v>102608499</v>
      </c>
      <c r="K98" s="369">
        <v>0</v>
      </c>
      <c r="L98" s="369">
        <v>329121258</v>
      </c>
      <c r="M98" s="369">
        <f t="shared" si="59"/>
        <v>3960243</v>
      </c>
      <c r="N98" s="369">
        <v>435690000</v>
      </c>
      <c r="O98" s="369">
        <f t="shared" si="59"/>
        <v>102608499</v>
      </c>
      <c r="P98" s="369">
        <f t="shared" si="59"/>
        <v>0</v>
      </c>
      <c r="Q98" s="369">
        <f t="shared" si="59"/>
        <v>329121258</v>
      </c>
    </row>
    <row r="99" spans="1:17" s="100" customFormat="1" x14ac:dyDescent="0.25">
      <c r="A99" s="339">
        <v>212114231</v>
      </c>
      <c r="B99" s="340" t="s">
        <v>38</v>
      </c>
      <c r="C99" s="367">
        <f>+C100</f>
        <v>0</v>
      </c>
      <c r="D99" s="367">
        <f t="shared" si="59"/>
        <v>410690000</v>
      </c>
      <c r="E99" s="367">
        <f t="shared" si="59"/>
        <v>0</v>
      </c>
      <c r="F99" s="367">
        <f t="shared" si="59"/>
        <v>25000000</v>
      </c>
      <c r="G99" s="367">
        <f t="shared" si="59"/>
        <v>435690000</v>
      </c>
      <c r="H99" s="367">
        <v>3960243</v>
      </c>
      <c r="I99" s="367">
        <v>333081501</v>
      </c>
      <c r="J99" s="367">
        <f t="shared" si="59"/>
        <v>102608499</v>
      </c>
      <c r="K99" s="367">
        <v>0</v>
      </c>
      <c r="L99" s="367">
        <v>329121258</v>
      </c>
      <c r="M99" s="367">
        <f t="shared" si="59"/>
        <v>3960243</v>
      </c>
      <c r="N99" s="367">
        <v>435690000</v>
      </c>
      <c r="O99" s="367">
        <f t="shared" si="59"/>
        <v>102608499</v>
      </c>
      <c r="P99" s="367">
        <f t="shared" si="59"/>
        <v>0</v>
      </c>
      <c r="Q99" s="367">
        <f t="shared" si="59"/>
        <v>329121258</v>
      </c>
    </row>
    <row r="100" spans="1:17" x14ac:dyDescent="0.25">
      <c r="A100" s="341">
        <v>2121142311</v>
      </c>
      <c r="B100" s="342" t="s">
        <v>549</v>
      </c>
      <c r="C100" s="368">
        <v>0</v>
      </c>
      <c r="D100" s="368">
        <v>410690000</v>
      </c>
      <c r="E100" s="368">
        <v>0</v>
      </c>
      <c r="F100" s="368">
        <v>25000000</v>
      </c>
      <c r="G100" s="368">
        <f t="shared" si="53"/>
        <v>435690000</v>
      </c>
      <c r="H100" s="368">
        <v>3960243</v>
      </c>
      <c r="I100" s="368">
        <v>333081501</v>
      </c>
      <c r="J100" s="368">
        <f t="shared" si="46"/>
        <v>102608499</v>
      </c>
      <c r="K100" s="368">
        <v>0</v>
      </c>
      <c r="L100" s="368">
        <v>329121258</v>
      </c>
      <c r="M100" s="368">
        <f t="shared" si="47"/>
        <v>3960243</v>
      </c>
      <c r="N100" s="368">
        <v>435690000</v>
      </c>
      <c r="O100" s="368">
        <f t="shared" si="48"/>
        <v>102608499</v>
      </c>
      <c r="P100" s="368">
        <f t="shared" si="49"/>
        <v>0</v>
      </c>
      <c r="Q100" s="368">
        <f t="shared" si="50"/>
        <v>329121258</v>
      </c>
    </row>
    <row r="101" spans="1:17" s="100" customFormat="1" ht="30" x14ac:dyDescent="0.25">
      <c r="A101" s="337">
        <v>2121143</v>
      </c>
      <c r="B101" s="338" t="s">
        <v>39</v>
      </c>
      <c r="C101" s="366">
        <f>+C102</f>
        <v>78190348</v>
      </c>
      <c r="D101" s="366">
        <f>+D102</f>
        <v>25000000</v>
      </c>
      <c r="E101" s="366">
        <f t="shared" ref="E101:Q101" si="60">+E102</f>
        <v>58190348</v>
      </c>
      <c r="F101" s="366">
        <f t="shared" si="60"/>
        <v>0</v>
      </c>
      <c r="G101" s="366">
        <f t="shared" si="60"/>
        <v>45000000</v>
      </c>
      <c r="H101" s="366">
        <v>0</v>
      </c>
      <c r="I101" s="366">
        <v>0</v>
      </c>
      <c r="J101" s="366">
        <f t="shared" si="60"/>
        <v>45000000</v>
      </c>
      <c r="K101" s="366">
        <v>0</v>
      </c>
      <c r="L101" s="366">
        <v>0</v>
      </c>
      <c r="M101" s="366">
        <f t="shared" si="60"/>
        <v>0</v>
      </c>
      <c r="N101" s="366">
        <v>0</v>
      </c>
      <c r="O101" s="366">
        <f t="shared" si="60"/>
        <v>0</v>
      </c>
      <c r="P101" s="366">
        <f t="shared" si="60"/>
        <v>45000000</v>
      </c>
      <c r="Q101" s="366">
        <f t="shared" si="60"/>
        <v>0</v>
      </c>
    </row>
    <row r="102" spans="1:17" s="100" customFormat="1" ht="30" x14ac:dyDescent="0.25">
      <c r="A102" s="337">
        <v>21211436</v>
      </c>
      <c r="B102" s="338" t="s">
        <v>40</v>
      </c>
      <c r="C102" s="366">
        <f>+C103</f>
        <v>78190348</v>
      </c>
      <c r="D102" s="366">
        <f t="shared" ref="D102:Q102" si="61">+D103</f>
        <v>25000000</v>
      </c>
      <c r="E102" s="366">
        <f t="shared" si="61"/>
        <v>58190348</v>
      </c>
      <c r="F102" s="366">
        <f t="shared" si="61"/>
        <v>0</v>
      </c>
      <c r="G102" s="366">
        <f t="shared" si="61"/>
        <v>45000000</v>
      </c>
      <c r="H102" s="366">
        <v>0</v>
      </c>
      <c r="I102" s="366">
        <v>0</v>
      </c>
      <c r="J102" s="366">
        <f t="shared" si="61"/>
        <v>45000000</v>
      </c>
      <c r="K102" s="366">
        <v>0</v>
      </c>
      <c r="L102" s="366">
        <v>0</v>
      </c>
      <c r="M102" s="366">
        <f t="shared" si="61"/>
        <v>0</v>
      </c>
      <c r="N102" s="366">
        <v>0</v>
      </c>
      <c r="O102" s="366">
        <f t="shared" si="61"/>
        <v>0</v>
      </c>
      <c r="P102" s="366">
        <f t="shared" si="61"/>
        <v>45000000</v>
      </c>
      <c r="Q102" s="366">
        <f t="shared" si="61"/>
        <v>0</v>
      </c>
    </row>
    <row r="103" spans="1:17" s="100" customFormat="1" x14ac:dyDescent="0.25">
      <c r="A103" s="339">
        <v>212114361</v>
      </c>
      <c r="B103" s="340" t="s">
        <v>41</v>
      </c>
      <c r="C103" s="367">
        <f>+C104+C105+C106</f>
        <v>78190348</v>
      </c>
      <c r="D103" s="367">
        <f>+D104+D105+D106</f>
        <v>25000000</v>
      </c>
      <c r="E103" s="367">
        <f t="shared" ref="E103:Q103" si="62">+E104+E105+E106</f>
        <v>58190348</v>
      </c>
      <c r="F103" s="367">
        <f t="shared" si="62"/>
        <v>0</v>
      </c>
      <c r="G103" s="367">
        <f t="shared" si="62"/>
        <v>45000000</v>
      </c>
      <c r="H103" s="367">
        <v>0</v>
      </c>
      <c r="I103" s="367">
        <v>0</v>
      </c>
      <c r="J103" s="367">
        <f t="shared" si="62"/>
        <v>45000000</v>
      </c>
      <c r="K103" s="367">
        <v>0</v>
      </c>
      <c r="L103" s="367">
        <v>0</v>
      </c>
      <c r="M103" s="367">
        <f t="shared" si="62"/>
        <v>0</v>
      </c>
      <c r="N103" s="367">
        <v>0</v>
      </c>
      <c r="O103" s="367">
        <f t="shared" si="62"/>
        <v>0</v>
      </c>
      <c r="P103" s="367">
        <f t="shared" si="62"/>
        <v>45000000</v>
      </c>
      <c r="Q103" s="367">
        <f t="shared" si="62"/>
        <v>0</v>
      </c>
    </row>
    <row r="104" spans="1:17" x14ac:dyDescent="0.25">
      <c r="A104" s="341">
        <v>2121143611</v>
      </c>
      <c r="B104" s="342" t="s">
        <v>550</v>
      </c>
      <c r="C104" s="368">
        <v>15000000</v>
      </c>
      <c r="D104" s="368">
        <v>10000000</v>
      </c>
      <c r="E104" s="368">
        <v>0</v>
      </c>
      <c r="F104" s="368">
        <v>0</v>
      </c>
      <c r="G104" s="368">
        <f t="shared" si="53"/>
        <v>25000000</v>
      </c>
      <c r="H104" s="368">
        <v>0</v>
      </c>
      <c r="I104" s="368">
        <v>0</v>
      </c>
      <c r="J104" s="368">
        <f t="shared" si="46"/>
        <v>25000000</v>
      </c>
      <c r="K104" s="368">
        <v>0</v>
      </c>
      <c r="L104" s="368">
        <v>0</v>
      </c>
      <c r="M104" s="368">
        <f t="shared" si="47"/>
        <v>0</v>
      </c>
      <c r="N104" s="368">
        <v>0</v>
      </c>
      <c r="O104" s="368">
        <f t="shared" si="48"/>
        <v>0</v>
      </c>
      <c r="P104" s="368">
        <f t="shared" si="49"/>
        <v>25000000</v>
      </c>
      <c r="Q104" s="368">
        <f t="shared" si="50"/>
        <v>0</v>
      </c>
    </row>
    <row r="105" spans="1:17" x14ac:dyDescent="0.25">
      <c r="A105" s="341">
        <v>2121143612</v>
      </c>
      <c r="B105" s="342" t="s">
        <v>551</v>
      </c>
      <c r="C105" s="368">
        <v>43190348</v>
      </c>
      <c r="D105" s="368">
        <v>15000000</v>
      </c>
      <c r="E105" s="368">
        <v>54250000</v>
      </c>
      <c r="F105" s="368">
        <v>0</v>
      </c>
      <c r="G105" s="368">
        <f t="shared" si="53"/>
        <v>3940348</v>
      </c>
      <c r="H105" s="368">
        <v>0</v>
      </c>
      <c r="I105" s="368">
        <v>0</v>
      </c>
      <c r="J105" s="368">
        <f t="shared" si="46"/>
        <v>3940348</v>
      </c>
      <c r="K105" s="368">
        <v>0</v>
      </c>
      <c r="L105" s="368">
        <v>0</v>
      </c>
      <c r="M105" s="368">
        <f t="shared" si="47"/>
        <v>0</v>
      </c>
      <c r="N105" s="368">
        <v>0</v>
      </c>
      <c r="O105" s="368">
        <f t="shared" si="48"/>
        <v>0</v>
      </c>
      <c r="P105" s="368">
        <f t="shared" si="49"/>
        <v>3940348</v>
      </c>
      <c r="Q105" s="368">
        <f t="shared" si="50"/>
        <v>0</v>
      </c>
    </row>
    <row r="106" spans="1:17" x14ac:dyDescent="0.25">
      <c r="A106" s="341">
        <v>2121143614</v>
      </c>
      <c r="B106" s="342" t="s">
        <v>552</v>
      </c>
      <c r="C106" s="368">
        <v>20000000</v>
      </c>
      <c r="D106" s="368">
        <v>0</v>
      </c>
      <c r="E106" s="368">
        <v>3940348</v>
      </c>
      <c r="F106" s="368">
        <v>0</v>
      </c>
      <c r="G106" s="368">
        <f t="shared" si="53"/>
        <v>16059652</v>
      </c>
      <c r="H106" s="368">
        <v>0</v>
      </c>
      <c r="I106" s="368">
        <v>0</v>
      </c>
      <c r="J106" s="368">
        <f t="shared" si="46"/>
        <v>16059652</v>
      </c>
      <c r="K106" s="368">
        <v>0</v>
      </c>
      <c r="L106" s="368">
        <v>0</v>
      </c>
      <c r="M106" s="368">
        <f t="shared" si="47"/>
        <v>0</v>
      </c>
      <c r="N106" s="368">
        <v>0</v>
      </c>
      <c r="O106" s="368">
        <f t="shared" si="48"/>
        <v>0</v>
      </c>
      <c r="P106" s="368">
        <f t="shared" si="49"/>
        <v>16059652</v>
      </c>
      <c r="Q106" s="368">
        <f t="shared" si="50"/>
        <v>0</v>
      </c>
    </row>
    <row r="107" spans="1:17" s="100" customFormat="1" x14ac:dyDescent="0.25">
      <c r="A107" s="339">
        <v>21213</v>
      </c>
      <c r="B107" s="340" t="s">
        <v>42</v>
      </c>
      <c r="C107" s="367">
        <f>+C108</f>
        <v>20000000</v>
      </c>
      <c r="D107" s="367">
        <f t="shared" ref="D107:Q107" si="63">+D108</f>
        <v>0</v>
      </c>
      <c r="E107" s="367">
        <f t="shared" si="63"/>
        <v>20000000</v>
      </c>
      <c r="F107" s="367">
        <f t="shared" si="63"/>
        <v>0</v>
      </c>
      <c r="G107" s="367">
        <f t="shared" si="63"/>
        <v>0</v>
      </c>
      <c r="H107" s="367">
        <v>0</v>
      </c>
      <c r="I107" s="367">
        <v>0</v>
      </c>
      <c r="J107" s="367">
        <f t="shared" si="63"/>
        <v>0</v>
      </c>
      <c r="K107" s="367">
        <v>0</v>
      </c>
      <c r="L107" s="367">
        <v>0</v>
      </c>
      <c r="M107" s="367">
        <f t="shared" si="63"/>
        <v>0</v>
      </c>
      <c r="N107" s="367">
        <v>0</v>
      </c>
      <c r="O107" s="367">
        <f t="shared" si="63"/>
        <v>0</v>
      </c>
      <c r="P107" s="367">
        <f t="shared" si="63"/>
        <v>0</v>
      </c>
      <c r="Q107" s="367">
        <f t="shared" si="63"/>
        <v>0</v>
      </c>
    </row>
    <row r="108" spans="1:17" x14ac:dyDescent="0.25">
      <c r="A108" s="341">
        <v>212131</v>
      </c>
      <c r="B108" s="342" t="s">
        <v>553</v>
      </c>
      <c r="C108" s="368">
        <v>20000000</v>
      </c>
      <c r="D108" s="368">
        <v>0</v>
      </c>
      <c r="E108" s="368">
        <v>20000000</v>
      </c>
      <c r="F108" s="368">
        <v>0</v>
      </c>
      <c r="G108" s="368">
        <f t="shared" si="53"/>
        <v>0</v>
      </c>
      <c r="H108" s="368">
        <v>0</v>
      </c>
      <c r="I108" s="368">
        <v>0</v>
      </c>
      <c r="J108" s="368">
        <f t="shared" si="46"/>
        <v>0</v>
      </c>
      <c r="K108" s="368">
        <v>0</v>
      </c>
      <c r="L108" s="368">
        <v>0</v>
      </c>
      <c r="M108" s="368">
        <f t="shared" si="47"/>
        <v>0</v>
      </c>
      <c r="N108" s="368">
        <v>0</v>
      </c>
      <c r="O108" s="368">
        <f t="shared" si="48"/>
        <v>0</v>
      </c>
      <c r="P108" s="368">
        <f t="shared" si="49"/>
        <v>0</v>
      </c>
      <c r="Q108" s="368">
        <f t="shared" si="50"/>
        <v>0</v>
      </c>
    </row>
    <row r="109" spans="1:17" s="100" customFormat="1" x14ac:dyDescent="0.25">
      <c r="A109" s="337">
        <v>2122</v>
      </c>
      <c r="B109" s="338" t="s">
        <v>43</v>
      </c>
      <c r="C109" s="366">
        <f>+C110+C163</f>
        <v>8203837425</v>
      </c>
      <c r="D109" s="366">
        <f t="shared" ref="D109:Q109" si="64">+D110+D163</f>
        <v>2315055576</v>
      </c>
      <c r="E109" s="366">
        <f t="shared" si="64"/>
        <v>1073512986</v>
      </c>
      <c r="F109" s="366">
        <f t="shared" si="64"/>
        <v>1405015764</v>
      </c>
      <c r="G109" s="366">
        <f t="shared" si="64"/>
        <v>10850395779</v>
      </c>
      <c r="H109" s="366">
        <v>378587839.70999998</v>
      </c>
      <c r="I109" s="366">
        <v>7690685987.2399998</v>
      </c>
      <c r="J109" s="366">
        <f t="shared" si="64"/>
        <v>3159709791.7600002</v>
      </c>
      <c r="K109" s="366">
        <v>525174114.5</v>
      </c>
      <c r="L109" s="366">
        <v>5492362037.8900003</v>
      </c>
      <c r="M109" s="366">
        <f t="shared" si="64"/>
        <v>2198323949.3499999</v>
      </c>
      <c r="N109" s="366">
        <v>9067864170.4200001</v>
      </c>
      <c r="O109" s="366">
        <f t="shared" si="64"/>
        <v>1377178183.1800001</v>
      </c>
      <c r="P109" s="366">
        <f t="shared" si="64"/>
        <v>1782531608.5799999</v>
      </c>
      <c r="Q109" s="366">
        <f t="shared" si="64"/>
        <v>5321319445.4899998</v>
      </c>
    </row>
    <row r="110" spans="1:17" s="100" customFormat="1" x14ac:dyDescent="0.25">
      <c r="A110" s="337">
        <v>21221</v>
      </c>
      <c r="B110" s="338" t="s">
        <v>44</v>
      </c>
      <c r="C110" s="366">
        <f>+C111+C127+C131+C138</f>
        <v>2086537425</v>
      </c>
      <c r="D110" s="366">
        <f>+D111+D127+D131+D138</f>
        <v>233551881</v>
      </c>
      <c r="E110" s="366">
        <f t="shared" ref="E110:Q110" si="65">+E111+E127+E131+E138</f>
        <v>279683585</v>
      </c>
      <c r="F110" s="366">
        <f t="shared" si="65"/>
        <v>150000000</v>
      </c>
      <c r="G110" s="366">
        <f t="shared" si="65"/>
        <v>2190405721</v>
      </c>
      <c r="H110" s="366">
        <v>96597691</v>
      </c>
      <c r="I110" s="366">
        <v>1020434370.8899999</v>
      </c>
      <c r="J110" s="366">
        <f t="shared" si="65"/>
        <v>1169971350.1100001</v>
      </c>
      <c r="K110" s="366">
        <v>48860875</v>
      </c>
      <c r="L110" s="366">
        <v>963629202.02999997</v>
      </c>
      <c r="M110" s="366">
        <f t="shared" si="65"/>
        <v>56805168.859999999</v>
      </c>
      <c r="N110" s="366">
        <v>1400158259.8900001</v>
      </c>
      <c r="O110" s="366">
        <f t="shared" si="65"/>
        <v>379723889</v>
      </c>
      <c r="P110" s="366">
        <f t="shared" si="65"/>
        <v>790247461.11000001</v>
      </c>
      <c r="Q110" s="366">
        <f t="shared" si="65"/>
        <v>891051634.02999997</v>
      </c>
    </row>
    <row r="111" spans="1:17" s="100" customFormat="1" x14ac:dyDescent="0.25">
      <c r="A111" s="337">
        <v>212210</v>
      </c>
      <c r="B111" s="338" t="s">
        <v>45</v>
      </c>
      <c r="C111" s="366">
        <f>+C112</f>
        <v>285400000</v>
      </c>
      <c r="D111" s="366">
        <f t="shared" ref="D111:Q111" si="66">+D112</f>
        <v>0</v>
      </c>
      <c r="E111" s="366">
        <f t="shared" si="66"/>
        <v>239625115</v>
      </c>
      <c r="F111" s="366">
        <f t="shared" si="66"/>
        <v>10000000</v>
      </c>
      <c r="G111" s="366">
        <f t="shared" si="66"/>
        <v>55774885</v>
      </c>
      <c r="H111" s="366">
        <v>0</v>
      </c>
      <c r="I111" s="366">
        <v>45774885</v>
      </c>
      <c r="J111" s="366">
        <f t="shared" si="66"/>
        <v>10000000</v>
      </c>
      <c r="K111" s="366">
        <v>0</v>
      </c>
      <c r="L111" s="366">
        <v>45774885</v>
      </c>
      <c r="M111" s="366">
        <f t="shared" si="66"/>
        <v>0</v>
      </c>
      <c r="N111" s="366">
        <v>55774885</v>
      </c>
      <c r="O111" s="366">
        <f t="shared" si="66"/>
        <v>10000000</v>
      </c>
      <c r="P111" s="366">
        <f t="shared" si="66"/>
        <v>0</v>
      </c>
      <c r="Q111" s="366">
        <f t="shared" si="66"/>
        <v>45774885</v>
      </c>
    </row>
    <row r="112" spans="1:17" s="100" customFormat="1" x14ac:dyDescent="0.25">
      <c r="A112" s="339">
        <v>2122101</v>
      </c>
      <c r="B112" s="340" t="s">
        <v>46</v>
      </c>
      <c r="C112" s="367">
        <f>SUM(C113:C118)</f>
        <v>285400000</v>
      </c>
      <c r="D112" s="367">
        <f t="shared" ref="D112:Q112" si="67">SUM(D113:D118)</f>
        <v>0</v>
      </c>
      <c r="E112" s="367">
        <f t="shared" si="67"/>
        <v>239625115</v>
      </c>
      <c r="F112" s="367">
        <f t="shared" si="67"/>
        <v>10000000</v>
      </c>
      <c r="G112" s="367">
        <f t="shared" si="67"/>
        <v>55774885</v>
      </c>
      <c r="H112" s="367">
        <v>0</v>
      </c>
      <c r="I112" s="367">
        <v>45774885</v>
      </c>
      <c r="J112" s="367">
        <f t="shared" si="67"/>
        <v>10000000</v>
      </c>
      <c r="K112" s="367">
        <v>0</v>
      </c>
      <c r="L112" s="367">
        <v>45774885</v>
      </c>
      <c r="M112" s="367">
        <f t="shared" si="67"/>
        <v>0</v>
      </c>
      <c r="N112" s="367">
        <v>55774885</v>
      </c>
      <c r="O112" s="367">
        <f t="shared" si="67"/>
        <v>10000000</v>
      </c>
      <c r="P112" s="367">
        <f t="shared" si="67"/>
        <v>0</v>
      </c>
      <c r="Q112" s="367">
        <f t="shared" si="67"/>
        <v>45774885</v>
      </c>
    </row>
    <row r="113" spans="1:17" x14ac:dyDescent="0.25">
      <c r="A113" s="341">
        <v>21221011</v>
      </c>
      <c r="B113" s="342" t="s">
        <v>554</v>
      </c>
      <c r="C113" s="368">
        <v>130000000</v>
      </c>
      <c r="D113" s="368">
        <v>0</v>
      </c>
      <c r="E113" s="368">
        <f>60000000+30002115</f>
        <v>90002115</v>
      </c>
      <c r="F113" s="368">
        <v>0</v>
      </c>
      <c r="G113" s="368">
        <f t="shared" si="53"/>
        <v>39997885</v>
      </c>
      <c r="H113" s="368">
        <v>0</v>
      </c>
      <c r="I113" s="368">
        <v>39997885</v>
      </c>
      <c r="J113" s="368">
        <f t="shared" si="46"/>
        <v>0</v>
      </c>
      <c r="K113" s="368">
        <v>0</v>
      </c>
      <c r="L113" s="368">
        <v>39997885</v>
      </c>
      <c r="M113" s="368">
        <f t="shared" si="47"/>
        <v>0</v>
      </c>
      <c r="N113" s="368">
        <v>39997885</v>
      </c>
      <c r="O113" s="368">
        <f t="shared" si="48"/>
        <v>0</v>
      </c>
      <c r="P113" s="368">
        <f t="shared" si="49"/>
        <v>0</v>
      </c>
      <c r="Q113" s="368">
        <f t="shared" si="50"/>
        <v>39997885</v>
      </c>
    </row>
    <row r="114" spans="1:17" x14ac:dyDescent="0.25">
      <c r="A114" s="341">
        <v>21221012</v>
      </c>
      <c r="B114" s="342" t="s">
        <v>555</v>
      </c>
      <c r="C114" s="368">
        <v>200000</v>
      </c>
      <c r="D114" s="368">
        <v>0</v>
      </c>
      <c r="E114" s="368">
        <v>200000</v>
      </c>
      <c r="F114" s="368">
        <v>0</v>
      </c>
      <c r="G114" s="368">
        <f t="shared" si="53"/>
        <v>0</v>
      </c>
      <c r="H114" s="368">
        <v>0</v>
      </c>
      <c r="I114" s="368">
        <v>0</v>
      </c>
      <c r="J114" s="368">
        <f t="shared" si="46"/>
        <v>0</v>
      </c>
      <c r="K114" s="368">
        <v>0</v>
      </c>
      <c r="L114" s="368">
        <v>0</v>
      </c>
      <c r="M114" s="368">
        <f t="shared" si="47"/>
        <v>0</v>
      </c>
      <c r="N114" s="368">
        <v>0</v>
      </c>
      <c r="O114" s="368">
        <f t="shared" si="48"/>
        <v>0</v>
      </c>
      <c r="P114" s="368">
        <f t="shared" si="49"/>
        <v>0</v>
      </c>
      <c r="Q114" s="368">
        <f t="shared" si="50"/>
        <v>0</v>
      </c>
    </row>
    <row r="115" spans="1:17" x14ac:dyDescent="0.25">
      <c r="A115" s="341">
        <v>21221013</v>
      </c>
      <c r="B115" s="342" t="s">
        <v>556</v>
      </c>
      <c r="C115" s="368">
        <v>200000</v>
      </c>
      <c r="D115" s="368">
        <v>0</v>
      </c>
      <c r="E115" s="368">
        <v>200000</v>
      </c>
      <c r="F115" s="368">
        <v>0</v>
      </c>
      <c r="G115" s="368">
        <f t="shared" si="53"/>
        <v>0</v>
      </c>
      <c r="H115" s="368">
        <v>0</v>
      </c>
      <c r="I115" s="368">
        <v>0</v>
      </c>
      <c r="J115" s="368">
        <f t="shared" si="46"/>
        <v>0</v>
      </c>
      <c r="K115" s="368">
        <v>0</v>
      </c>
      <c r="L115" s="368">
        <v>0</v>
      </c>
      <c r="M115" s="368">
        <f t="shared" si="47"/>
        <v>0</v>
      </c>
      <c r="N115" s="368">
        <v>0</v>
      </c>
      <c r="O115" s="368">
        <f t="shared" si="48"/>
        <v>0</v>
      </c>
      <c r="P115" s="368">
        <f t="shared" si="49"/>
        <v>0</v>
      </c>
      <c r="Q115" s="368">
        <f t="shared" si="50"/>
        <v>0</v>
      </c>
    </row>
    <row r="116" spans="1:17" x14ac:dyDescent="0.25">
      <c r="A116" s="341">
        <v>21221014</v>
      </c>
      <c r="B116" s="342" t="s">
        <v>50</v>
      </c>
      <c r="C116" s="368">
        <v>7000000</v>
      </c>
      <c r="D116" s="368">
        <v>0</v>
      </c>
      <c r="E116" s="368">
        <v>1223000</v>
      </c>
      <c r="F116" s="368">
        <v>0</v>
      </c>
      <c r="G116" s="368">
        <f t="shared" si="53"/>
        <v>5777000</v>
      </c>
      <c r="H116" s="368">
        <v>0</v>
      </c>
      <c r="I116" s="368">
        <v>5777000</v>
      </c>
      <c r="J116" s="368">
        <f t="shared" si="46"/>
        <v>0</v>
      </c>
      <c r="K116" s="368">
        <v>0</v>
      </c>
      <c r="L116" s="368">
        <v>5777000</v>
      </c>
      <c r="M116" s="368">
        <f t="shared" si="47"/>
        <v>0</v>
      </c>
      <c r="N116" s="368">
        <v>5777000</v>
      </c>
      <c r="O116" s="368">
        <f t="shared" si="48"/>
        <v>0</v>
      </c>
      <c r="P116" s="368">
        <f t="shared" si="49"/>
        <v>0</v>
      </c>
      <c r="Q116" s="368">
        <f t="shared" si="50"/>
        <v>5777000</v>
      </c>
    </row>
    <row r="117" spans="1:17" ht="30" x14ac:dyDescent="0.25">
      <c r="A117" s="341">
        <v>21221015</v>
      </c>
      <c r="B117" s="342" t="s">
        <v>637</v>
      </c>
      <c r="C117" s="368">
        <v>1200000</v>
      </c>
      <c r="D117" s="368">
        <v>0</v>
      </c>
      <c r="E117" s="368">
        <v>1200000</v>
      </c>
      <c r="F117" s="368">
        <v>10000000</v>
      </c>
      <c r="G117" s="368">
        <f t="shared" si="53"/>
        <v>10000000</v>
      </c>
      <c r="H117" s="368">
        <v>0</v>
      </c>
      <c r="I117" s="368">
        <v>0</v>
      </c>
      <c r="J117" s="368">
        <f t="shared" si="46"/>
        <v>10000000</v>
      </c>
      <c r="K117" s="368">
        <v>0</v>
      </c>
      <c r="L117" s="368">
        <v>0</v>
      </c>
      <c r="M117" s="368">
        <f t="shared" si="47"/>
        <v>0</v>
      </c>
      <c r="N117" s="368">
        <v>10000000</v>
      </c>
      <c r="O117" s="368">
        <f t="shared" si="48"/>
        <v>10000000</v>
      </c>
      <c r="P117" s="368">
        <f t="shared" si="49"/>
        <v>0</v>
      </c>
      <c r="Q117" s="368">
        <f t="shared" si="50"/>
        <v>0</v>
      </c>
    </row>
    <row r="118" spans="1:17" s="100" customFormat="1" ht="30" x14ac:dyDescent="0.25">
      <c r="A118" s="339">
        <v>21221016</v>
      </c>
      <c r="B118" s="340" t="s">
        <v>52</v>
      </c>
      <c r="C118" s="367">
        <f>SUM(C119:C126)</f>
        <v>146800000</v>
      </c>
      <c r="D118" s="367">
        <f t="shared" ref="D118:Q118" si="68">SUM(D119:D126)</f>
        <v>0</v>
      </c>
      <c r="E118" s="367">
        <f t="shared" si="68"/>
        <v>146800000</v>
      </c>
      <c r="F118" s="367">
        <f t="shared" si="68"/>
        <v>0</v>
      </c>
      <c r="G118" s="367">
        <f t="shared" si="68"/>
        <v>0</v>
      </c>
      <c r="H118" s="367">
        <v>0</v>
      </c>
      <c r="I118" s="367">
        <v>0</v>
      </c>
      <c r="J118" s="367">
        <f t="shared" si="68"/>
        <v>0</v>
      </c>
      <c r="K118" s="367">
        <v>0</v>
      </c>
      <c r="L118" s="367">
        <v>0</v>
      </c>
      <c r="M118" s="367">
        <f t="shared" si="68"/>
        <v>0</v>
      </c>
      <c r="N118" s="367">
        <v>0</v>
      </c>
      <c r="O118" s="367">
        <f t="shared" si="68"/>
        <v>0</v>
      </c>
      <c r="P118" s="367">
        <f t="shared" si="68"/>
        <v>0</v>
      </c>
      <c r="Q118" s="367">
        <f t="shared" si="68"/>
        <v>0</v>
      </c>
    </row>
    <row r="119" spans="1:17" x14ac:dyDescent="0.25">
      <c r="A119" s="341">
        <v>212210161</v>
      </c>
      <c r="B119" s="342" t="s">
        <v>557</v>
      </c>
      <c r="C119" s="368">
        <v>50000000</v>
      </c>
      <c r="D119" s="368">
        <v>0</v>
      </c>
      <c r="E119" s="368">
        <f>42000000+8000000</f>
        <v>50000000</v>
      </c>
      <c r="F119" s="368">
        <v>0</v>
      </c>
      <c r="G119" s="368">
        <f t="shared" si="53"/>
        <v>0</v>
      </c>
      <c r="H119" s="368">
        <v>0</v>
      </c>
      <c r="I119" s="368">
        <v>0</v>
      </c>
      <c r="J119" s="368">
        <f t="shared" si="46"/>
        <v>0</v>
      </c>
      <c r="K119" s="368">
        <v>0</v>
      </c>
      <c r="L119" s="368">
        <v>0</v>
      </c>
      <c r="M119" s="368">
        <f t="shared" si="47"/>
        <v>0</v>
      </c>
      <c r="N119" s="368">
        <v>0</v>
      </c>
      <c r="O119" s="368">
        <f t="shared" si="48"/>
        <v>0</v>
      </c>
      <c r="P119" s="368">
        <f t="shared" si="49"/>
        <v>0</v>
      </c>
      <c r="Q119" s="368">
        <f t="shared" si="50"/>
        <v>0</v>
      </c>
    </row>
    <row r="120" spans="1:17" x14ac:dyDescent="0.25">
      <c r="A120" s="341">
        <v>212210162</v>
      </c>
      <c r="B120" s="342" t="s">
        <v>558</v>
      </c>
      <c r="C120" s="368">
        <v>17000000</v>
      </c>
      <c r="D120" s="368">
        <v>0</v>
      </c>
      <c r="E120" s="368">
        <v>17000000</v>
      </c>
      <c r="F120" s="368">
        <v>0</v>
      </c>
      <c r="G120" s="368">
        <f t="shared" si="53"/>
        <v>0</v>
      </c>
      <c r="H120" s="368">
        <v>0</v>
      </c>
      <c r="I120" s="368">
        <v>0</v>
      </c>
      <c r="J120" s="368">
        <f t="shared" si="46"/>
        <v>0</v>
      </c>
      <c r="K120" s="368">
        <v>0</v>
      </c>
      <c r="L120" s="368">
        <v>0</v>
      </c>
      <c r="M120" s="368">
        <f t="shared" si="47"/>
        <v>0</v>
      </c>
      <c r="N120" s="368">
        <v>0</v>
      </c>
      <c r="O120" s="368">
        <f t="shared" si="48"/>
        <v>0</v>
      </c>
      <c r="P120" s="368">
        <f t="shared" si="49"/>
        <v>0</v>
      </c>
      <c r="Q120" s="368">
        <f t="shared" si="50"/>
        <v>0</v>
      </c>
    </row>
    <row r="121" spans="1:17" x14ac:dyDescent="0.25">
      <c r="A121" s="341">
        <v>212210163</v>
      </c>
      <c r="B121" s="342" t="s">
        <v>559</v>
      </c>
      <c r="C121" s="368">
        <v>1200000</v>
      </c>
      <c r="D121" s="368">
        <v>0</v>
      </c>
      <c r="E121" s="368">
        <v>1200000</v>
      </c>
      <c r="F121" s="368">
        <v>0</v>
      </c>
      <c r="G121" s="368">
        <f t="shared" si="53"/>
        <v>0</v>
      </c>
      <c r="H121" s="368">
        <v>0</v>
      </c>
      <c r="I121" s="368">
        <v>0</v>
      </c>
      <c r="J121" s="368">
        <f t="shared" si="46"/>
        <v>0</v>
      </c>
      <c r="K121" s="368">
        <v>0</v>
      </c>
      <c r="L121" s="368">
        <v>0</v>
      </c>
      <c r="M121" s="368">
        <f t="shared" si="47"/>
        <v>0</v>
      </c>
      <c r="N121" s="368">
        <v>0</v>
      </c>
      <c r="O121" s="368">
        <f t="shared" si="48"/>
        <v>0</v>
      </c>
      <c r="P121" s="368">
        <f t="shared" si="49"/>
        <v>0</v>
      </c>
      <c r="Q121" s="368">
        <f t="shared" si="50"/>
        <v>0</v>
      </c>
    </row>
    <row r="122" spans="1:17" x14ac:dyDescent="0.25">
      <c r="A122" s="341">
        <v>212210164</v>
      </c>
      <c r="B122" s="342" t="s">
        <v>560</v>
      </c>
      <c r="C122" s="368">
        <v>600000</v>
      </c>
      <c r="D122" s="368">
        <v>0</v>
      </c>
      <c r="E122" s="368">
        <v>600000</v>
      </c>
      <c r="F122" s="368">
        <v>0</v>
      </c>
      <c r="G122" s="368">
        <f t="shared" si="53"/>
        <v>0</v>
      </c>
      <c r="H122" s="368">
        <v>0</v>
      </c>
      <c r="I122" s="368">
        <v>0</v>
      </c>
      <c r="J122" s="368">
        <f t="shared" si="46"/>
        <v>0</v>
      </c>
      <c r="K122" s="368">
        <v>0</v>
      </c>
      <c r="L122" s="368">
        <v>0</v>
      </c>
      <c r="M122" s="368">
        <f t="shared" si="47"/>
        <v>0</v>
      </c>
      <c r="N122" s="368">
        <v>0</v>
      </c>
      <c r="O122" s="368">
        <f t="shared" si="48"/>
        <v>0</v>
      </c>
      <c r="P122" s="368">
        <f t="shared" si="49"/>
        <v>0</v>
      </c>
      <c r="Q122" s="368">
        <f t="shared" si="50"/>
        <v>0</v>
      </c>
    </row>
    <row r="123" spans="1:17" x14ac:dyDescent="0.25">
      <c r="A123" s="341">
        <v>212210165</v>
      </c>
      <c r="B123" s="342" t="s">
        <v>561</v>
      </c>
      <c r="C123" s="368">
        <v>12000000</v>
      </c>
      <c r="D123" s="368">
        <v>0</v>
      </c>
      <c r="E123" s="368">
        <v>12000000</v>
      </c>
      <c r="F123" s="368">
        <v>0</v>
      </c>
      <c r="G123" s="368">
        <f t="shared" si="53"/>
        <v>0</v>
      </c>
      <c r="H123" s="368">
        <v>0</v>
      </c>
      <c r="I123" s="368">
        <v>0</v>
      </c>
      <c r="J123" s="368">
        <f t="shared" si="46"/>
        <v>0</v>
      </c>
      <c r="K123" s="368">
        <v>0</v>
      </c>
      <c r="L123" s="368">
        <v>0</v>
      </c>
      <c r="M123" s="368">
        <f t="shared" si="47"/>
        <v>0</v>
      </c>
      <c r="N123" s="368">
        <v>0</v>
      </c>
      <c r="O123" s="368">
        <f t="shared" si="48"/>
        <v>0</v>
      </c>
      <c r="P123" s="368">
        <f t="shared" si="49"/>
        <v>0</v>
      </c>
      <c r="Q123" s="368">
        <f t="shared" si="50"/>
        <v>0</v>
      </c>
    </row>
    <row r="124" spans="1:17" x14ac:dyDescent="0.25">
      <c r="A124" s="341">
        <v>212210166</v>
      </c>
      <c r="B124" s="342" t="s">
        <v>562</v>
      </c>
      <c r="C124" s="368">
        <v>30000000</v>
      </c>
      <c r="D124" s="368">
        <v>0</v>
      </c>
      <c r="E124" s="368">
        <v>30000000</v>
      </c>
      <c r="F124" s="368">
        <v>0</v>
      </c>
      <c r="G124" s="368">
        <f t="shared" si="53"/>
        <v>0</v>
      </c>
      <c r="H124" s="368">
        <v>0</v>
      </c>
      <c r="I124" s="368">
        <v>0</v>
      </c>
      <c r="J124" s="368">
        <f t="shared" si="46"/>
        <v>0</v>
      </c>
      <c r="K124" s="368">
        <v>0</v>
      </c>
      <c r="L124" s="368">
        <v>0</v>
      </c>
      <c r="M124" s="368">
        <f t="shared" si="47"/>
        <v>0</v>
      </c>
      <c r="N124" s="368">
        <v>0</v>
      </c>
      <c r="O124" s="368">
        <f t="shared" si="48"/>
        <v>0</v>
      </c>
      <c r="P124" s="368">
        <f t="shared" si="49"/>
        <v>0</v>
      </c>
      <c r="Q124" s="368">
        <f t="shared" si="50"/>
        <v>0</v>
      </c>
    </row>
    <row r="125" spans="1:17" x14ac:dyDescent="0.25">
      <c r="A125" s="341">
        <v>212210168</v>
      </c>
      <c r="B125" s="342" t="s">
        <v>563</v>
      </c>
      <c r="C125" s="368">
        <v>8000000</v>
      </c>
      <c r="D125" s="368">
        <v>0</v>
      </c>
      <c r="E125" s="368">
        <v>8000000</v>
      </c>
      <c r="F125" s="368">
        <v>0</v>
      </c>
      <c r="G125" s="368">
        <f t="shared" si="53"/>
        <v>0</v>
      </c>
      <c r="H125" s="368">
        <v>0</v>
      </c>
      <c r="I125" s="368">
        <v>0</v>
      </c>
      <c r="J125" s="368">
        <f t="shared" si="46"/>
        <v>0</v>
      </c>
      <c r="K125" s="368">
        <v>0</v>
      </c>
      <c r="L125" s="368">
        <v>0</v>
      </c>
      <c r="M125" s="368">
        <f t="shared" si="47"/>
        <v>0</v>
      </c>
      <c r="N125" s="368">
        <v>0</v>
      </c>
      <c r="O125" s="368">
        <f t="shared" si="48"/>
        <v>0</v>
      </c>
      <c r="P125" s="368">
        <f t="shared" si="49"/>
        <v>0</v>
      </c>
      <c r="Q125" s="368">
        <f t="shared" si="50"/>
        <v>0</v>
      </c>
    </row>
    <row r="126" spans="1:17" x14ac:dyDescent="0.25">
      <c r="A126" s="341">
        <v>212210169</v>
      </c>
      <c r="B126" s="342" t="s">
        <v>564</v>
      </c>
      <c r="C126" s="368">
        <v>28000000</v>
      </c>
      <c r="D126" s="368">
        <v>0</v>
      </c>
      <c r="E126" s="368">
        <v>28000000</v>
      </c>
      <c r="F126" s="368">
        <v>0</v>
      </c>
      <c r="G126" s="368">
        <f t="shared" si="53"/>
        <v>0</v>
      </c>
      <c r="H126" s="368">
        <v>0</v>
      </c>
      <c r="I126" s="368">
        <v>0</v>
      </c>
      <c r="J126" s="368">
        <f t="shared" si="46"/>
        <v>0</v>
      </c>
      <c r="K126" s="368">
        <v>0</v>
      </c>
      <c r="L126" s="368">
        <v>0</v>
      </c>
      <c r="M126" s="368">
        <f t="shared" si="47"/>
        <v>0</v>
      </c>
      <c r="N126" s="368">
        <v>0</v>
      </c>
      <c r="O126" s="368">
        <f t="shared" si="48"/>
        <v>0</v>
      </c>
      <c r="P126" s="368">
        <f t="shared" si="49"/>
        <v>0</v>
      </c>
      <c r="Q126" s="368">
        <f t="shared" si="50"/>
        <v>0</v>
      </c>
    </row>
    <row r="127" spans="1:17" s="100" customFormat="1" x14ac:dyDescent="0.25">
      <c r="A127" s="337">
        <v>212211</v>
      </c>
      <c r="B127" s="338" t="s">
        <v>61</v>
      </c>
      <c r="C127" s="366">
        <f>+C128</f>
        <v>975426925</v>
      </c>
      <c r="D127" s="366">
        <f t="shared" ref="D127:Q127" si="69">+D128</f>
        <v>0</v>
      </c>
      <c r="E127" s="366">
        <f t="shared" si="69"/>
        <v>0</v>
      </c>
      <c r="F127" s="366">
        <f t="shared" si="69"/>
        <v>0</v>
      </c>
      <c r="G127" s="366">
        <f t="shared" si="69"/>
        <v>975426925</v>
      </c>
      <c r="H127" s="366">
        <v>65051225</v>
      </c>
      <c r="I127" s="366">
        <v>696867295</v>
      </c>
      <c r="J127" s="366">
        <f t="shared" si="69"/>
        <v>278559630</v>
      </c>
      <c r="K127" s="366">
        <v>46444796</v>
      </c>
      <c r="L127" s="366">
        <v>687764293</v>
      </c>
      <c r="M127" s="366">
        <f t="shared" si="69"/>
        <v>9103002</v>
      </c>
      <c r="N127" s="366">
        <v>713676967</v>
      </c>
      <c r="O127" s="366">
        <f t="shared" si="69"/>
        <v>16809672</v>
      </c>
      <c r="P127" s="366">
        <f t="shared" si="69"/>
        <v>261749958</v>
      </c>
      <c r="Q127" s="366">
        <f t="shared" si="69"/>
        <v>687764293</v>
      </c>
    </row>
    <row r="128" spans="1:17" s="100" customFormat="1" x14ac:dyDescent="0.25">
      <c r="A128" s="339">
        <v>2122112</v>
      </c>
      <c r="B128" s="340" t="s">
        <v>62</v>
      </c>
      <c r="C128" s="367">
        <f>+C129+C130</f>
        <v>975426925</v>
      </c>
      <c r="D128" s="367">
        <f t="shared" ref="D128:Q128" si="70">+D129+D130</f>
        <v>0</v>
      </c>
      <c r="E128" s="367">
        <f t="shared" si="70"/>
        <v>0</v>
      </c>
      <c r="F128" s="367">
        <f t="shared" si="70"/>
        <v>0</v>
      </c>
      <c r="G128" s="367">
        <f t="shared" si="70"/>
        <v>975426925</v>
      </c>
      <c r="H128" s="367">
        <v>65051225</v>
      </c>
      <c r="I128" s="367">
        <v>696867295</v>
      </c>
      <c r="J128" s="367">
        <f t="shared" si="70"/>
        <v>278559630</v>
      </c>
      <c r="K128" s="367">
        <v>46444796</v>
      </c>
      <c r="L128" s="367">
        <v>687764293</v>
      </c>
      <c r="M128" s="367">
        <f t="shared" si="70"/>
        <v>9103002</v>
      </c>
      <c r="N128" s="367">
        <v>713676967</v>
      </c>
      <c r="O128" s="367">
        <f t="shared" si="70"/>
        <v>16809672</v>
      </c>
      <c r="P128" s="367">
        <f t="shared" si="70"/>
        <v>261749958</v>
      </c>
      <c r="Q128" s="367">
        <f t="shared" si="70"/>
        <v>687764293</v>
      </c>
    </row>
    <row r="129" spans="1:17" x14ac:dyDescent="0.25">
      <c r="A129" s="341">
        <v>21221121</v>
      </c>
      <c r="B129" s="342" t="s">
        <v>565</v>
      </c>
      <c r="C129" s="368">
        <v>772497771</v>
      </c>
      <c r="D129" s="368">
        <v>0</v>
      </c>
      <c r="E129" s="368">
        <v>0</v>
      </c>
      <c r="F129" s="368">
        <v>0</v>
      </c>
      <c r="G129" s="368">
        <f t="shared" si="53"/>
        <v>772497771</v>
      </c>
      <c r="H129" s="368">
        <v>65051225</v>
      </c>
      <c r="I129" s="368">
        <v>563477225</v>
      </c>
      <c r="J129" s="368">
        <f t="shared" si="46"/>
        <v>209020546</v>
      </c>
      <c r="K129" s="368">
        <v>46444796</v>
      </c>
      <c r="L129" s="368">
        <v>567960413</v>
      </c>
      <c r="M129" s="368">
        <f t="shared" si="47"/>
        <v>-4483188</v>
      </c>
      <c r="N129" s="368">
        <v>580286897</v>
      </c>
      <c r="O129" s="368">
        <f t="shared" si="48"/>
        <v>16809672</v>
      </c>
      <c r="P129" s="368">
        <f t="shared" si="49"/>
        <v>192210874</v>
      </c>
      <c r="Q129" s="368">
        <f t="shared" si="50"/>
        <v>567960413</v>
      </c>
    </row>
    <row r="130" spans="1:17" x14ac:dyDescent="0.25">
      <c r="A130" s="341">
        <v>21221122</v>
      </c>
      <c r="B130" s="342" t="s">
        <v>566</v>
      </c>
      <c r="C130" s="368">
        <v>202929154</v>
      </c>
      <c r="D130" s="368">
        <v>0</v>
      </c>
      <c r="E130" s="368">
        <v>0</v>
      </c>
      <c r="F130" s="368">
        <v>0</v>
      </c>
      <c r="G130" s="368">
        <f t="shared" si="53"/>
        <v>202929154</v>
      </c>
      <c r="H130" s="368">
        <v>0</v>
      </c>
      <c r="I130" s="368">
        <v>133390070</v>
      </c>
      <c r="J130" s="368">
        <f t="shared" si="46"/>
        <v>69539084</v>
      </c>
      <c r="K130" s="368">
        <v>0</v>
      </c>
      <c r="L130" s="368">
        <v>119803880</v>
      </c>
      <c r="M130" s="368">
        <f t="shared" si="47"/>
        <v>13586190</v>
      </c>
      <c r="N130" s="368">
        <v>133390070</v>
      </c>
      <c r="O130" s="368">
        <f t="shared" si="48"/>
        <v>0</v>
      </c>
      <c r="P130" s="368">
        <f t="shared" si="49"/>
        <v>69539084</v>
      </c>
      <c r="Q130" s="368">
        <f t="shared" si="50"/>
        <v>119803880</v>
      </c>
    </row>
    <row r="131" spans="1:17" s="100" customFormat="1" ht="30" x14ac:dyDescent="0.25">
      <c r="A131" s="337">
        <v>212212</v>
      </c>
      <c r="B131" s="338" t="s">
        <v>63</v>
      </c>
      <c r="C131" s="366">
        <f>+C132+C136</f>
        <v>270310500</v>
      </c>
      <c r="D131" s="366">
        <f t="shared" ref="D131:Q131" si="71">+D132+D136</f>
        <v>3000000</v>
      </c>
      <c r="E131" s="366">
        <f t="shared" si="71"/>
        <v>0</v>
      </c>
      <c r="F131" s="366">
        <f t="shared" si="71"/>
        <v>0</v>
      </c>
      <c r="G131" s="366">
        <f t="shared" si="71"/>
        <v>273310500</v>
      </c>
      <c r="H131" s="366">
        <v>0</v>
      </c>
      <c r="I131" s="366">
        <v>2978100</v>
      </c>
      <c r="J131" s="366">
        <f t="shared" si="71"/>
        <v>270332400</v>
      </c>
      <c r="K131" s="366">
        <v>0</v>
      </c>
      <c r="L131" s="366">
        <v>2978100</v>
      </c>
      <c r="M131" s="366">
        <f t="shared" si="71"/>
        <v>0</v>
      </c>
      <c r="N131" s="366">
        <v>262388600</v>
      </c>
      <c r="O131" s="366">
        <f t="shared" si="71"/>
        <v>259410500</v>
      </c>
      <c r="P131" s="366">
        <f t="shared" si="71"/>
        <v>10921900</v>
      </c>
      <c r="Q131" s="366">
        <f t="shared" si="71"/>
        <v>2978100</v>
      </c>
    </row>
    <row r="132" spans="1:17" s="100" customFormat="1" ht="30" x14ac:dyDescent="0.25">
      <c r="A132" s="339">
        <v>2122122</v>
      </c>
      <c r="B132" s="340" t="s">
        <v>64</v>
      </c>
      <c r="C132" s="367">
        <f>+C133+C134+C135</f>
        <v>10900000</v>
      </c>
      <c r="D132" s="367">
        <f t="shared" ref="D132:Q132" si="72">+D133+D134+D135</f>
        <v>3000000</v>
      </c>
      <c r="E132" s="367">
        <f t="shared" si="72"/>
        <v>0</v>
      </c>
      <c r="F132" s="367">
        <f t="shared" si="72"/>
        <v>0</v>
      </c>
      <c r="G132" s="367">
        <f t="shared" si="72"/>
        <v>13900000</v>
      </c>
      <c r="H132" s="367">
        <v>0</v>
      </c>
      <c r="I132" s="367">
        <v>2978100</v>
      </c>
      <c r="J132" s="367">
        <f t="shared" si="72"/>
        <v>10921900</v>
      </c>
      <c r="K132" s="367">
        <v>0</v>
      </c>
      <c r="L132" s="367">
        <v>2978100</v>
      </c>
      <c r="M132" s="367">
        <f t="shared" si="72"/>
        <v>0</v>
      </c>
      <c r="N132" s="367">
        <v>2978100</v>
      </c>
      <c r="O132" s="367">
        <f t="shared" si="72"/>
        <v>0</v>
      </c>
      <c r="P132" s="367">
        <f t="shared" si="72"/>
        <v>10921900</v>
      </c>
      <c r="Q132" s="367">
        <f t="shared" si="72"/>
        <v>2978100</v>
      </c>
    </row>
    <row r="133" spans="1:17" x14ac:dyDescent="0.25">
      <c r="A133" s="341">
        <v>21221225</v>
      </c>
      <c r="B133" s="342" t="s">
        <v>567</v>
      </c>
      <c r="C133" s="368">
        <v>5000000</v>
      </c>
      <c r="D133" s="368">
        <v>3000000</v>
      </c>
      <c r="E133" s="368">
        <v>0</v>
      </c>
      <c r="F133" s="368">
        <v>0</v>
      </c>
      <c r="G133" s="368">
        <f t="shared" si="53"/>
        <v>8000000</v>
      </c>
      <c r="H133" s="368">
        <v>0</v>
      </c>
      <c r="I133" s="368">
        <v>592250</v>
      </c>
      <c r="J133" s="368">
        <f t="shared" si="46"/>
        <v>7407750</v>
      </c>
      <c r="K133" s="368">
        <v>0</v>
      </c>
      <c r="L133" s="368">
        <v>592250</v>
      </c>
      <c r="M133" s="368">
        <f t="shared" si="47"/>
        <v>0</v>
      </c>
      <c r="N133" s="368">
        <v>592250</v>
      </c>
      <c r="O133" s="368">
        <f t="shared" si="48"/>
        <v>0</v>
      </c>
      <c r="P133" s="368">
        <f t="shared" si="49"/>
        <v>7407750</v>
      </c>
      <c r="Q133" s="368">
        <f t="shared" si="50"/>
        <v>592250</v>
      </c>
    </row>
    <row r="134" spans="1:17" x14ac:dyDescent="0.25">
      <c r="A134" s="341">
        <v>21221228</v>
      </c>
      <c r="B134" s="342" t="s">
        <v>568</v>
      </c>
      <c r="C134" s="368">
        <v>5000000</v>
      </c>
      <c r="D134" s="368">
        <v>0</v>
      </c>
      <c r="E134" s="368">
        <v>0</v>
      </c>
      <c r="F134" s="368">
        <v>0</v>
      </c>
      <c r="G134" s="368">
        <f t="shared" si="53"/>
        <v>5000000</v>
      </c>
      <c r="H134" s="368">
        <v>0</v>
      </c>
      <c r="I134" s="368">
        <v>1520700</v>
      </c>
      <c r="J134" s="368">
        <f t="shared" si="46"/>
        <v>3479300</v>
      </c>
      <c r="K134" s="368">
        <v>0</v>
      </c>
      <c r="L134" s="368">
        <v>1520700</v>
      </c>
      <c r="M134" s="368">
        <f t="shared" si="47"/>
        <v>0</v>
      </c>
      <c r="N134" s="368">
        <v>1520700</v>
      </c>
      <c r="O134" s="368">
        <f t="shared" si="48"/>
        <v>0</v>
      </c>
      <c r="P134" s="368">
        <f t="shared" si="49"/>
        <v>3479300</v>
      </c>
      <c r="Q134" s="368">
        <f t="shared" si="50"/>
        <v>1520700</v>
      </c>
    </row>
    <row r="135" spans="1:17" x14ac:dyDescent="0.25">
      <c r="A135" s="341">
        <v>21221229</v>
      </c>
      <c r="B135" s="342" t="s">
        <v>569</v>
      </c>
      <c r="C135" s="368">
        <v>900000</v>
      </c>
      <c r="D135" s="368">
        <v>0</v>
      </c>
      <c r="E135" s="368">
        <v>0</v>
      </c>
      <c r="F135" s="368">
        <v>0</v>
      </c>
      <c r="G135" s="368">
        <f t="shared" si="53"/>
        <v>900000</v>
      </c>
      <c r="H135" s="368">
        <v>0</v>
      </c>
      <c r="I135" s="368">
        <v>865150</v>
      </c>
      <c r="J135" s="368">
        <f t="shared" si="46"/>
        <v>34850</v>
      </c>
      <c r="K135" s="368">
        <v>0</v>
      </c>
      <c r="L135" s="368">
        <v>865150</v>
      </c>
      <c r="M135" s="368">
        <f t="shared" si="47"/>
        <v>0</v>
      </c>
      <c r="N135" s="368">
        <v>865150</v>
      </c>
      <c r="O135" s="368">
        <f t="shared" si="48"/>
        <v>0</v>
      </c>
      <c r="P135" s="368">
        <f t="shared" si="49"/>
        <v>34850</v>
      </c>
      <c r="Q135" s="368">
        <f t="shared" si="50"/>
        <v>865150</v>
      </c>
    </row>
    <row r="136" spans="1:17" s="100" customFormat="1" x14ac:dyDescent="0.25">
      <c r="A136" s="339">
        <v>2122123</v>
      </c>
      <c r="B136" s="340" t="s">
        <v>65</v>
      </c>
      <c r="C136" s="367">
        <f>+C137</f>
        <v>259410500</v>
      </c>
      <c r="D136" s="367">
        <f t="shared" ref="D136:Q136" si="73">+D137</f>
        <v>0</v>
      </c>
      <c r="E136" s="367">
        <f t="shared" si="73"/>
        <v>0</v>
      </c>
      <c r="F136" s="367">
        <f t="shared" si="73"/>
        <v>0</v>
      </c>
      <c r="G136" s="367">
        <f t="shared" si="73"/>
        <v>259410500</v>
      </c>
      <c r="H136" s="367">
        <v>0</v>
      </c>
      <c r="I136" s="367">
        <v>0</v>
      </c>
      <c r="J136" s="367">
        <f t="shared" si="46"/>
        <v>259410500</v>
      </c>
      <c r="K136" s="367">
        <v>0</v>
      </c>
      <c r="L136" s="367">
        <v>0</v>
      </c>
      <c r="M136" s="367">
        <f t="shared" si="47"/>
        <v>0</v>
      </c>
      <c r="N136" s="367">
        <v>259410500</v>
      </c>
      <c r="O136" s="367">
        <f t="shared" si="48"/>
        <v>259410500</v>
      </c>
      <c r="P136" s="367">
        <f t="shared" si="49"/>
        <v>0</v>
      </c>
      <c r="Q136" s="367">
        <f t="shared" si="73"/>
        <v>0</v>
      </c>
    </row>
    <row r="137" spans="1:17" x14ac:dyDescent="0.25">
      <c r="A137" s="341">
        <v>21221238</v>
      </c>
      <c r="B137" s="342" t="s">
        <v>570</v>
      </c>
      <c r="C137" s="368">
        <v>259410500</v>
      </c>
      <c r="D137" s="368">
        <v>0</v>
      </c>
      <c r="E137" s="368">
        <v>0</v>
      </c>
      <c r="F137" s="368">
        <v>0</v>
      </c>
      <c r="G137" s="368">
        <f t="shared" si="53"/>
        <v>259410500</v>
      </c>
      <c r="H137" s="368">
        <v>0</v>
      </c>
      <c r="I137" s="368">
        <v>0</v>
      </c>
      <c r="J137" s="368">
        <f t="shared" ref="J137:J200" si="74">+G137-I137</f>
        <v>259410500</v>
      </c>
      <c r="K137" s="368">
        <v>0</v>
      </c>
      <c r="L137" s="368">
        <v>0</v>
      </c>
      <c r="M137" s="368">
        <f t="shared" ref="M137:M200" si="75">+I137-L137</f>
        <v>0</v>
      </c>
      <c r="N137" s="368">
        <v>259410500</v>
      </c>
      <c r="O137" s="368">
        <f t="shared" ref="O137:O200" si="76">+N137-I137</f>
        <v>259410500</v>
      </c>
      <c r="P137" s="368">
        <f t="shared" ref="P137:P200" si="77">+G137-N137</f>
        <v>0</v>
      </c>
      <c r="Q137" s="368">
        <f t="shared" ref="Q137:Q213" si="78">+L137</f>
        <v>0</v>
      </c>
    </row>
    <row r="138" spans="1:17" s="100" customFormat="1" ht="30" x14ac:dyDescent="0.25">
      <c r="A138" s="337">
        <v>212213</v>
      </c>
      <c r="B138" s="338" t="s">
        <v>66</v>
      </c>
      <c r="C138" s="366">
        <f>+C139+C147+C149</f>
        <v>555400000</v>
      </c>
      <c r="D138" s="366">
        <f>+D139+D147+D149</f>
        <v>230551881</v>
      </c>
      <c r="E138" s="366">
        <f t="shared" ref="E138:Q138" si="79">+E139+E147+E149</f>
        <v>40058470</v>
      </c>
      <c r="F138" s="366">
        <f t="shared" si="79"/>
        <v>140000000</v>
      </c>
      <c r="G138" s="366">
        <f t="shared" si="79"/>
        <v>885893411</v>
      </c>
      <c r="H138" s="366">
        <v>31546466</v>
      </c>
      <c r="I138" s="366">
        <v>274814090.88999999</v>
      </c>
      <c r="J138" s="366">
        <f t="shared" si="79"/>
        <v>611079320.11000001</v>
      </c>
      <c r="K138" s="366">
        <v>2416079</v>
      </c>
      <c r="L138" s="366">
        <v>227111924.03</v>
      </c>
      <c r="M138" s="366">
        <f t="shared" si="79"/>
        <v>47702166.859999999</v>
      </c>
      <c r="N138" s="366">
        <v>368317807.88999999</v>
      </c>
      <c r="O138" s="366">
        <f t="shared" si="79"/>
        <v>93503717</v>
      </c>
      <c r="P138" s="366">
        <f t="shared" si="79"/>
        <v>517575603.11000001</v>
      </c>
      <c r="Q138" s="366">
        <f t="shared" si="79"/>
        <v>154534356.03</v>
      </c>
    </row>
    <row r="139" spans="1:17" s="100" customFormat="1" ht="30" x14ac:dyDescent="0.25">
      <c r="A139" s="339">
        <v>2122132</v>
      </c>
      <c r="B139" s="340" t="s">
        <v>67</v>
      </c>
      <c r="C139" s="367">
        <f>SUM(C140:C146)</f>
        <v>172500000</v>
      </c>
      <c r="D139" s="367">
        <f t="shared" ref="D139:Q139" si="80">SUM(D140:D146)</f>
        <v>0</v>
      </c>
      <c r="E139" s="367">
        <f t="shared" si="80"/>
        <v>35942000</v>
      </c>
      <c r="F139" s="367">
        <f t="shared" si="80"/>
        <v>0</v>
      </c>
      <c r="G139" s="367">
        <f t="shared" si="80"/>
        <v>136558000</v>
      </c>
      <c r="H139" s="367">
        <v>0</v>
      </c>
      <c r="I139" s="367">
        <v>79002711</v>
      </c>
      <c r="J139" s="367">
        <f t="shared" si="80"/>
        <v>57555289</v>
      </c>
      <c r="K139" s="367">
        <v>86500</v>
      </c>
      <c r="L139" s="367">
        <v>78724211</v>
      </c>
      <c r="M139" s="367">
        <f t="shared" si="80"/>
        <v>278500</v>
      </c>
      <c r="N139" s="367">
        <v>89016811</v>
      </c>
      <c r="O139" s="367">
        <f t="shared" si="80"/>
        <v>10014100</v>
      </c>
      <c r="P139" s="367">
        <f t="shared" si="80"/>
        <v>47541189</v>
      </c>
      <c r="Q139" s="367">
        <f t="shared" si="80"/>
        <v>78724211</v>
      </c>
    </row>
    <row r="140" spans="1:17" x14ac:dyDescent="0.25">
      <c r="A140" s="341">
        <v>21221321</v>
      </c>
      <c r="B140" s="342" t="s">
        <v>571</v>
      </c>
      <c r="C140" s="368">
        <v>80000000</v>
      </c>
      <c r="D140" s="368">
        <v>0</v>
      </c>
      <c r="E140" s="368">
        <v>0</v>
      </c>
      <c r="F140" s="368">
        <v>0</v>
      </c>
      <c r="G140" s="368">
        <f t="shared" si="53"/>
        <v>80000000</v>
      </c>
      <c r="H140" s="368">
        <v>0</v>
      </c>
      <c r="I140" s="368">
        <v>37080030</v>
      </c>
      <c r="J140" s="368">
        <f t="shared" si="74"/>
        <v>42919970</v>
      </c>
      <c r="K140" s="368">
        <v>0</v>
      </c>
      <c r="L140" s="368">
        <v>36915030</v>
      </c>
      <c r="M140" s="368">
        <f t="shared" si="75"/>
        <v>165000</v>
      </c>
      <c r="N140" s="368">
        <v>47094130</v>
      </c>
      <c r="O140" s="368">
        <f t="shared" si="76"/>
        <v>10014100</v>
      </c>
      <c r="P140" s="368">
        <f t="shared" si="77"/>
        <v>32905870</v>
      </c>
      <c r="Q140" s="368">
        <f t="shared" si="78"/>
        <v>36915030</v>
      </c>
    </row>
    <row r="141" spans="1:17" x14ac:dyDescent="0.25">
      <c r="A141" s="341">
        <v>21221322</v>
      </c>
      <c r="B141" s="342" t="s">
        <v>572</v>
      </c>
      <c r="C141" s="368">
        <v>25000000</v>
      </c>
      <c r="D141" s="368">
        <v>0</v>
      </c>
      <c r="E141" s="368">
        <v>0</v>
      </c>
      <c r="F141" s="368">
        <v>0</v>
      </c>
      <c r="G141" s="368">
        <f t="shared" si="53"/>
        <v>25000000</v>
      </c>
      <c r="H141" s="368">
        <v>0</v>
      </c>
      <c r="I141" s="368">
        <v>25000000</v>
      </c>
      <c r="J141" s="368">
        <f t="shared" si="74"/>
        <v>0</v>
      </c>
      <c r="K141" s="368">
        <v>0</v>
      </c>
      <c r="L141" s="368">
        <v>25000000</v>
      </c>
      <c r="M141" s="368">
        <f t="shared" si="75"/>
        <v>0</v>
      </c>
      <c r="N141" s="368">
        <v>25000000</v>
      </c>
      <c r="O141" s="368">
        <f t="shared" si="76"/>
        <v>0</v>
      </c>
      <c r="P141" s="368">
        <f t="shared" si="77"/>
        <v>0</v>
      </c>
      <c r="Q141" s="368">
        <f t="shared" si="78"/>
        <v>25000000</v>
      </c>
    </row>
    <row r="142" spans="1:17" ht="30" x14ac:dyDescent="0.25">
      <c r="A142" s="341">
        <v>21221323</v>
      </c>
      <c r="B142" s="342" t="s">
        <v>573</v>
      </c>
      <c r="C142" s="368">
        <v>8000000</v>
      </c>
      <c r="D142" s="368">
        <v>0</v>
      </c>
      <c r="E142" s="368">
        <v>0</v>
      </c>
      <c r="F142" s="368">
        <v>0</v>
      </c>
      <c r="G142" s="368">
        <f t="shared" si="53"/>
        <v>8000000</v>
      </c>
      <c r="H142" s="368">
        <v>0</v>
      </c>
      <c r="I142" s="368">
        <v>8000000</v>
      </c>
      <c r="J142" s="368">
        <f t="shared" si="74"/>
        <v>0</v>
      </c>
      <c r="K142" s="368">
        <v>0</v>
      </c>
      <c r="L142" s="368">
        <v>8000000</v>
      </c>
      <c r="M142" s="368">
        <f t="shared" si="75"/>
        <v>0</v>
      </c>
      <c r="N142" s="368">
        <v>8000000</v>
      </c>
      <c r="O142" s="368">
        <f t="shared" si="76"/>
        <v>0</v>
      </c>
      <c r="P142" s="368">
        <f t="shared" si="77"/>
        <v>0</v>
      </c>
      <c r="Q142" s="368">
        <f t="shared" si="78"/>
        <v>8000000</v>
      </c>
    </row>
    <row r="143" spans="1:17" ht="30" x14ac:dyDescent="0.25">
      <c r="A143" s="341">
        <v>21221324</v>
      </c>
      <c r="B143" s="342" t="s">
        <v>574</v>
      </c>
      <c r="C143" s="368">
        <v>15000000</v>
      </c>
      <c r="D143" s="368">
        <v>0</v>
      </c>
      <c r="E143" s="368">
        <v>0</v>
      </c>
      <c r="F143" s="368">
        <v>0</v>
      </c>
      <c r="G143" s="368">
        <f t="shared" si="53"/>
        <v>15000000</v>
      </c>
      <c r="H143" s="368">
        <v>0</v>
      </c>
      <c r="I143" s="368">
        <v>2520100</v>
      </c>
      <c r="J143" s="368">
        <f t="shared" si="74"/>
        <v>12479900</v>
      </c>
      <c r="K143" s="368">
        <v>0</v>
      </c>
      <c r="L143" s="368">
        <v>2520100</v>
      </c>
      <c r="M143" s="368">
        <f t="shared" si="75"/>
        <v>0</v>
      </c>
      <c r="N143" s="368">
        <v>2520100</v>
      </c>
      <c r="O143" s="368">
        <f t="shared" si="76"/>
        <v>0</v>
      </c>
      <c r="P143" s="368">
        <f t="shared" si="77"/>
        <v>12479900</v>
      </c>
      <c r="Q143" s="368">
        <f t="shared" si="78"/>
        <v>2520100</v>
      </c>
    </row>
    <row r="144" spans="1:17" ht="30" x14ac:dyDescent="0.25">
      <c r="A144" s="341">
        <v>21221326</v>
      </c>
      <c r="B144" s="342" t="s">
        <v>575</v>
      </c>
      <c r="C144" s="368">
        <v>40000000</v>
      </c>
      <c r="D144" s="368">
        <v>0</v>
      </c>
      <c r="E144" s="368">
        <v>35942000</v>
      </c>
      <c r="F144" s="368">
        <v>0</v>
      </c>
      <c r="G144" s="368">
        <f t="shared" si="53"/>
        <v>4058000</v>
      </c>
      <c r="H144" s="368">
        <v>0</v>
      </c>
      <c r="I144" s="368">
        <v>4058000</v>
      </c>
      <c r="J144" s="368">
        <f t="shared" si="74"/>
        <v>0</v>
      </c>
      <c r="K144" s="368">
        <v>0</v>
      </c>
      <c r="L144" s="368">
        <v>3958000</v>
      </c>
      <c r="M144" s="368">
        <f t="shared" si="75"/>
        <v>100000</v>
      </c>
      <c r="N144" s="368">
        <v>4058000</v>
      </c>
      <c r="O144" s="368">
        <f t="shared" si="76"/>
        <v>0</v>
      </c>
      <c r="P144" s="368">
        <f t="shared" si="77"/>
        <v>0</v>
      </c>
      <c r="Q144" s="368">
        <f t="shared" si="78"/>
        <v>3958000</v>
      </c>
    </row>
    <row r="145" spans="1:17" ht="30" x14ac:dyDescent="0.25">
      <c r="A145" s="341">
        <v>21221327</v>
      </c>
      <c r="B145" s="342" t="s">
        <v>638</v>
      </c>
      <c r="C145" s="368">
        <v>3000000</v>
      </c>
      <c r="D145" s="368">
        <v>0</v>
      </c>
      <c r="E145" s="368">
        <v>0</v>
      </c>
      <c r="F145" s="368">
        <v>0</v>
      </c>
      <c r="G145" s="368">
        <f t="shared" ref="G145:G209" si="81">+C145+D145-E145+F145</f>
        <v>3000000</v>
      </c>
      <c r="H145" s="368">
        <v>0</v>
      </c>
      <c r="I145" s="368">
        <v>1944581</v>
      </c>
      <c r="J145" s="368">
        <f t="shared" si="74"/>
        <v>1055419</v>
      </c>
      <c r="K145" s="368">
        <v>86500</v>
      </c>
      <c r="L145" s="368">
        <v>1931081</v>
      </c>
      <c r="M145" s="368">
        <f t="shared" si="75"/>
        <v>13500</v>
      </c>
      <c r="N145" s="368">
        <v>1944581</v>
      </c>
      <c r="O145" s="368">
        <f t="shared" si="76"/>
        <v>0</v>
      </c>
      <c r="P145" s="368">
        <f t="shared" si="77"/>
        <v>1055419</v>
      </c>
      <c r="Q145" s="368">
        <f t="shared" si="78"/>
        <v>1931081</v>
      </c>
    </row>
    <row r="146" spans="1:17" ht="30" x14ac:dyDescent="0.25">
      <c r="A146" s="341">
        <v>21221328</v>
      </c>
      <c r="B146" s="342" t="s">
        <v>639</v>
      </c>
      <c r="C146" s="368">
        <v>1500000</v>
      </c>
      <c r="D146" s="368">
        <v>0</v>
      </c>
      <c r="E146" s="368">
        <v>0</v>
      </c>
      <c r="F146" s="368">
        <v>0</v>
      </c>
      <c r="G146" s="368">
        <f t="shared" si="81"/>
        <v>1500000</v>
      </c>
      <c r="H146" s="368">
        <v>0</v>
      </c>
      <c r="I146" s="368">
        <v>400000</v>
      </c>
      <c r="J146" s="368">
        <f t="shared" si="74"/>
        <v>1100000</v>
      </c>
      <c r="K146" s="368">
        <v>0</v>
      </c>
      <c r="L146" s="368">
        <v>400000</v>
      </c>
      <c r="M146" s="368">
        <f t="shared" si="75"/>
        <v>0</v>
      </c>
      <c r="N146" s="368">
        <v>400000</v>
      </c>
      <c r="O146" s="368">
        <f t="shared" si="76"/>
        <v>0</v>
      </c>
      <c r="P146" s="368">
        <f t="shared" si="77"/>
        <v>1100000</v>
      </c>
      <c r="Q146" s="368">
        <f t="shared" si="78"/>
        <v>400000</v>
      </c>
    </row>
    <row r="147" spans="1:17" s="100" customFormat="1" ht="30" x14ac:dyDescent="0.25">
      <c r="A147" s="339">
        <v>2122133</v>
      </c>
      <c r="B147" s="340" t="s">
        <v>68</v>
      </c>
      <c r="C147" s="367">
        <f>+C148</f>
        <v>16000000</v>
      </c>
      <c r="D147" s="367">
        <f t="shared" ref="D147:Q147" si="82">+D148</f>
        <v>47351881</v>
      </c>
      <c r="E147" s="367">
        <f t="shared" si="82"/>
        <v>0</v>
      </c>
      <c r="F147" s="367">
        <f t="shared" si="82"/>
        <v>0</v>
      </c>
      <c r="G147" s="367">
        <f t="shared" si="82"/>
        <v>63351881</v>
      </c>
      <c r="H147" s="367">
        <v>0</v>
      </c>
      <c r="I147" s="367">
        <v>24700000</v>
      </c>
      <c r="J147" s="367">
        <f t="shared" si="82"/>
        <v>38651881</v>
      </c>
      <c r="K147" s="367">
        <v>1842716</v>
      </c>
      <c r="L147" s="367">
        <v>21266281</v>
      </c>
      <c r="M147" s="367">
        <f t="shared" si="82"/>
        <v>3433719</v>
      </c>
      <c r="N147" s="367">
        <v>46051881</v>
      </c>
      <c r="O147" s="367">
        <f t="shared" si="82"/>
        <v>21351881</v>
      </c>
      <c r="P147" s="367">
        <f t="shared" si="82"/>
        <v>17300000</v>
      </c>
      <c r="Q147" s="367">
        <f t="shared" si="82"/>
        <v>21266281</v>
      </c>
    </row>
    <row r="148" spans="1:17" ht="30" x14ac:dyDescent="0.25">
      <c r="A148" s="341">
        <v>21221334</v>
      </c>
      <c r="B148" s="342" t="s">
        <v>576</v>
      </c>
      <c r="C148" s="368">
        <v>16000000</v>
      </c>
      <c r="D148" s="368">
        <f>35000000+12351881</f>
        <v>47351881</v>
      </c>
      <c r="E148" s="368">
        <v>0</v>
      </c>
      <c r="F148" s="368">
        <v>0</v>
      </c>
      <c r="G148" s="368">
        <f t="shared" si="81"/>
        <v>63351881</v>
      </c>
      <c r="H148" s="368">
        <v>0</v>
      </c>
      <c r="I148" s="368">
        <v>24700000</v>
      </c>
      <c r="J148" s="368">
        <f t="shared" si="74"/>
        <v>38651881</v>
      </c>
      <c r="K148" s="368">
        <v>1842716</v>
      </c>
      <c r="L148" s="368">
        <v>21266281</v>
      </c>
      <c r="M148" s="368">
        <f t="shared" si="75"/>
        <v>3433719</v>
      </c>
      <c r="N148" s="368">
        <v>46051881</v>
      </c>
      <c r="O148" s="368">
        <f t="shared" si="76"/>
        <v>21351881</v>
      </c>
      <c r="P148" s="368">
        <f t="shared" si="77"/>
        <v>17300000</v>
      </c>
      <c r="Q148" s="368">
        <f t="shared" si="78"/>
        <v>21266281</v>
      </c>
    </row>
    <row r="149" spans="1:17" s="100" customFormat="1" x14ac:dyDescent="0.25">
      <c r="A149" s="339">
        <v>2122134</v>
      </c>
      <c r="B149" s="340" t="s">
        <v>69</v>
      </c>
      <c r="C149" s="367">
        <f>SUM(C150:C154)</f>
        <v>366900000</v>
      </c>
      <c r="D149" s="367">
        <f>SUM(D150:D154)</f>
        <v>183200000</v>
      </c>
      <c r="E149" s="367">
        <f t="shared" ref="E149:Q149" si="83">SUM(E150:E154)</f>
        <v>4116470</v>
      </c>
      <c r="F149" s="367">
        <f t="shared" si="83"/>
        <v>140000000</v>
      </c>
      <c r="G149" s="367">
        <f t="shared" si="83"/>
        <v>685983530</v>
      </c>
      <c r="H149" s="367">
        <v>31546466</v>
      </c>
      <c r="I149" s="367">
        <v>171111379.89000002</v>
      </c>
      <c r="J149" s="367">
        <f t="shared" si="83"/>
        <v>514872150.11000001</v>
      </c>
      <c r="K149" s="367">
        <v>486863</v>
      </c>
      <c r="L149" s="367">
        <v>127121432.03</v>
      </c>
      <c r="M149" s="367">
        <f t="shared" si="83"/>
        <v>43989947.859999999</v>
      </c>
      <c r="N149" s="367">
        <v>233249115.89000002</v>
      </c>
      <c r="O149" s="367">
        <f t="shared" si="83"/>
        <v>62137736</v>
      </c>
      <c r="P149" s="367">
        <f t="shared" si="83"/>
        <v>452734414.11000001</v>
      </c>
      <c r="Q149" s="367">
        <f t="shared" si="83"/>
        <v>54543864.030000001</v>
      </c>
    </row>
    <row r="150" spans="1:17" x14ac:dyDescent="0.25">
      <c r="A150" s="341">
        <v>21221341</v>
      </c>
      <c r="B150" s="342" t="s">
        <v>577</v>
      </c>
      <c r="C150" s="368">
        <v>85000000</v>
      </c>
      <c r="D150" s="368">
        <v>0</v>
      </c>
      <c r="E150" s="368">
        <v>0</v>
      </c>
      <c r="F150" s="368">
        <v>70000000</v>
      </c>
      <c r="G150" s="368">
        <f t="shared" si="81"/>
        <v>155000000</v>
      </c>
      <c r="H150" s="368">
        <v>395828</v>
      </c>
      <c r="I150" s="368">
        <v>4493279.92</v>
      </c>
      <c r="J150" s="368">
        <f t="shared" si="74"/>
        <v>150506720.08000001</v>
      </c>
      <c r="K150" s="368">
        <v>486863</v>
      </c>
      <c r="L150" s="368">
        <v>4316279.92</v>
      </c>
      <c r="M150" s="368">
        <f t="shared" si="75"/>
        <v>177000</v>
      </c>
      <c r="N150" s="368">
        <v>4493279.92</v>
      </c>
      <c r="O150" s="368">
        <f t="shared" si="76"/>
        <v>0</v>
      </c>
      <c r="P150" s="368">
        <f t="shared" si="77"/>
        <v>150506720.08000001</v>
      </c>
      <c r="Q150" s="368">
        <f t="shared" si="78"/>
        <v>4316279.92</v>
      </c>
    </row>
    <row r="151" spans="1:17" x14ac:dyDescent="0.25">
      <c r="A151" s="341">
        <v>21221342</v>
      </c>
      <c r="B151" s="342" t="s">
        <v>578</v>
      </c>
      <c r="C151" s="368">
        <v>18000000</v>
      </c>
      <c r="D151" s="368">
        <v>4000000</v>
      </c>
      <c r="E151" s="368">
        <v>1516470</v>
      </c>
      <c r="F151" s="368">
        <v>0</v>
      </c>
      <c r="G151" s="368">
        <f t="shared" si="81"/>
        <v>20483530</v>
      </c>
      <c r="H151" s="368">
        <v>0</v>
      </c>
      <c r="I151" s="368">
        <v>3554169</v>
      </c>
      <c r="J151" s="368">
        <f t="shared" si="74"/>
        <v>16929361</v>
      </c>
      <c r="K151" s="368">
        <v>0</v>
      </c>
      <c r="L151" s="368">
        <v>3554169</v>
      </c>
      <c r="M151" s="368">
        <f t="shared" si="75"/>
        <v>0</v>
      </c>
      <c r="N151" s="368">
        <v>13609145</v>
      </c>
      <c r="O151" s="368">
        <f t="shared" si="76"/>
        <v>10054976</v>
      </c>
      <c r="P151" s="368">
        <f t="shared" si="77"/>
        <v>6874385</v>
      </c>
      <c r="Q151" s="368">
        <f t="shared" si="78"/>
        <v>3554169</v>
      </c>
    </row>
    <row r="152" spans="1:17" x14ac:dyDescent="0.25">
      <c r="A152" s="341">
        <v>21221345</v>
      </c>
      <c r="B152" s="342" t="s">
        <v>579</v>
      </c>
      <c r="C152" s="368">
        <v>7000000</v>
      </c>
      <c r="D152" s="368">
        <v>0</v>
      </c>
      <c r="E152" s="368">
        <v>0</v>
      </c>
      <c r="F152" s="368">
        <v>70000000</v>
      </c>
      <c r="G152" s="368">
        <f t="shared" si="81"/>
        <v>77000000</v>
      </c>
      <c r="H152" s="368">
        <v>0</v>
      </c>
      <c r="I152" s="368">
        <v>200000</v>
      </c>
      <c r="J152" s="368">
        <f t="shared" si="74"/>
        <v>76800000</v>
      </c>
      <c r="K152" s="368">
        <v>0</v>
      </c>
      <c r="L152" s="368">
        <v>200000</v>
      </c>
      <c r="M152" s="368">
        <f t="shared" si="75"/>
        <v>0</v>
      </c>
      <c r="N152" s="368">
        <v>200000</v>
      </c>
      <c r="O152" s="368">
        <f t="shared" si="76"/>
        <v>0</v>
      </c>
      <c r="P152" s="368">
        <f t="shared" si="77"/>
        <v>76800000</v>
      </c>
      <c r="Q152" s="368">
        <f t="shared" si="78"/>
        <v>200000</v>
      </c>
    </row>
    <row r="153" spans="1:17" x14ac:dyDescent="0.25">
      <c r="A153" s="341">
        <v>21221346</v>
      </c>
      <c r="B153" s="342" t="s">
        <v>810</v>
      </c>
      <c r="C153" s="368"/>
      <c r="D153" s="368">
        <f>61600000+50000000</f>
        <v>111600000</v>
      </c>
      <c r="E153" s="368">
        <v>0</v>
      </c>
      <c r="F153" s="368">
        <v>0</v>
      </c>
      <c r="G153" s="368">
        <f t="shared" si="81"/>
        <v>111600000</v>
      </c>
      <c r="H153" s="368">
        <v>30000000</v>
      </c>
      <c r="I153" s="368">
        <v>90000000</v>
      </c>
      <c r="J153" s="368">
        <f t="shared" si="74"/>
        <v>21600000</v>
      </c>
      <c r="K153" s="368">
        <v>0</v>
      </c>
      <c r="L153" s="368">
        <v>54818700</v>
      </c>
      <c r="M153" s="368">
        <f t="shared" si="75"/>
        <v>35181300</v>
      </c>
      <c r="N153" s="368">
        <v>111600000</v>
      </c>
      <c r="O153" s="368">
        <f t="shared" si="76"/>
        <v>21600000</v>
      </c>
      <c r="P153" s="368">
        <f t="shared" si="77"/>
        <v>0</v>
      </c>
      <c r="Q153" s="368"/>
    </row>
    <row r="154" spans="1:17" s="100" customFormat="1" ht="30" x14ac:dyDescent="0.25">
      <c r="A154" s="339">
        <v>21221349</v>
      </c>
      <c r="B154" s="340" t="s">
        <v>70</v>
      </c>
      <c r="C154" s="367">
        <f>+C155+C156+C157+C160</f>
        <v>256900000</v>
      </c>
      <c r="D154" s="367">
        <f>+D155+D156+D157+D160</f>
        <v>67600000</v>
      </c>
      <c r="E154" s="367">
        <f t="shared" ref="E154:Q154" si="84">+E155+E156+E157+E160</f>
        <v>2600000</v>
      </c>
      <c r="F154" s="367">
        <f t="shared" si="84"/>
        <v>0</v>
      </c>
      <c r="G154" s="367">
        <f t="shared" si="84"/>
        <v>321900000</v>
      </c>
      <c r="H154" s="367">
        <v>1150638</v>
      </c>
      <c r="I154" s="367">
        <v>72863930.969999999</v>
      </c>
      <c r="J154" s="367">
        <f t="shared" si="84"/>
        <v>249036069.03</v>
      </c>
      <c r="K154" s="367">
        <v>0</v>
      </c>
      <c r="L154" s="367">
        <v>64232283.109999999</v>
      </c>
      <c r="M154" s="367">
        <f t="shared" si="84"/>
        <v>8631647.8599999994</v>
      </c>
      <c r="N154" s="367">
        <v>103346690.97</v>
      </c>
      <c r="O154" s="367">
        <f t="shared" si="84"/>
        <v>30482760</v>
      </c>
      <c r="P154" s="367">
        <f t="shared" si="84"/>
        <v>218553309.03</v>
      </c>
      <c r="Q154" s="367">
        <f t="shared" si="84"/>
        <v>46473415.109999999</v>
      </c>
    </row>
    <row r="155" spans="1:17" ht="30" x14ac:dyDescent="0.25">
      <c r="A155" s="341">
        <v>212213491</v>
      </c>
      <c r="B155" s="342" t="s">
        <v>580</v>
      </c>
      <c r="C155" s="368">
        <v>6900000</v>
      </c>
      <c r="D155" s="368">
        <v>0</v>
      </c>
      <c r="E155" s="368">
        <v>0</v>
      </c>
      <c r="F155" s="368">
        <v>0</v>
      </c>
      <c r="G155" s="368">
        <f t="shared" si="81"/>
        <v>6900000</v>
      </c>
      <c r="H155" s="368">
        <v>0</v>
      </c>
      <c r="I155" s="368">
        <v>0</v>
      </c>
      <c r="J155" s="368">
        <f t="shared" si="74"/>
        <v>6900000</v>
      </c>
      <c r="K155" s="368">
        <v>0</v>
      </c>
      <c r="L155" s="368">
        <v>0</v>
      </c>
      <c r="M155" s="368">
        <f t="shared" si="75"/>
        <v>0</v>
      </c>
      <c r="N155" s="368">
        <v>0</v>
      </c>
      <c r="O155" s="368">
        <f t="shared" si="76"/>
        <v>0</v>
      </c>
      <c r="P155" s="368">
        <f t="shared" si="77"/>
        <v>6900000</v>
      </c>
      <c r="Q155" s="368">
        <f t="shared" si="78"/>
        <v>0</v>
      </c>
    </row>
    <row r="156" spans="1:17" x14ac:dyDescent="0.25">
      <c r="A156" s="341">
        <v>212213492</v>
      </c>
      <c r="B156" s="342" t="s">
        <v>581</v>
      </c>
      <c r="C156" s="368">
        <v>250000000</v>
      </c>
      <c r="D156" s="368">
        <v>2600000</v>
      </c>
      <c r="E156" s="368">
        <v>2600000</v>
      </c>
      <c r="F156" s="368">
        <v>0</v>
      </c>
      <c r="G156" s="368">
        <f t="shared" si="81"/>
        <v>250000000</v>
      </c>
      <c r="H156" s="368">
        <v>1150638</v>
      </c>
      <c r="I156" s="368">
        <v>41716757</v>
      </c>
      <c r="J156" s="368">
        <f t="shared" si="74"/>
        <v>208283243</v>
      </c>
      <c r="K156" s="368">
        <v>0</v>
      </c>
      <c r="L156" s="368">
        <v>39612375.140000001</v>
      </c>
      <c r="M156" s="368">
        <f t="shared" si="75"/>
        <v>2104381.8599999994</v>
      </c>
      <c r="N156" s="368">
        <v>61398985</v>
      </c>
      <c r="O156" s="368">
        <f t="shared" si="76"/>
        <v>19682228</v>
      </c>
      <c r="P156" s="368">
        <f t="shared" si="77"/>
        <v>188601015</v>
      </c>
      <c r="Q156" s="368">
        <f t="shared" si="78"/>
        <v>39612375.140000001</v>
      </c>
    </row>
    <row r="157" spans="1:17" s="100" customFormat="1" x14ac:dyDescent="0.25">
      <c r="A157" s="339">
        <v>212213496</v>
      </c>
      <c r="B157" s="340" t="s">
        <v>71</v>
      </c>
      <c r="C157" s="367">
        <f>+C158+C159</f>
        <v>0</v>
      </c>
      <c r="D157" s="367">
        <f>+D158+D159</f>
        <v>25000000</v>
      </c>
      <c r="E157" s="367">
        <f t="shared" ref="E157:Q157" si="85">+E158+E159</f>
        <v>0</v>
      </c>
      <c r="F157" s="367">
        <f t="shared" si="85"/>
        <v>0</v>
      </c>
      <c r="G157" s="367">
        <f t="shared" si="85"/>
        <v>25000000</v>
      </c>
      <c r="H157" s="367">
        <v>0</v>
      </c>
      <c r="I157" s="367">
        <v>13388305.970000001</v>
      </c>
      <c r="J157" s="367">
        <f t="shared" si="85"/>
        <v>11611694.029999999</v>
      </c>
      <c r="K157" s="367">
        <v>0</v>
      </c>
      <c r="L157" s="367">
        <v>6861039.9699999997</v>
      </c>
      <c r="M157" s="367">
        <f t="shared" si="85"/>
        <v>6527266.0000000009</v>
      </c>
      <c r="N157" s="367">
        <v>20946987.969999999</v>
      </c>
      <c r="O157" s="367">
        <f t="shared" si="85"/>
        <v>7558682</v>
      </c>
      <c r="P157" s="367">
        <f t="shared" si="85"/>
        <v>4053012.0299999993</v>
      </c>
      <c r="Q157" s="367">
        <f t="shared" si="85"/>
        <v>6861039.9699999997</v>
      </c>
    </row>
    <row r="158" spans="1:17" x14ac:dyDescent="0.25">
      <c r="A158" s="341">
        <v>2122134962</v>
      </c>
      <c r="B158" s="342" t="s">
        <v>582</v>
      </c>
      <c r="C158" s="368">
        <v>0</v>
      </c>
      <c r="D158" s="368">
        <v>10000000</v>
      </c>
      <c r="E158" s="368">
        <v>0</v>
      </c>
      <c r="F158" s="368">
        <v>0</v>
      </c>
      <c r="G158" s="368">
        <f t="shared" si="81"/>
        <v>10000000</v>
      </c>
      <c r="H158" s="368">
        <v>0</v>
      </c>
      <c r="I158" s="368">
        <v>1920250</v>
      </c>
      <c r="J158" s="368">
        <f t="shared" si="74"/>
        <v>8079750</v>
      </c>
      <c r="K158" s="368">
        <v>0</v>
      </c>
      <c r="L158" s="368">
        <v>1920250</v>
      </c>
      <c r="M158" s="368">
        <f t="shared" si="75"/>
        <v>0</v>
      </c>
      <c r="N158" s="368">
        <v>7587150</v>
      </c>
      <c r="O158" s="368">
        <f t="shared" si="76"/>
        <v>5666900</v>
      </c>
      <c r="P158" s="368">
        <f t="shared" si="77"/>
        <v>2412850</v>
      </c>
      <c r="Q158" s="368">
        <f t="shared" si="78"/>
        <v>1920250</v>
      </c>
    </row>
    <row r="159" spans="1:17" x14ac:dyDescent="0.25">
      <c r="A159" s="341">
        <v>2122134963</v>
      </c>
      <c r="B159" s="342" t="s">
        <v>583</v>
      </c>
      <c r="C159" s="368">
        <v>0</v>
      </c>
      <c r="D159" s="368">
        <v>15000000</v>
      </c>
      <c r="E159" s="368">
        <v>0</v>
      </c>
      <c r="F159" s="368">
        <v>0</v>
      </c>
      <c r="G159" s="368">
        <f t="shared" si="81"/>
        <v>15000000</v>
      </c>
      <c r="H159" s="368">
        <v>0</v>
      </c>
      <c r="I159" s="368">
        <v>11468055.970000001</v>
      </c>
      <c r="J159" s="368">
        <f t="shared" si="74"/>
        <v>3531944.0299999993</v>
      </c>
      <c r="K159" s="368">
        <v>0</v>
      </c>
      <c r="L159" s="368">
        <v>4940789.97</v>
      </c>
      <c r="M159" s="368">
        <f t="shared" si="75"/>
        <v>6527266.0000000009</v>
      </c>
      <c r="N159" s="368">
        <v>13359837.970000001</v>
      </c>
      <c r="O159" s="368">
        <f t="shared" si="76"/>
        <v>1891782</v>
      </c>
      <c r="P159" s="368">
        <f t="shared" si="77"/>
        <v>1640162.0299999993</v>
      </c>
      <c r="Q159" s="368">
        <f t="shared" si="78"/>
        <v>4940789.97</v>
      </c>
    </row>
    <row r="160" spans="1:17" s="100" customFormat="1" ht="30" x14ac:dyDescent="0.25">
      <c r="A160" s="339">
        <v>212213497</v>
      </c>
      <c r="B160" s="340" t="s">
        <v>813</v>
      </c>
      <c r="C160" s="367">
        <f>+C161+C162</f>
        <v>0</v>
      </c>
      <c r="D160" s="367">
        <f t="shared" ref="D160:Q160" si="86">+D161+D162</f>
        <v>40000000</v>
      </c>
      <c r="E160" s="367">
        <f t="shared" si="86"/>
        <v>0</v>
      </c>
      <c r="F160" s="367">
        <f t="shared" si="86"/>
        <v>0</v>
      </c>
      <c r="G160" s="367">
        <f t="shared" si="86"/>
        <v>40000000</v>
      </c>
      <c r="H160" s="367">
        <v>0</v>
      </c>
      <c r="I160" s="367">
        <v>17758868</v>
      </c>
      <c r="J160" s="367">
        <f t="shared" si="86"/>
        <v>22241132</v>
      </c>
      <c r="K160" s="367">
        <v>0</v>
      </c>
      <c r="L160" s="367">
        <v>17758868</v>
      </c>
      <c r="M160" s="367">
        <f t="shared" si="86"/>
        <v>0</v>
      </c>
      <c r="N160" s="367">
        <v>21000718</v>
      </c>
      <c r="O160" s="367">
        <f t="shared" si="86"/>
        <v>3241850</v>
      </c>
      <c r="P160" s="367">
        <f t="shared" si="86"/>
        <v>18999282</v>
      </c>
      <c r="Q160" s="367">
        <f t="shared" si="86"/>
        <v>0</v>
      </c>
    </row>
    <row r="161" spans="1:17" x14ac:dyDescent="0.25">
      <c r="A161" s="341">
        <v>2122134971</v>
      </c>
      <c r="B161" s="342" t="s">
        <v>814</v>
      </c>
      <c r="C161" s="368"/>
      <c r="D161" s="368">
        <v>15000000</v>
      </c>
      <c r="E161" s="368">
        <v>0</v>
      </c>
      <c r="F161" s="368">
        <v>0</v>
      </c>
      <c r="G161" s="368">
        <f t="shared" si="81"/>
        <v>15000000</v>
      </c>
      <c r="H161" s="368">
        <v>0</v>
      </c>
      <c r="I161" s="368">
        <v>11758150</v>
      </c>
      <c r="J161" s="368">
        <f t="shared" si="74"/>
        <v>3241850</v>
      </c>
      <c r="K161" s="368">
        <v>0</v>
      </c>
      <c r="L161" s="368">
        <v>11758150</v>
      </c>
      <c r="M161" s="368">
        <f t="shared" si="75"/>
        <v>0</v>
      </c>
      <c r="N161" s="368">
        <v>15000000</v>
      </c>
      <c r="O161" s="368">
        <f t="shared" si="76"/>
        <v>3241850</v>
      </c>
      <c r="P161" s="368">
        <f t="shared" si="77"/>
        <v>0</v>
      </c>
      <c r="Q161" s="368"/>
    </row>
    <row r="162" spans="1:17" x14ac:dyDescent="0.25">
      <c r="A162" s="341">
        <v>2122134974</v>
      </c>
      <c r="B162" s="342" t="s">
        <v>815</v>
      </c>
      <c r="C162" s="368"/>
      <c r="D162" s="368">
        <v>25000000</v>
      </c>
      <c r="E162" s="368">
        <v>0</v>
      </c>
      <c r="F162" s="368">
        <v>0</v>
      </c>
      <c r="G162" s="368">
        <f t="shared" si="81"/>
        <v>25000000</v>
      </c>
      <c r="H162" s="368">
        <v>0</v>
      </c>
      <c r="I162" s="368">
        <v>6000718</v>
      </c>
      <c r="J162" s="368">
        <f t="shared" si="74"/>
        <v>18999282</v>
      </c>
      <c r="K162" s="368">
        <v>0</v>
      </c>
      <c r="L162" s="368">
        <v>6000718</v>
      </c>
      <c r="M162" s="368">
        <f t="shared" si="75"/>
        <v>0</v>
      </c>
      <c r="N162" s="368">
        <v>6000718</v>
      </c>
      <c r="O162" s="368">
        <f t="shared" si="76"/>
        <v>0</v>
      </c>
      <c r="P162" s="368">
        <f t="shared" si="77"/>
        <v>18999282</v>
      </c>
      <c r="Q162" s="368"/>
    </row>
    <row r="163" spans="1:17" s="100" customFormat="1" x14ac:dyDescent="0.25">
      <c r="A163" s="337">
        <v>21222</v>
      </c>
      <c r="B163" s="338" t="s">
        <v>72</v>
      </c>
      <c r="C163" s="366">
        <f>+C164+C166+C169+C176+C192+C221</f>
        <v>6117300000</v>
      </c>
      <c r="D163" s="366">
        <f t="shared" ref="D163:Q163" si="87">+D164+D166+D169+D176+D192+D221</f>
        <v>2081503695</v>
      </c>
      <c r="E163" s="366">
        <f t="shared" si="87"/>
        <v>793829401</v>
      </c>
      <c r="F163" s="366">
        <f t="shared" si="87"/>
        <v>1255015764</v>
      </c>
      <c r="G163" s="366">
        <f t="shared" si="87"/>
        <v>8659990058</v>
      </c>
      <c r="H163" s="366">
        <v>274208838.71000004</v>
      </c>
      <c r="I163" s="366">
        <v>6537959204.3499994</v>
      </c>
      <c r="J163" s="366">
        <f t="shared" si="87"/>
        <v>1989738441.6500001</v>
      </c>
      <c r="K163" s="366">
        <v>469431683.5</v>
      </c>
      <c r="L163" s="366">
        <v>4390719111.8599997</v>
      </c>
      <c r="M163" s="366">
        <f t="shared" si="87"/>
        <v>2141518780.49</v>
      </c>
      <c r="N163" s="366">
        <v>7467053364.5299997</v>
      </c>
      <c r="O163" s="366">
        <f t="shared" si="87"/>
        <v>997454294.18000007</v>
      </c>
      <c r="P163" s="366">
        <f t="shared" si="87"/>
        <v>992284147.47000003</v>
      </c>
      <c r="Q163" s="366">
        <f t="shared" si="87"/>
        <v>4430267811.46</v>
      </c>
    </row>
    <row r="164" spans="1:17" s="100" customFormat="1" x14ac:dyDescent="0.25">
      <c r="A164" s="339">
        <v>212221</v>
      </c>
      <c r="B164" s="340" t="s">
        <v>20</v>
      </c>
      <c r="C164" s="367">
        <f>+C165</f>
        <v>350000000</v>
      </c>
      <c r="D164" s="367">
        <f t="shared" ref="D164:Q164" si="88">+D165</f>
        <v>0</v>
      </c>
      <c r="E164" s="367">
        <f t="shared" si="88"/>
        <v>0</v>
      </c>
      <c r="F164" s="367">
        <f t="shared" si="88"/>
        <v>0</v>
      </c>
      <c r="G164" s="367">
        <f t="shared" si="88"/>
        <v>350000000</v>
      </c>
      <c r="H164" s="367">
        <v>7781310</v>
      </c>
      <c r="I164" s="367">
        <v>132292412</v>
      </c>
      <c r="J164" s="367">
        <f t="shared" si="88"/>
        <v>217707588</v>
      </c>
      <c r="K164" s="367">
        <v>6881556</v>
      </c>
      <c r="L164" s="367">
        <v>138013724</v>
      </c>
      <c r="M164" s="367">
        <f t="shared" si="88"/>
        <v>-5721312</v>
      </c>
      <c r="N164" s="367">
        <v>200652546</v>
      </c>
      <c r="O164" s="367">
        <f t="shared" si="88"/>
        <v>68360134</v>
      </c>
      <c r="P164" s="367">
        <f t="shared" si="88"/>
        <v>149347454</v>
      </c>
      <c r="Q164" s="367">
        <f t="shared" si="88"/>
        <v>138013724</v>
      </c>
    </row>
    <row r="165" spans="1:17" x14ac:dyDescent="0.25">
      <c r="A165" s="341">
        <v>2122211</v>
      </c>
      <c r="B165" s="342" t="s">
        <v>73</v>
      </c>
      <c r="C165" s="368">
        <v>350000000</v>
      </c>
      <c r="D165" s="368">
        <v>0</v>
      </c>
      <c r="E165" s="368">
        <v>0</v>
      </c>
      <c r="F165" s="368">
        <v>0</v>
      </c>
      <c r="G165" s="368">
        <f t="shared" si="81"/>
        <v>350000000</v>
      </c>
      <c r="H165" s="368">
        <v>7781310</v>
      </c>
      <c r="I165" s="368">
        <v>132292412</v>
      </c>
      <c r="J165" s="368">
        <f t="shared" si="74"/>
        <v>217707588</v>
      </c>
      <c r="K165" s="368">
        <v>6881556</v>
      </c>
      <c r="L165" s="368">
        <v>138013724</v>
      </c>
      <c r="M165" s="368">
        <f t="shared" si="75"/>
        <v>-5721312</v>
      </c>
      <c r="N165" s="368">
        <v>200652546</v>
      </c>
      <c r="O165" s="368">
        <f t="shared" si="76"/>
        <v>68360134</v>
      </c>
      <c r="P165" s="368">
        <f t="shared" si="77"/>
        <v>149347454</v>
      </c>
      <c r="Q165" s="368">
        <f t="shared" si="78"/>
        <v>138013724</v>
      </c>
    </row>
    <row r="166" spans="1:17" s="100" customFormat="1" x14ac:dyDescent="0.25">
      <c r="A166" s="339">
        <v>212225</v>
      </c>
      <c r="B166" s="340" t="s">
        <v>816</v>
      </c>
      <c r="C166" s="367">
        <f>+C167</f>
        <v>0</v>
      </c>
      <c r="D166" s="367">
        <f t="shared" ref="D166:Q166" si="89">+D167</f>
        <v>34000000</v>
      </c>
      <c r="E166" s="367">
        <f t="shared" si="89"/>
        <v>0</v>
      </c>
      <c r="F166" s="367">
        <f t="shared" si="89"/>
        <v>429515764</v>
      </c>
      <c r="G166" s="367">
        <f t="shared" si="89"/>
        <v>463515764</v>
      </c>
      <c r="H166" s="367">
        <v>0</v>
      </c>
      <c r="I166" s="367">
        <v>308547823</v>
      </c>
      <c r="J166" s="367">
        <f t="shared" si="89"/>
        <v>154967941</v>
      </c>
      <c r="K166" s="367">
        <v>0</v>
      </c>
      <c r="L166" s="367">
        <v>34000000</v>
      </c>
      <c r="M166" s="367">
        <f t="shared" si="89"/>
        <v>274547823</v>
      </c>
      <c r="N166" s="367">
        <v>308547823</v>
      </c>
      <c r="O166" s="367">
        <f t="shared" si="89"/>
        <v>0</v>
      </c>
      <c r="P166" s="367">
        <f t="shared" si="89"/>
        <v>154967941</v>
      </c>
      <c r="Q166" s="367">
        <f t="shared" si="89"/>
        <v>0</v>
      </c>
    </row>
    <row r="167" spans="1:17" ht="30" x14ac:dyDescent="0.25">
      <c r="A167" s="341">
        <v>2122252</v>
      </c>
      <c r="B167" s="342" t="s">
        <v>817</v>
      </c>
      <c r="C167" s="368">
        <f>+C168</f>
        <v>0</v>
      </c>
      <c r="D167" s="368">
        <v>34000000</v>
      </c>
      <c r="E167" s="368">
        <v>0</v>
      </c>
      <c r="F167" s="368">
        <v>429515764</v>
      </c>
      <c r="G167" s="368">
        <f t="shared" si="81"/>
        <v>463515764</v>
      </c>
      <c r="H167" s="368">
        <v>0</v>
      </c>
      <c r="I167" s="368">
        <v>308547823</v>
      </c>
      <c r="J167" s="368">
        <f t="shared" si="74"/>
        <v>154967941</v>
      </c>
      <c r="K167" s="368">
        <v>0</v>
      </c>
      <c r="L167" s="368">
        <v>34000000</v>
      </c>
      <c r="M167" s="368">
        <f t="shared" si="75"/>
        <v>274547823</v>
      </c>
      <c r="N167" s="368">
        <v>308547823</v>
      </c>
      <c r="O167" s="368">
        <f t="shared" si="76"/>
        <v>0</v>
      </c>
      <c r="P167" s="368">
        <f t="shared" si="77"/>
        <v>154967941</v>
      </c>
      <c r="Q167" s="368"/>
    </row>
    <row r="168" spans="1:17" ht="30" x14ac:dyDescent="0.25">
      <c r="A168" s="341">
        <v>21222524</v>
      </c>
      <c r="B168" s="342" t="s">
        <v>818</v>
      </c>
      <c r="C168" s="368"/>
      <c r="D168" s="368">
        <v>34000000</v>
      </c>
      <c r="E168" s="368">
        <v>0</v>
      </c>
      <c r="F168" s="368">
        <v>429515764</v>
      </c>
      <c r="G168" s="368">
        <f t="shared" si="81"/>
        <v>463515764</v>
      </c>
      <c r="H168" s="368">
        <v>0</v>
      </c>
      <c r="I168" s="368">
        <v>308547823</v>
      </c>
      <c r="J168" s="368">
        <f t="shared" si="74"/>
        <v>154967941</v>
      </c>
      <c r="K168" s="368">
        <v>0</v>
      </c>
      <c r="L168" s="368">
        <v>34000000</v>
      </c>
      <c r="M168" s="368">
        <f t="shared" si="75"/>
        <v>274547823</v>
      </c>
      <c r="N168" s="368">
        <v>308547823</v>
      </c>
      <c r="O168" s="368">
        <f t="shared" si="76"/>
        <v>0</v>
      </c>
      <c r="P168" s="368">
        <f t="shared" si="77"/>
        <v>154967941</v>
      </c>
      <c r="Q168" s="368"/>
    </row>
    <row r="169" spans="1:17" s="100" customFormat="1" ht="30" x14ac:dyDescent="0.25">
      <c r="A169" s="337">
        <v>212226</v>
      </c>
      <c r="B169" s="338" t="s">
        <v>74</v>
      </c>
      <c r="C169" s="366">
        <f>+C170+C174+C175</f>
        <v>470000000</v>
      </c>
      <c r="D169" s="366">
        <f t="shared" ref="D169:Q169" si="90">+D170+D174+D175</f>
        <v>0</v>
      </c>
      <c r="E169" s="366">
        <f t="shared" si="90"/>
        <v>118134498</v>
      </c>
      <c r="F169" s="366">
        <f t="shared" si="90"/>
        <v>0</v>
      </c>
      <c r="G169" s="366">
        <f t="shared" si="90"/>
        <v>351865502</v>
      </c>
      <c r="H169" s="366">
        <v>0</v>
      </c>
      <c r="I169" s="366">
        <v>291265502</v>
      </c>
      <c r="J169" s="366">
        <f t="shared" si="90"/>
        <v>60600000</v>
      </c>
      <c r="K169" s="366">
        <v>5612665</v>
      </c>
      <c r="L169" s="366">
        <v>30652104.670000002</v>
      </c>
      <c r="M169" s="366">
        <f t="shared" si="90"/>
        <v>260613397.32999998</v>
      </c>
      <c r="N169" s="366">
        <v>351365502</v>
      </c>
      <c r="O169" s="366">
        <f t="shared" si="90"/>
        <v>60100000</v>
      </c>
      <c r="P169" s="366">
        <f t="shared" si="90"/>
        <v>500000</v>
      </c>
      <c r="Q169" s="366">
        <f t="shared" si="90"/>
        <v>30652104.670000002</v>
      </c>
    </row>
    <row r="170" spans="1:17" s="100" customFormat="1" ht="30" x14ac:dyDescent="0.25">
      <c r="A170" s="339">
        <v>2122261</v>
      </c>
      <c r="B170" s="340" t="s">
        <v>75</v>
      </c>
      <c r="C170" s="367">
        <f>+C171+C172+C173</f>
        <v>97000000</v>
      </c>
      <c r="D170" s="367">
        <f t="shared" ref="D170:Q170" si="91">+D171+D172+D173</f>
        <v>0</v>
      </c>
      <c r="E170" s="367">
        <f t="shared" si="91"/>
        <v>0</v>
      </c>
      <c r="F170" s="367">
        <f t="shared" si="91"/>
        <v>0</v>
      </c>
      <c r="G170" s="367">
        <f t="shared" si="91"/>
        <v>97000000</v>
      </c>
      <c r="H170" s="367">
        <v>0</v>
      </c>
      <c r="I170" s="367">
        <v>97000000</v>
      </c>
      <c r="J170" s="367">
        <f t="shared" si="91"/>
        <v>0</v>
      </c>
      <c r="K170" s="367">
        <v>0</v>
      </c>
      <c r="L170" s="367">
        <v>16822462.670000002</v>
      </c>
      <c r="M170" s="367">
        <f t="shared" si="91"/>
        <v>80177537.329999998</v>
      </c>
      <c r="N170" s="367">
        <v>97000000</v>
      </c>
      <c r="O170" s="367">
        <f t="shared" si="91"/>
        <v>0</v>
      </c>
      <c r="P170" s="367">
        <f t="shared" si="91"/>
        <v>0</v>
      </c>
      <c r="Q170" s="367">
        <f t="shared" si="91"/>
        <v>16822462.670000002</v>
      </c>
    </row>
    <row r="171" spans="1:17" x14ac:dyDescent="0.25">
      <c r="A171" s="341">
        <v>21222611</v>
      </c>
      <c r="B171" s="342" t="s">
        <v>584</v>
      </c>
      <c r="C171" s="368">
        <v>37000000</v>
      </c>
      <c r="D171" s="368">
        <v>0</v>
      </c>
      <c r="E171" s="368">
        <v>0</v>
      </c>
      <c r="F171" s="368">
        <v>0</v>
      </c>
      <c r="G171" s="368">
        <f t="shared" si="81"/>
        <v>37000000</v>
      </c>
      <c r="H171" s="368">
        <v>0</v>
      </c>
      <c r="I171" s="368">
        <v>37000000</v>
      </c>
      <c r="J171" s="368">
        <f t="shared" si="74"/>
        <v>0</v>
      </c>
      <c r="K171" s="368">
        <v>0</v>
      </c>
      <c r="L171" s="368">
        <v>630500</v>
      </c>
      <c r="M171" s="368">
        <f t="shared" si="75"/>
        <v>36369500</v>
      </c>
      <c r="N171" s="368">
        <v>37000000</v>
      </c>
      <c r="O171" s="368">
        <f t="shared" si="76"/>
        <v>0</v>
      </c>
      <c r="P171" s="368">
        <f t="shared" si="77"/>
        <v>0</v>
      </c>
      <c r="Q171" s="368">
        <f t="shared" si="78"/>
        <v>630500</v>
      </c>
    </row>
    <row r="172" spans="1:17" x14ac:dyDescent="0.25">
      <c r="A172" s="341">
        <v>21222612</v>
      </c>
      <c r="B172" s="342" t="s">
        <v>585</v>
      </c>
      <c r="C172" s="368">
        <v>25000000</v>
      </c>
      <c r="D172" s="368">
        <v>0</v>
      </c>
      <c r="E172" s="368">
        <v>0</v>
      </c>
      <c r="F172" s="368">
        <v>0</v>
      </c>
      <c r="G172" s="368">
        <f t="shared" si="81"/>
        <v>25000000</v>
      </c>
      <c r="H172" s="368">
        <v>0</v>
      </c>
      <c r="I172" s="368">
        <v>25000000</v>
      </c>
      <c r="J172" s="368">
        <f t="shared" si="74"/>
        <v>0</v>
      </c>
      <c r="K172" s="368">
        <v>0</v>
      </c>
      <c r="L172" s="368">
        <v>0</v>
      </c>
      <c r="M172" s="368">
        <f t="shared" si="75"/>
        <v>25000000</v>
      </c>
      <c r="N172" s="368">
        <v>25000000</v>
      </c>
      <c r="O172" s="368">
        <f t="shared" si="76"/>
        <v>0</v>
      </c>
      <c r="P172" s="368">
        <f t="shared" si="77"/>
        <v>0</v>
      </c>
      <c r="Q172" s="368">
        <f t="shared" si="78"/>
        <v>0</v>
      </c>
    </row>
    <row r="173" spans="1:17" x14ac:dyDescent="0.25">
      <c r="A173" s="341">
        <v>21222613</v>
      </c>
      <c r="B173" s="342" t="s">
        <v>586</v>
      </c>
      <c r="C173" s="368">
        <v>35000000</v>
      </c>
      <c r="D173" s="368">
        <v>0</v>
      </c>
      <c r="E173" s="368">
        <v>0</v>
      </c>
      <c r="F173" s="368">
        <v>0</v>
      </c>
      <c r="G173" s="368">
        <f t="shared" si="81"/>
        <v>35000000</v>
      </c>
      <c r="H173" s="368">
        <v>0</v>
      </c>
      <c r="I173" s="368">
        <v>35000000</v>
      </c>
      <c r="J173" s="368">
        <f t="shared" si="74"/>
        <v>0</v>
      </c>
      <c r="K173" s="368">
        <v>0</v>
      </c>
      <c r="L173" s="368">
        <v>16191962.67</v>
      </c>
      <c r="M173" s="368">
        <f t="shared" si="75"/>
        <v>18808037.329999998</v>
      </c>
      <c r="N173" s="368">
        <v>35000000</v>
      </c>
      <c r="O173" s="368">
        <f t="shared" si="76"/>
        <v>0</v>
      </c>
      <c r="P173" s="368">
        <f t="shared" si="77"/>
        <v>0</v>
      </c>
      <c r="Q173" s="368">
        <f t="shared" si="78"/>
        <v>16191962.67</v>
      </c>
    </row>
    <row r="174" spans="1:17" x14ac:dyDescent="0.25">
      <c r="A174" s="341">
        <v>2122262</v>
      </c>
      <c r="B174" s="342" t="s">
        <v>587</v>
      </c>
      <c r="C174" s="368">
        <v>300000000</v>
      </c>
      <c r="D174" s="368">
        <v>0</v>
      </c>
      <c r="E174" s="368">
        <f>65000000+53134498</f>
        <v>118134498</v>
      </c>
      <c r="F174" s="368">
        <v>0</v>
      </c>
      <c r="G174" s="368">
        <f t="shared" si="81"/>
        <v>181865502</v>
      </c>
      <c r="H174" s="368">
        <v>0</v>
      </c>
      <c r="I174" s="368">
        <v>176765502</v>
      </c>
      <c r="J174" s="368">
        <f t="shared" si="74"/>
        <v>5100000</v>
      </c>
      <c r="K174" s="368">
        <v>0</v>
      </c>
      <c r="L174" s="368">
        <v>965502</v>
      </c>
      <c r="M174" s="368">
        <f t="shared" si="75"/>
        <v>175800000</v>
      </c>
      <c r="N174" s="368">
        <v>181865502</v>
      </c>
      <c r="O174" s="368">
        <f t="shared" si="76"/>
        <v>5100000</v>
      </c>
      <c r="P174" s="368">
        <f t="shared" si="77"/>
        <v>0</v>
      </c>
      <c r="Q174" s="368">
        <f t="shared" si="78"/>
        <v>965502</v>
      </c>
    </row>
    <row r="175" spans="1:17" x14ac:dyDescent="0.25">
      <c r="A175" s="341">
        <v>2122266</v>
      </c>
      <c r="B175" s="342" t="s">
        <v>588</v>
      </c>
      <c r="C175" s="368">
        <v>73000000</v>
      </c>
      <c r="D175" s="368">
        <v>0</v>
      </c>
      <c r="E175" s="368">
        <v>0</v>
      </c>
      <c r="F175" s="368">
        <v>0</v>
      </c>
      <c r="G175" s="368">
        <f t="shared" si="81"/>
        <v>73000000</v>
      </c>
      <c r="H175" s="368">
        <v>0</v>
      </c>
      <c r="I175" s="368">
        <v>17500000</v>
      </c>
      <c r="J175" s="368">
        <f t="shared" si="74"/>
        <v>55500000</v>
      </c>
      <c r="K175" s="368">
        <v>5612665</v>
      </c>
      <c r="L175" s="368">
        <v>12864140</v>
      </c>
      <c r="M175" s="368">
        <f t="shared" si="75"/>
        <v>4635860</v>
      </c>
      <c r="N175" s="368">
        <v>72500000</v>
      </c>
      <c r="O175" s="368">
        <f t="shared" si="76"/>
        <v>55000000</v>
      </c>
      <c r="P175" s="368">
        <f t="shared" si="77"/>
        <v>500000</v>
      </c>
      <c r="Q175" s="368">
        <f t="shared" si="78"/>
        <v>12864140</v>
      </c>
    </row>
    <row r="176" spans="1:17" s="100" customFormat="1" ht="30" x14ac:dyDescent="0.25">
      <c r="A176" s="337">
        <v>212227</v>
      </c>
      <c r="B176" s="338" t="s">
        <v>76</v>
      </c>
      <c r="C176" s="366">
        <f>+C177+C185</f>
        <v>2213000000</v>
      </c>
      <c r="D176" s="366">
        <f t="shared" ref="D176:Q176" si="92">+D177+D185</f>
        <v>438000000</v>
      </c>
      <c r="E176" s="366">
        <f t="shared" si="92"/>
        <v>226382552</v>
      </c>
      <c r="F176" s="366">
        <f t="shared" si="92"/>
        <v>0</v>
      </c>
      <c r="G176" s="366">
        <f t="shared" si="92"/>
        <v>2424617448</v>
      </c>
      <c r="H176" s="366">
        <v>32260941.18</v>
      </c>
      <c r="I176" s="366">
        <v>1940818941.4899998</v>
      </c>
      <c r="J176" s="366">
        <f t="shared" si="92"/>
        <v>483798506.50999999</v>
      </c>
      <c r="K176" s="366">
        <v>39075494.359999999</v>
      </c>
      <c r="L176" s="366">
        <v>1355374805.5799999</v>
      </c>
      <c r="M176" s="366">
        <f t="shared" si="92"/>
        <v>585444135.90999997</v>
      </c>
      <c r="N176" s="366">
        <v>2165929226.8299999</v>
      </c>
      <c r="O176" s="366">
        <f t="shared" si="92"/>
        <v>385110285.33999997</v>
      </c>
      <c r="P176" s="366">
        <f t="shared" si="92"/>
        <v>98688221.170000002</v>
      </c>
      <c r="Q176" s="366">
        <f t="shared" si="92"/>
        <v>1355374805.5799999</v>
      </c>
    </row>
    <row r="177" spans="1:17" s="100" customFormat="1" x14ac:dyDescent="0.25">
      <c r="A177" s="337">
        <v>2122271</v>
      </c>
      <c r="B177" s="338" t="s">
        <v>77</v>
      </c>
      <c r="C177" s="366">
        <f>+C178+C180+C182+C184</f>
        <v>926000000</v>
      </c>
      <c r="D177" s="366">
        <f t="shared" ref="D177:Q177" si="93">+D178+D180+D182+D184</f>
        <v>278000000</v>
      </c>
      <c r="E177" s="366">
        <f t="shared" si="93"/>
        <v>0</v>
      </c>
      <c r="F177" s="366">
        <f t="shared" si="93"/>
        <v>0</v>
      </c>
      <c r="G177" s="366">
        <f t="shared" si="93"/>
        <v>1204000000</v>
      </c>
      <c r="H177" s="366">
        <v>0</v>
      </c>
      <c r="I177" s="366">
        <v>1020166713.61</v>
      </c>
      <c r="J177" s="366">
        <f t="shared" si="93"/>
        <v>45647156.510000005</v>
      </c>
      <c r="K177" s="366">
        <v>0</v>
      </c>
      <c r="L177" s="366">
        <v>1017747465.61</v>
      </c>
      <c r="M177" s="366">
        <f t="shared" si="93"/>
        <v>2811990.0199999809</v>
      </c>
      <c r="N177" s="366">
        <v>1020175713.2</v>
      </c>
      <c r="O177" s="366">
        <f t="shared" si="93"/>
        <v>1958935.3399999999</v>
      </c>
      <c r="P177" s="366">
        <f t="shared" si="93"/>
        <v>43688221.170000002</v>
      </c>
      <c r="Q177" s="366">
        <f t="shared" si="93"/>
        <v>1155540853.47</v>
      </c>
    </row>
    <row r="178" spans="1:17" s="100" customFormat="1" ht="30" x14ac:dyDescent="0.25">
      <c r="A178" s="339">
        <v>21222711</v>
      </c>
      <c r="B178" s="340" t="s">
        <v>78</v>
      </c>
      <c r="C178" s="367">
        <f>+C179</f>
        <v>5000000</v>
      </c>
      <c r="D178" s="367">
        <f t="shared" ref="D178:Q178" si="94">+D179</f>
        <v>0</v>
      </c>
      <c r="E178" s="367">
        <f t="shared" si="94"/>
        <v>0</v>
      </c>
      <c r="F178" s="367">
        <f t="shared" si="94"/>
        <v>0</v>
      </c>
      <c r="G178" s="367">
        <f t="shared" si="94"/>
        <v>5000000</v>
      </c>
      <c r="H178" s="367">
        <v>0</v>
      </c>
      <c r="I178" s="367">
        <v>1166713.6100000001</v>
      </c>
      <c r="J178" s="367">
        <f t="shared" si="94"/>
        <v>3833286.3899999997</v>
      </c>
      <c r="K178" s="367">
        <v>0</v>
      </c>
      <c r="L178" s="367">
        <v>1166713.6100000001</v>
      </c>
      <c r="M178" s="367">
        <f t="shared" si="94"/>
        <v>0</v>
      </c>
      <c r="N178" s="367">
        <v>1175713.2</v>
      </c>
      <c r="O178" s="367">
        <f t="shared" si="94"/>
        <v>8999.589999999851</v>
      </c>
      <c r="P178" s="367">
        <f t="shared" si="94"/>
        <v>3824286.8</v>
      </c>
      <c r="Q178" s="367">
        <f t="shared" si="94"/>
        <v>1166713.6100000001</v>
      </c>
    </row>
    <row r="179" spans="1:17" ht="30" x14ac:dyDescent="0.25">
      <c r="A179" s="341">
        <v>212227111</v>
      </c>
      <c r="B179" s="342" t="s">
        <v>589</v>
      </c>
      <c r="C179" s="368">
        <v>5000000</v>
      </c>
      <c r="D179" s="368">
        <v>0</v>
      </c>
      <c r="E179" s="368">
        <v>0</v>
      </c>
      <c r="F179" s="368">
        <v>0</v>
      </c>
      <c r="G179" s="368">
        <f t="shared" si="81"/>
        <v>5000000</v>
      </c>
      <c r="H179" s="368">
        <v>0</v>
      </c>
      <c r="I179" s="368">
        <v>1166713.6100000001</v>
      </c>
      <c r="J179" s="368">
        <f t="shared" si="74"/>
        <v>3833286.3899999997</v>
      </c>
      <c r="K179" s="368">
        <v>0</v>
      </c>
      <c r="L179" s="368">
        <v>1166713.6100000001</v>
      </c>
      <c r="M179" s="368">
        <f t="shared" si="75"/>
        <v>0</v>
      </c>
      <c r="N179" s="368">
        <v>1175713.2</v>
      </c>
      <c r="O179" s="368">
        <f t="shared" si="76"/>
        <v>8999.589999999851</v>
      </c>
      <c r="P179" s="368">
        <f t="shared" si="77"/>
        <v>3824286.8</v>
      </c>
      <c r="Q179" s="368">
        <f t="shared" si="78"/>
        <v>1166713.6100000001</v>
      </c>
    </row>
    <row r="180" spans="1:17" s="100" customFormat="1" ht="30" x14ac:dyDescent="0.25">
      <c r="A180" s="339">
        <v>21222712</v>
      </c>
      <c r="B180" s="340" t="s">
        <v>79</v>
      </c>
      <c r="C180" s="367">
        <f>+C181</f>
        <v>265000000</v>
      </c>
      <c r="D180" s="367">
        <f t="shared" ref="D180:Q180" si="95">+D181</f>
        <v>0</v>
      </c>
      <c r="E180" s="367">
        <f t="shared" si="95"/>
        <v>0</v>
      </c>
      <c r="F180" s="367">
        <f t="shared" si="95"/>
        <v>0</v>
      </c>
      <c r="G180" s="367">
        <f t="shared" si="95"/>
        <v>265000000</v>
      </c>
      <c r="H180" s="367">
        <v>0</v>
      </c>
      <c r="I180" s="367">
        <v>265000000</v>
      </c>
      <c r="J180" s="367">
        <f t="shared" si="95"/>
        <v>0</v>
      </c>
      <c r="K180" s="367">
        <v>0</v>
      </c>
      <c r="L180" s="367">
        <v>264999661</v>
      </c>
      <c r="M180" s="367">
        <f t="shared" si="95"/>
        <v>339</v>
      </c>
      <c r="N180" s="367">
        <v>265000000</v>
      </c>
      <c r="O180" s="367">
        <f t="shared" si="95"/>
        <v>0</v>
      </c>
      <c r="P180" s="367">
        <f t="shared" si="95"/>
        <v>0</v>
      </c>
      <c r="Q180" s="367">
        <f t="shared" si="95"/>
        <v>264999661</v>
      </c>
    </row>
    <row r="181" spans="1:17" ht="30" x14ac:dyDescent="0.25">
      <c r="A181" s="341">
        <v>212227121</v>
      </c>
      <c r="B181" s="342" t="s">
        <v>590</v>
      </c>
      <c r="C181" s="368">
        <v>265000000</v>
      </c>
      <c r="D181" s="368">
        <v>0</v>
      </c>
      <c r="E181" s="368">
        <v>0</v>
      </c>
      <c r="F181" s="368">
        <v>0</v>
      </c>
      <c r="G181" s="368">
        <f t="shared" si="81"/>
        <v>265000000</v>
      </c>
      <c r="H181" s="368">
        <v>0</v>
      </c>
      <c r="I181" s="368">
        <v>265000000</v>
      </c>
      <c r="J181" s="368">
        <f t="shared" si="74"/>
        <v>0</v>
      </c>
      <c r="K181" s="368">
        <v>0</v>
      </c>
      <c r="L181" s="368">
        <v>264999661</v>
      </c>
      <c r="M181" s="368">
        <f t="shared" si="75"/>
        <v>339</v>
      </c>
      <c r="N181" s="368">
        <v>265000000</v>
      </c>
      <c r="O181" s="368">
        <f t="shared" si="76"/>
        <v>0</v>
      </c>
      <c r="P181" s="368">
        <f t="shared" si="77"/>
        <v>0</v>
      </c>
      <c r="Q181" s="368">
        <f t="shared" si="78"/>
        <v>264999661</v>
      </c>
    </row>
    <row r="182" spans="1:17" s="100" customFormat="1" ht="30" x14ac:dyDescent="0.25">
      <c r="A182" s="339">
        <v>21222713</v>
      </c>
      <c r="B182" s="340" t="s">
        <v>80</v>
      </c>
      <c r="C182" s="367">
        <f>+C183</f>
        <v>556000000</v>
      </c>
      <c r="D182" s="367">
        <f t="shared" ref="D182:Q182" si="96">+D183</f>
        <v>198000000</v>
      </c>
      <c r="E182" s="367">
        <f t="shared" si="96"/>
        <v>0</v>
      </c>
      <c r="F182" s="367">
        <f t="shared" si="96"/>
        <v>0</v>
      </c>
      <c r="G182" s="367">
        <f t="shared" si="96"/>
        <v>754000000</v>
      </c>
      <c r="H182" s="367">
        <v>0</v>
      </c>
      <c r="I182" s="367">
        <v>754000000</v>
      </c>
      <c r="J182" s="367">
        <f t="shared" si="96"/>
        <v>0</v>
      </c>
      <c r="K182" s="367">
        <v>0</v>
      </c>
      <c r="L182" s="367">
        <v>751581091</v>
      </c>
      <c r="M182" s="367">
        <f t="shared" si="96"/>
        <v>2418909</v>
      </c>
      <c r="N182" s="367">
        <v>754000000</v>
      </c>
      <c r="O182" s="367">
        <f t="shared" si="96"/>
        <v>0</v>
      </c>
      <c r="P182" s="367">
        <f t="shared" si="96"/>
        <v>0</v>
      </c>
      <c r="Q182" s="367">
        <f t="shared" si="96"/>
        <v>751581091</v>
      </c>
    </row>
    <row r="183" spans="1:17" ht="30" x14ac:dyDescent="0.25">
      <c r="A183" s="341">
        <v>212227138</v>
      </c>
      <c r="B183" s="342" t="s">
        <v>591</v>
      </c>
      <c r="C183" s="368">
        <v>556000000</v>
      </c>
      <c r="D183" s="368">
        <v>198000000</v>
      </c>
      <c r="E183" s="368">
        <v>0</v>
      </c>
      <c r="F183" s="368">
        <v>0</v>
      </c>
      <c r="G183" s="368">
        <f t="shared" si="81"/>
        <v>754000000</v>
      </c>
      <c r="H183" s="368">
        <v>0</v>
      </c>
      <c r="I183" s="368">
        <v>754000000</v>
      </c>
      <c r="J183" s="368">
        <f t="shared" si="74"/>
        <v>0</v>
      </c>
      <c r="K183" s="368">
        <v>0</v>
      </c>
      <c r="L183" s="368">
        <v>751581091</v>
      </c>
      <c r="M183" s="368">
        <f t="shared" si="75"/>
        <v>2418909</v>
      </c>
      <c r="N183" s="368">
        <v>754000000</v>
      </c>
      <c r="O183" s="368">
        <f t="shared" si="76"/>
        <v>0</v>
      </c>
      <c r="P183" s="368">
        <f t="shared" si="77"/>
        <v>0</v>
      </c>
      <c r="Q183" s="368">
        <f t="shared" si="78"/>
        <v>751581091</v>
      </c>
    </row>
    <row r="184" spans="1:17" x14ac:dyDescent="0.25">
      <c r="A184" s="341">
        <v>21222714</v>
      </c>
      <c r="B184" s="342" t="s">
        <v>592</v>
      </c>
      <c r="C184" s="368">
        <v>100000000</v>
      </c>
      <c r="D184" s="368">
        <v>80000000</v>
      </c>
      <c r="E184" s="368">
        <v>0</v>
      </c>
      <c r="F184" s="368">
        <v>0</v>
      </c>
      <c r="G184" s="368">
        <f t="shared" si="81"/>
        <v>180000000</v>
      </c>
      <c r="H184" s="368">
        <v>32260941.18</v>
      </c>
      <c r="I184" s="368">
        <v>138186129.88</v>
      </c>
      <c r="J184" s="368">
        <f t="shared" si="74"/>
        <v>41813870.120000005</v>
      </c>
      <c r="K184" s="368">
        <v>10513721.25</v>
      </c>
      <c r="L184" s="368">
        <v>137793387.86000001</v>
      </c>
      <c r="M184" s="368">
        <f t="shared" si="75"/>
        <v>392742.01999998093</v>
      </c>
      <c r="N184" s="368">
        <v>140136065.63</v>
      </c>
      <c r="O184" s="368">
        <f t="shared" si="76"/>
        <v>1949935.75</v>
      </c>
      <c r="P184" s="368">
        <f t="shared" si="77"/>
        <v>39863934.370000005</v>
      </c>
      <c r="Q184" s="368">
        <f t="shared" si="78"/>
        <v>137793387.86000001</v>
      </c>
    </row>
    <row r="185" spans="1:17" s="100" customFormat="1" x14ac:dyDescent="0.25">
      <c r="A185" s="337">
        <v>2122272</v>
      </c>
      <c r="B185" s="338" t="s">
        <v>81</v>
      </c>
      <c r="C185" s="366">
        <f>+C186+C188+C191</f>
        <v>1287000000</v>
      </c>
      <c r="D185" s="366">
        <f t="shared" ref="D185:Q185" si="97">+D186+D188+D191</f>
        <v>160000000</v>
      </c>
      <c r="E185" s="366">
        <f t="shared" si="97"/>
        <v>226382552</v>
      </c>
      <c r="F185" s="366">
        <f t="shared" si="97"/>
        <v>0</v>
      </c>
      <c r="G185" s="366">
        <f t="shared" si="97"/>
        <v>1220617448</v>
      </c>
      <c r="H185" s="366">
        <v>0</v>
      </c>
      <c r="I185" s="366">
        <v>782466098</v>
      </c>
      <c r="J185" s="366">
        <f t="shared" si="97"/>
        <v>438151350</v>
      </c>
      <c r="K185" s="366">
        <v>28561773.109999999</v>
      </c>
      <c r="L185" s="366">
        <v>199833952.11000001</v>
      </c>
      <c r="M185" s="366">
        <f t="shared" si="97"/>
        <v>582632145.88999999</v>
      </c>
      <c r="N185" s="366">
        <v>1005617448</v>
      </c>
      <c r="O185" s="366">
        <f t="shared" si="97"/>
        <v>383151350</v>
      </c>
      <c r="P185" s="366">
        <f t="shared" si="97"/>
        <v>55000000</v>
      </c>
      <c r="Q185" s="366">
        <f t="shared" si="97"/>
        <v>199833952.11000001</v>
      </c>
    </row>
    <row r="186" spans="1:17" s="100" customFormat="1" ht="30" x14ac:dyDescent="0.25">
      <c r="A186" s="339">
        <v>21222721</v>
      </c>
      <c r="B186" s="340" t="s">
        <v>82</v>
      </c>
      <c r="C186" s="367">
        <f>+C187</f>
        <v>85000000</v>
      </c>
      <c r="D186" s="367">
        <f t="shared" ref="D186:Q186" si="98">+D187</f>
        <v>0</v>
      </c>
      <c r="E186" s="367">
        <f t="shared" si="98"/>
        <v>22382552</v>
      </c>
      <c r="F186" s="367">
        <f t="shared" si="98"/>
        <v>0</v>
      </c>
      <c r="G186" s="367">
        <f t="shared" si="98"/>
        <v>62617448</v>
      </c>
      <c r="H186" s="367">
        <v>0</v>
      </c>
      <c r="I186" s="367">
        <v>62617448</v>
      </c>
      <c r="J186" s="367">
        <f t="shared" si="98"/>
        <v>0</v>
      </c>
      <c r="K186" s="367">
        <v>0</v>
      </c>
      <c r="L186" s="367">
        <v>62617448</v>
      </c>
      <c r="M186" s="367">
        <f t="shared" si="98"/>
        <v>0</v>
      </c>
      <c r="N186" s="367">
        <v>62617448</v>
      </c>
      <c r="O186" s="367">
        <f t="shared" si="98"/>
        <v>0</v>
      </c>
      <c r="P186" s="367">
        <f t="shared" si="98"/>
        <v>0</v>
      </c>
      <c r="Q186" s="367">
        <f t="shared" si="98"/>
        <v>62617448</v>
      </c>
    </row>
    <row r="187" spans="1:17" ht="30" x14ac:dyDescent="0.25">
      <c r="A187" s="341">
        <v>212227211</v>
      </c>
      <c r="B187" s="342" t="s">
        <v>593</v>
      </c>
      <c r="C187" s="368">
        <v>85000000</v>
      </c>
      <c r="D187" s="368">
        <v>0</v>
      </c>
      <c r="E187" s="368">
        <v>22382552</v>
      </c>
      <c r="F187" s="368">
        <v>0</v>
      </c>
      <c r="G187" s="368">
        <f t="shared" si="81"/>
        <v>62617448</v>
      </c>
      <c r="H187" s="368">
        <v>0</v>
      </c>
      <c r="I187" s="368">
        <v>62617448</v>
      </c>
      <c r="J187" s="368">
        <f t="shared" si="74"/>
        <v>0</v>
      </c>
      <c r="K187" s="368">
        <v>0</v>
      </c>
      <c r="L187" s="368">
        <v>62617448</v>
      </c>
      <c r="M187" s="368">
        <f t="shared" si="75"/>
        <v>0</v>
      </c>
      <c r="N187" s="368">
        <v>62617448</v>
      </c>
      <c r="O187" s="368">
        <f t="shared" si="76"/>
        <v>0</v>
      </c>
      <c r="P187" s="368">
        <f t="shared" si="77"/>
        <v>0</v>
      </c>
      <c r="Q187" s="368">
        <f t="shared" si="78"/>
        <v>62617448</v>
      </c>
    </row>
    <row r="188" spans="1:17" s="100" customFormat="1" ht="30" x14ac:dyDescent="0.25">
      <c r="A188" s="339">
        <v>21222722</v>
      </c>
      <c r="B188" s="340" t="s">
        <v>83</v>
      </c>
      <c r="C188" s="367">
        <f>+C189+C190</f>
        <v>1202000000</v>
      </c>
      <c r="D188" s="367">
        <f t="shared" ref="D188:Q188" si="99">+D189+D190</f>
        <v>0</v>
      </c>
      <c r="E188" s="367">
        <f t="shared" si="99"/>
        <v>204000000</v>
      </c>
      <c r="F188" s="367">
        <f t="shared" si="99"/>
        <v>0</v>
      </c>
      <c r="G188" s="367">
        <f t="shared" si="99"/>
        <v>998000000</v>
      </c>
      <c r="H188" s="367">
        <v>0</v>
      </c>
      <c r="I188" s="367">
        <v>719848650</v>
      </c>
      <c r="J188" s="367">
        <f t="shared" si="99"/>
        <v>278151350</v>
      </c>
      <c r="K188" s="367">
        <v>28561773.109999999</v>
      </c>
      <c r="L188" s="367">
        <v>137216504.11000001</v>
      </c>
      <c r="M188" s="367">
        <f t="shared" si="99"/>
        <v>582632145.88999999</v>
      </c>
      <c r="N188" s="367">
        <v>943000000</v>
      </c>
      <c r="O188" s="367">
        <f t="shared" si="99"/>
        <v>223151350</v>
      </c>
      <c r="P188" s="367">
        <f t="shared" si="99"/>
        <v>55000000</v>
      </c>
      <c r="Q188" s="367">
        <f t="shared" si="99"/>
        <v>137216504.11000001</v>
      </c>
    </row>
    <row r="189" spans="1:17" ht="30" x14ac:dyDescent="0.25">
      <c r="A189" s="341">
        <v>212227222</v>
      </c>
      <c r="B189" s="342" t="s">
        <v>640</v>
      </c>
      <c r="C189" s="368">
        <v>1200000000</v>
      </c>
      <c r="D189" s="368">
        <v>0</v>
      </c>
      <c r="E189" s="368">
        <v>204000000</v>
      </c>
      <c r="F189" s="368">
        <v>0</v>
      </c>
      <c r="G189" s="368">
        <f t="shared" si="81"/>
        <v>996000000</v>
      </c>
      <c r="H189" s="368">
        <v>0</v>
      </c>
      <c r="I189" s="368">
        <v>719848650</v>
      </c>
      <c r="J189" s="368">
        <f t="shared" si="74"/>
        <v>276151350</v>
      </c>
      <c r="K189" s="368">
        <v>28561773.109999999</v>
      </c>
      <c r="L189" s="368">
        <v>137216504.11000001</v>
      </c>
      <c r="M189" s="368">
        <f t="shared" si="75"/>
        <v>582632145.88999999</v>
      </c>
      <c r="N189" s="368">
        <v>943000000</v>
      </c>
      <c r="O189" s="368">
        <f t="shared" si="76"/>
        <v>223151350</v>
      </c>
      <c r="P189" s="368">
        <f t="shared" si="77"/>
        <v>53000000</v>
      </c>
      <c r="Q189" s="368">
        <f t="shared" si="78"/>
        <v>137216504.11000001</v>
      </c>
    </row>
    <row r="190" spans="1:17" ht="30" x14ac:dyDescent="0.25">
      <c r="A190" s="341">
        <v>212227223</v>
      </c>
      <c r="B190" s="342" t="s">
        <v>641</v>
      </c>
      <c r="C190" s="368">
        <v>2000000</v>
      </c>
      <c r="D190" s="368">
        <v>0</v>
      </c>
      <c r="E190" s="368">
        <v>0</v>
      </c>
      <c r="F190" s="368">
        <v>0</v>
      </c>
      <c r="G190" s="368">
        <f t="shared" si="81"/>
        <v>2000000</v>
      </c>
      <c r="H190" s="368">
        <v>0</v>
      </c>
      <c r="I190" s="368">
        <v>0</v>
      </c>
      <c r="J190" s="368">
        <f t="shared" si="74"/>
        <v>2000000</v>
      </c>
      <c r="K190" s="368">
        <v>0</v>
      </c>
      <c r="L190" s="368">
        <v>0</v>
      </c>
      <c r="M190" s="368">
        <f t="shared" si="75"/>
        <v>0</v>
      </c>
      <c r="N190" s="368">
        <v>0</v>
      </c>
      <c r="O190" s="368">
        <f t="shared" si="76"/>
        <v>0</v>
      </c>
      <c r="P190" s="368">
        <f t="shared" si="77"/>
        <v>2000000</v>
      </c>
      <c r="Q190" s="368">
        <f t="shared" si="78"/>
        <v>0</v>
      </c>
    </row>
    <row r="191" spans="1:17" x14ac:dyDescent="0.25">
      <c r="A191" s="341">
        <v>2122273</v>
      </c>
      <c r="B191" s="342" t="s">
        <v>855</v>
      </c>
      <c r="C191" s="368">
        <v>0</v>
      </c>
      <c r="D191" s="368">
        <v>160000000</v>
      </c>
      <c r="E191" s="368">
        <v>0</v>
      </c>
      <c r="F191" s="368">
        <v>0</v>
      </c>
      <c r="G191" s="368">
        <f t="shared" si="81"/>
        <v>160000000</v>
      </c>
      <c r="H191" s="368">
        <v>0</v>
      </c>
      <c r="I191" s="368">
        <v>0</v>
      </c>
      <c r="J191" s="368">
        <f t="shared" si="74"/>
        <v>160000000</v>
      </c>
      <c r="K191" s="368">
        <v>0</v>
      </c>
      <c r="L191" s="368">
        <v>0</v>
      </c>
      <c r="M191" s="368">
        <f t="shared" si="75"/>
        <v>0</v>
      </c>
      <c r="N191" s="368">
        <v>160000000</v>
      </c>
      <c r="O191" s="368">
        <f t="shared" si="76"/>
        <v>160000000</v>
      </c>
      <c r="P191" s="368">
        <f t="shared" si="77"/>
        <v>0</v>
      </c>
      <c r="Q191" s="368"/>
    </row>
    <row r="192" spans="1:17" s="100" customFormat="1" ht="30" x14ac:dyDescent="0.25">
      <c r="A192" s="339">
        <v>212228</v>
      </c>
      <c r="B192" s="340" t="s">
        <v>84</v>
      </c>
      <c r="C192" s="367">
        <f>+C193+C195+C201+C205+C207+C214+C219</f>
        <v>2359300000</v>
      </c>
      <c r="D192" s="367">
        <f t="shared" ref="D192:Q192" si="100">+D193+D195+D201+D205+D207+D214+D219</f>
        <v>1609503695</v>
      </c>
      <c r="E192" s="367">
        <f t="shared" si="100"/>
        <v>269312351</v>
      </c>
      <c r="F192" s="367">
        <f t="shared" si="100"/>
        <v>675500000</v>
      </c>
      <c r="G192" s="367">
        <f t="shared" si="100"/>
        <v>4374991344</v>
      </c>
      <c r="H192" s="367">
        <v>221995647.53</v>
      </c>
      <c r="I192" s="367">
        <v>3474458484.8600001</v>
      </c>
      <c r="J192" s="367">
        <f t="shared" si="100"/>
        <v>900532859.1400001</v>
      </c>
      <c r="K192" s="367">
        <v>386439145.13999999</v>
      </c>
      <c r="L192" s="367">
        <v>2575061731.6100001</v>
      </c>
      <c r="M192" s="367">
        <f t="shared" si="100"/>
        <v>899396753.25</v>
      </c>
      <c r="N192" s="367">
        <v>3847398235.6999998</v>
      </c>
      <c r="O192" s="367">
        <f t="shared" si="100"/>
        <v>372939750.84000015</v>
      </c>
      <c r="P192" s="367">
        <f t="shared" si="100"/>
        <v>527593108.29999995</v>
      </c>
      <c r="Q192" s="367">
        <f t="shared" si="100"/>
        <v>2510596707.21</v>
      </c>
    </row>
    <row r="193" spans="1:17" x14ac:dyDescent="0.25">
      <c r="A193" s="339">
        <v>2122281</v>
      </c>
      <c r="B193" s="340" t="s">
        <v>85</v>
      </c>
      <c r="C193" s="367">
        <f>+C194</f>
        <v>250000000</v>
      </c>
      <c r="D193" s="367">
        <f t="shared" ref="D193:Q193" si="101">+D194</f>
        <v>450196000</v>
      </c>
      <c r="E193" s="367">
        <f t="shared" si="101"/>
        <v>312351</v>
      </c>
      <c r="F193" s="367">
        <f t="shared" si="101"/>
        <v>68000000</v>
      </c>
      <c r="G193" s="367">
        <f t="shared" si="101"/>
        <v>767883649</v>
      </c>
      <c r="H193" s="367">
        <v>0</v>
      </c>
      <c r="I193" s="367">
        <v>737275649</v>
      </c>
      <c r="J193" s="367">
        <f t="shared" si="101"/>
        <v>30608000</v>
      </c>
      <c r="K193" s="367">
        <v>177746467</v>
      </c>
      <c r="L193" s="367">
        <v>515093813.20999998</v>
      </c>
      <c r="M193" s="367">
        <f t="shared" si="101"/>
        <v>222181835.79000002</v>
      </c>
      <c r="N193" s="367">
        <v>767883649</v>
      </c>
      <c r="O193" s="367">
        <f t="shared" si="101"/>
        <v>30608000</v>
      </c>
      <c r="P193" s="367">
        <f t="shared" si="101"/>
        <v>0</v>
      </c>
      <c r="Q193" s="367">
        <f t="shared" si="101"/>
        <v>515093813.20999998</v>
      </c>
    </row>
    <row r="194" spans="1:17" s="100" customFormat="1" x14ac:dyDescent="0.25">
      <c r="A194" s="341">
        <v>21222811</v>
      </c>
      <c r="B194" s="342" t="s">
        <v>594</v>
      </c>
      <c r="C194" s="383">
        <v>250000000</v>
      </c>
      <c r="D194" s="368">
        <v>450196000</v>
      </c>
      <c r="E194" s="368">
        <v>312351</v>
      </c>
      <c r="F194" s="368">
        <v>68000000</v>
      </c>
      <c r="G194" s="368">
        <f t="shared" si="81"/>
        <v>767883649</v>
      </c>
      <c r="H194" s="368">
        <v>0</v>
      </c>
      <c r="I194" s="368">
        <v>737275649</v>
      </c>
      <c r="J194" s="368">
        <f t="shared" si="74"/>
        <v>30608000</v>
      </c>
      <c r="K194" s="368">
        <v>177746467</v>
      </c>
      <c r="L194" s="368">
        <v>515093813.20999998</v>
      </c>
      <c r="M194" s="368">
        <f t="shared" si="75"/>
        <v>222181835.79000002</v>
      </c>
      <c r="N194" s="368">
        <v>767883649</v>
      </c>
      <c r="O194" s="368">
        <f t="shared" si="76"/>
        <v>30608000</v>
      </c>
      <c r="P194" s="368">
        <f t="shared" si="77"/>
        <v>0</v>
      </c>
      <c r="Q194" s="368">
        <f t="shared" si="78"/>
        <v>515093813.20999998</v>
      </c>
    </row>
    <row r="195" spans="1:17" s="100" customFormat="1" ht="30" x14ac:dyDescent="0.25">
      <c r="A195" s="339">
        <v>2122282</v>
      </c>
      <c r="B195" s="340" t="s">
        <v>86</v>
      </c>
      <c r="C195" s="367">
        <f>+C196+C198+C199+C200</f>
        <v>880000000</v>
      </c>
      <c r="D195" s="367">
        <f t="shared" ref="D195:Q195" si="102">+D196+D198+D199+D200</f>
        <v>405000000</v>
      </c>
      <c r="E195" s="367">
        <f t="shared" si="102"/>
        <v>100000000</v>
      </c>
      <c r="F195" s="367">
        <f t="shared" si="102"/>
        <v>607500000</v>
      </c>
      <c r="G195" s="367">
        <f t="shared" si="102"/>
        <v>1792500000</v>
      </c>
      <c r="H195" s="367">
        <v>105820000</v>
      </c>
      <c r="I195" s="367">
        <v>1312593430</v>
      </c>
      <c r="J195" s="367">
        <f t="shared" si="102"/>
        <v>479906570</v>
      </c>
      <c r="K195" s="367">
        <v>119609097.38</v>
      </c>
      <c r="L195" s="367">
        <v>1095308883.04</v>
      </c>
      <c r="M195" s="367">
        <f t="shared" si="102"/>
        <v>217284546.96000001</v>
      </c>
      <c r="N195" s="367">
        <v>1622863299</v>
      </c>
      <c r="O195" s="367">
        <f t="shared" si="102"/>
        <v>310269869</v>
      </c>
      <c r="P195" s="367">
        <f t="shared" si="102"/>
        <v>169636701</v>
      </c>
      <c r="Q195" s="367">
        <f t="shared" si="102"/>
        <v>1095308883.04</v>
      </c>
    </row>
    <row r="196" spans="1:17" ht="30" x14ac:dyDescent="0.25">
      <c r="A196" s="339">
        <v>21222821</v>
      </c>
      <c r="B196" s="340" t="s">
        <v>87</v>
      </c>
      <c r="C196" s="367">
        <f>+C197</f>
        <v>100000000</v>
      </c>
      <c r="D196" s="367">
        <f t="shared" ref="D196:Q196" si="103">+D197</f>
        <v>0</v>
      </c>
      <c r="E196" s="367">
        <f t="shared" si="103"/>
        <v>100000000</v>
      </c>
      <c r="F196" s="367">
        <f t="shared" si="103"/>
        <v>0</v>
      </c>
      <c r="G196" s="367">
        <f t="shared" si="103"/>
        <v>0</v>
      </c>
      <c r="H196" s="367">
        <v>0</v>
      </c>
      <c r="I196" s="367">
        <v>0</v>
      </c>
      <c r="J196" s="367">
        <f t="shared" si="103"/>
        <v>0</v>
      </c>
      <c r="K196" s="367">
        <v>0</v>
      </c>
      <c r="L196" s="367">
        <v>0</v>
      </c>
      <c r="M196" s="367">
        <f t="shared" si="103"/>
        <v>0</v>
      </c>
      <c r="N196" s="367">
        <v>0</v>
      </c>
      <c r="O196" s="367">
        <f t="shared" si="103"/>
        <v>0</v>
      </c>
      <c r="P196" s="367">
        <f t="shared" si="103"/>
        <v>0</v>
      </c>
      <c r="Q196" s="367">
        <f t="shared" si="103"/>
        <v>0</v>
      </c>
    </row>
    <row r="197" spans="1:17" ht="30" x14ac:dyDescent="0.25">
      <c r="A197" s="341">
        <v>212228211</v>
      </c>
      <c r="B197" s="342" t="s">
        <v>642</v>
      </c>
      <c r="C197" s="368">
        <v>100000000</v>
      </c>
      <c r="D197" s="368">
        <v>0</v>
      </c>
      <c r="E197" s="368">
        <v>100000000</v>
      </c>
      <c r="F197" s="368">
        <v>0</v>
      </c>
      <c r="G197" s="368">
        <f t="shared" si="81"/>
        <v>0</v>
      </c>
      <c r="H197" s="368">
        <v>0</v>
      </c>
      <c r="I197" s="368">
        <v>0</v>
      </c>
      <c r="J197" s="368">
        <f t="shared" si="74"/>
        <v>0</v>
      </c>
      <c r="K197" s="368">
        <v>0</v>
      </c>
      <c r="L197" s="368">
        <v>0</v>
      </c>
      <c r="M197" s="368">
        <f t="shared" si="75"/>
        <v>0</v>
      </c>
      <c r="N197" s="368">
        <v>0</v>
      </c>
      <c r="O197" s="368">
        <f t="shared" si="76"/>
        <v>0</v>
      </c>
      <c r="P197" s="368">
        <f t="shared" si="77"/>
        <v>0</v>
      </c>
      <c r="Q197" s="368">
        <f t="shared" si="78"/>
        <v>0</v>
      </c>
    </row>
    <row r="198" spans="1:17" x14ac:dyDescent="0.25">
      <c r="A198" s="341">
        <v>21222822</v>
      </c>
      <c r="B198" s="342" t="s">
        <v>595</v>
      </c>
      <c r="C198" s="383">
        <v>480000000</v>
      </c>
      <c r="D198" s="368">
        <v>0</v>
      </c>
      <c r="E198" s="368">
        <v>0</v>
      </c>
      <c r="F198" s="368">
        <v>0</v>
      </c>
      <c r="G198" s="368">
        <f t="shared" si="81"/>
        <v>480000000</v>
      </c>
      <c r="H198" s="368">
        <v>77820000</v>
      </c>
      <c r="I198" s="368">
        <v>373949114</v>
      </c>
      <c r="J198" s="368">
        <f t="shared" si="74"/>
        <v>106050886</v>
      </c>
      <c r="K198" s="368">
        <v>30958731.379999999</v>
      </c>
      <c r="L198" s="368">
        <v>241111651.03999999</v>
      </c>
      <c r="M198" s="368">
        <f t="shared" si="75"/>
        <v>132837462.96000001</v>
      </c>
      <c r="N198" s="368">
        <v>392476353</v>
      </c>
      <c r="O198" s="368">
        <f t="shared" si="76"/>
        <v>18527239</v>
      </c>
      <c r="P198" s="368">
        <f t="shared" si="77"/>
        <v>87523647</v>
      </c>
      <c r="Q198" s="368">
        <f t="shared" si="78"/>
        <v>241111651.03999999</v>
      </c>
    </row>
    <row r="199" spans="1:17" ht="30" x14ac:dyDescent="0.25">
      <c r="A199" s="341">
        <v>21222823</v>
      </c>
      <c r="B199" s="342" t="s">
        <v>596</v>
      </c>
      <c r="C199" s="368">
        <v>80000000</v>
      </c>
      <c r="D199" s="368">
        <v>0</v>
      </c>
      <c r="E199" s="368">
        <v>0</v>
      </c>
      <c r="F199" s="368">
        <v>0</v>
      </c>
      <c r="G199" s="368">
        <f t="shared" si="81"/>
        <v>80000000</v>
      </c>
      <c r="H199" s="368">
        <v>0</v>
      </c>
      <c r="I199" s="368">
        <v>755833</v>
      </c>
      <c r="J199" s="368">
        <f t="shared" si="74"/>
        <v>79244167</v>
      </c>
      <c r="K199" s="368">
        <v>0</v>
      </c>
      <c r="L199" s="368">
        <v>755833</v>
      </c>
      <c r="M199" s="368">
        <f t="shared" si="75"/>
        <v>0</v>
      </c>
      <c r="N199" s="368">
        <v>755833</v>
      </c>
      <c r="O199" s="368">
        <f t="shared" si="76"/>
        <v>0</v>
      </c>
      <c r="P199" s="368">
        <f t="shared" si="77"/>
        <v>79244167</v>
      </c>
      <c r="Q199" s="368">
        <f t="shared" si="78"/>
        <v>755833</v>
      </c>
    </row>
    <row r="200" spans="1:17" s="100" customFormat="1" x14ac:dyDescent="0.25">
      <c r="A200" s="341">
        <v>21222824</v>
      </c>
      <c r="B200" s="342" t="s">
        <v>597</v>
      </c>
      <c r="C200" s="383">
        <v>220000000</v>
      </c>
      <c r="D200" s="368">
        <v>405000000</v>
      </c>
      <c r="E200" s="368">
        <v>0</v>
      </c>
      <c r="F200" s="368">
        <v>607500000</v>
      </c>
      <c r="G200" s="368">
        <f t="shared" si="81"/>
        <v>1232500000</v>
      </c>
      <c r="H200" s="368">
        <v>28000000</v>
      </c>
      <c r="I200" s="368">
        <v>937888483</v>
      </c>
      <c r="J200" s="368">
        <f t="shared" si="74"/>
        <v>294611517</v>
      </c>
      <c r="K200" s="368">
        <v>88650366</v>
      </c>
      <c r="L200" s="368">
        <v>853441399</v>
      </c>
      <c r="M200" s="368">
        <f t="shared" si="75"/>
        <v>84447084</v>
      </c>
      <c r="N200" s="368">
        <v>1229631113</v>
      </c>
      <c r="O200" s="368">
        <f t="shared" si="76"/>
        <v>291742630</v>
      </c>
      <c r="P200" s="368">
        <f t="shared" si="77"/>
        <v>2868887</v>
      </c>
      <c r="Q200" s="368">
        <f t="shared" si="78"/>
        <v>853441399</v>
      </c>
    </row>
    <row r="201" spans="1:17" ht="30" x14ac:dyDescent="0.25">
      <c r="A201" s="339">
        <v>2122283</v>
      </c>
      <c r="B201" s="340" t="s">
        <v>88</v>
      </c>
      <c r="C201" s="367">
        <f>+C202+C203+C204</f>
        <v>379000000</v>
      </c>
      <c r="D201" s="367">
        <f t="shared" ref="D201:Q201" si="104">+D202+D203+D204</f>
        <v>420117991</v>
      </c>
      <c r="E201" s="367">
        <f t="shared" si="104"/>
        <v>40000000</v>
      </c>
      <c r="F201" s="367">
        <f t="shared" si="104"/>
        <v>0</v>
      </c>
      <c r="G201" s="367">
        <f t="shared" si="104"/>
        <v>759117991</v>
      </c>
      <c r="H201" s="367">
        <v>19214475.379999999</v>
      </c>
      <c r="I201" s="367">
        <v>575241766.65999997</v>
      </c>
      <c r="J201" s="367">
        <f t="shared" si="104"/>
        <v>183876224.34000003</v>
      </c>
      <c r="K201" s="367">
        <v>13381142.380000001</v>
      </c>
      <c r="L201" s="367">
        <v>449037156.27999997</v>
      </c>
      <c r="M201" s="367">
        <f t="shared" si="104"/>
        <v>126204610.38</v>
      </c>
      <c r="N201" s="367">
        <v>583761175</v>
      </c>
      <c r="O201" s="367">
        <f t="shared" si="104"/>
        <v>8519408.3400000334</v>
      </c>
      <c r="P201" s="367">
        <f t="shared" si="104"/>
        <v>175356816</v>
      </c>
      <c r="Q201" s="367">
        <f t="shared" si="104"/>
        <v>449037156.27999997</v>
      </c>
    </row>
    <row r="202" spans="1:17" ht="30" x14ac:dyDescent="0.25">
      <c r="A202" s="341">
        <v>21222831</v>
      </c>
      <c r="B202" s="342" t="s">
        <v>596</v>
      </c>
      <c r="C202" s="368">
        <v>2000000</v>
      </c>
      <c r="D202" s="368">
        <v>0</v>
      </c>
      <c r="E202" s="368">
        <v>0</v>
      </c>
      <c r="F202" s="368">
        <v>0</v>
      </c>
      <c r="G202" s="368">
        <f t="shared" si="81"/>
        <v>2000000</v>
      </c>
      <c r="H202" s="368">
        <v>0</v>
      </c>
      <c r="I202" s="368">
        <v>500000</v>
      </c>
      <c r="J202" s="368">
        <f t="shared" ref="J202:J265" si="105">+G202-I202</f>
        <v>1500000</v>
      </c>
      <c r="K202" s="368">
        <v>0</v>
      </c>
      <c r="L202" s="368">
        <v>500000</v>
      </c>
      <c r="M202" s="368">
        <f t="shared" ref="M202:M265" si="106">+I202-L202</f>
        <v>0</v>
      </c>
      <c r="N202" s="368">
        <v>500000</v>
      </c>
      <c r="O202" s="368">
        <f t="shared" ref="O202:O265" si="107">+N202-I202</f>
        <v>0</v>
      </c>
      <c r="P202" s="368">
        <f t="shared" ref="P202:P265" si="108">+G202-N202</f>
        <v>1500000</v>
      </c>
      <c r="Q202" s="368">
        <f t="shared" si="78"/>
        <v>500000</v>
      </c>
    </row>
    <row r="203" spans="1:17" x14ac:dyDescent="0.25">
      <c r="A203" s="341">
        <v>21222832</v>
      </c>
      <c r="B203" s="342" t="s">
        <v>598</v>
      </c>
      <c r="C203" s="368">
        <v>337000000</v>
      </c>
      <c r="D203" s="368">
        <v>420117991</v>
      </c>
      <c r="E203" s="368">
        <v>0</v>
      </c>
      <c r="F203" s="368">
        <v>0</v>
      </c>
      <c r="G203" s="368">
        <f t="shared" si="81"/>
        <v>757117991</v>
      </c>
      <c r="H203" s="368">
        <v>19214475.379999999</v>
      </c>
      <c r="I203" s="368">
        <v>574741766.65999997</v>
      </c>
      <c r="J203" s="368">
        <f t="shared" si="105"/>
        <v>182376224.34000003</v>
      </c>
      <c r="K203" s="368">
        <v>13381142.380000001</v>
      </c>
      <c r="L203" s="368">
        <v>448537156.27999997</v>
      </c>
      <c r="M203" s="368">
        <f t="shared" si="106"/>
        <v>126204610.38</v>
      </c>
      <c r="N203" s="368">
        <v>583261175</v>
      </c>
      <c r="O203" s="368">
        <f t="shared" si="107"/>
        <v>8519408.3400000334</v>
      </c>
      <c r="P203" s="368">
        <f t="shared" si="108"/>
        <v>173856816</v>
      </c>
      <c r="Q203" s="368">
        <f t="shared" si="78"/>
        <v>448537156.27999997</v>
      </c>
    </row>
    <row r="204" spans="1:17" s="100" customFormat="1" x14ac:dyDescent="0.25">
      <c r="A204" s="341">
        <v>21222833</v>
      </c>
      <c r="B204" s="342" t="s">
        <v>599</v>
      </c>
      <c r="C204" s="368">
        <v>40000000</v>
      </c>
      <c r="D204" s="368">
        <v>0</v>
      </c>
      <c r="E204" s="368">
        <v>40000000</v>
      </c>
      <c r="F204" s="368">
        <v>0</v>
      </c>
      <c r="G204" s="368">
        <f t="shared" si="81"/>
        <v>0</v>
      </c>
      <c r="H204" s="368">
        <v>0</v>
      </c>
      <c r="I204" s="368">
        <v>0</v>
      </c>
      <c r="J204" s="368">
        <f t="shared" si="105"/>
        <v>0</v>
      </c>
      <c r="K204" s="368">
        <v>0</v>
      </c>
      <c r="L204" s="368">
        <v>0</v>
      </c>
      <c r="M204" s="368">
        <f t="shared" si="106"/>
        <v>0</v>
      </c>
      <c r="N204" s="368">
        <v>0</v>
      </c>
      <c r="O204" s="368">
        <f t="shared" si="107"/>
        <v>0</v>
      </c>
      <c r="P204" s="368">
        <f t="shared" si="108"/>
        <v>0</v>
      </c>
      <c r="Q204" s="368">
        <f t="shared" si="78"/>
        <v>0</v>
      </c>
    </row>
    <row r="205" spans="1:17" x14ac:dyDescent="0.25">
      <c r="A205" s="339">
        <v>2122284</v>
      </c>
      <c r="B205" s="340" t="s">
        <v>89</v>
      </c>
      <c r="C205" s="367">
        <f>+C206</f>
        <v>651800000</v>
      </c>
      <c r="D205" s="367">
        <f t="shared" ref="D205:Q205" si="109">+D206</f>
        <v>0</v>
      </c>
      <c r="E205" s="367">
        <f t="shared" si="109"/>
        <v>0</v>
      </c>
      <c r="F205" s="367">
        <f t="shared" si="109"/>
        <v>0</v>
      </c>
      <c r="G205" s="367">
        <f t="shared" si="109"/>
        <v>651800000</v>
      </c>
      <c r="H205" s="367">
        <v>0</v>
      </c>
      <c r="I205" s="367">
        <v>593650709.04999995</v>
      </c>
      <c r="J205" s="367">
        <f t="shared" si="109"/>
        <v>58149290.950000048</v>
      </c>
      <c r="K205" s="367">
        <v>56733084.829999998</v>
      </c>
      <c r="L205" s="367">
        <v>366718369.68000001</v>
      </c>
      <c r="M205" s="367">
        <f t="shared" si="109"/>
        <v>226932339.36999995</v>
      </c>
      <c r="N205" s="367">
        <v>594372408.70000005</v>
      </c>
      <c r="O205" s="367">
        <f t="shared" si="109"/>
        <v>721699.65000009537</v>
      </c>
      <c r="P205" s="367">
        <f t="shared" si="109"/>
        <v>57427591.299999952</v>
      </c>
      <c r="Q205" s="367">
        <f t="shared" si="109"/>
        <v>366718369.68000001</v>
      </c>
    </row>
    <row r="206" spans="1:17" s="100" customFormat="1" x14ac:dyDescent="0.25">
      <c r="A206" s="341">
        <v>21222841</v>
      </c>
      <c r="B206" s="342" t="s">
        <v>600</v>
      </c>
      <c r="C206" s="368">
        <v>651800000</v>
      </c>
      <c r="D206" s="368">
        <v>0</v>
      </c>
      <c r="E206" s="368">
        <v>0</v>
      </c>
      <c r="F206" s="368">
        <v>0</v>
      </c>
      <c r="G206" s="368">
        <f t="shared" si="81"/>
        <v>651800000</v>
      </c>
      <c r="H206" s="368">
        <v>0</v>
      </c>
      <c r="I206" s="368">
        <v>593650709.04999995</v>
      </c>
      <c r="J206" s="368">
        <f t="shared" si="105"/>
        <v>58149290.950000048</v>
      </c>
      <c r="K206" s="368">
        <v>56733084.829999998</v>
      </c>
      <c r="L206" s="368">
        <v>366718369.68000001</v>
      </c>
      <c r="M206" s="368">
        <f t="shared" si="106"/>
        <v>226932339.36999995</v>
      </c>
      <c r="N206" s="368">
        <v>594372408.70000005</v>
      </c>
      <c r="O206" s="368">
        <f t="shared" si="107"/>
        <v>721699.65000009537</v>
      </c>
      <c r="P206" s="368">
        <f t="shared" si="108"/>
        <v>57427591.299999952</v>
      </c>
      <c r="Q206" s="368">
        <f t="shared" si="78"/>
        <v>366718369.68000001</v>
      </c>
    </row>
    <row r="207" spans="1:17" s="100" customFormat="1" ht="30" x14ac:dyDescent="0.25">
      <c r="A207" s="339">
        <v>2122285</v>
      </c>
      <c r="B207" s="340" t="s">
        <v>90</v>
      </c>
      <c r="C207" s="367">
        <f>+C208+C211+C213</f>
        <v>119000000</v>
      </c>
      <c r="D207" s="367">
        <f t="shared" ref="D207:Q207" si="110">+D208+D211+D213</f>
        <v>99189704</v>
      </c>
      <c r="E207" s="367">
        <f t="shared" si="110"/>
        <v>129000000</v>
      </c>
      <c r="F207" s="367">
        <f t="shared" si="110"/>
        <v>0</v>
      </c>
      <c r="G207" s="367">
        <f t="shared" si="110"/>
        <v>89189704</v>
      </c>
      <c r="H207" s="367">
        <v>19988022.149999999</v>
      </c>
      <c r="I207" s="367">
        <v>89178926.150000006</v>
      </c>
      <c r="J207" s="367">
        <f t="shared" si="110"/>
        <v>10777.84999999404</v>
      </c>
      <c r="K207" s="367">
        <v>18969353.550000001</v>
      </c>
      <c r="L207" s="367">
        <v>64465024.399999999</v>
      </c>
      <c r="M207" s="367">
        <f t="shared" si="110"/>
        <v>24713901.750000007</v>
      </c>
      <c r="N207" s="367">
        <v>89189704</v>
      </c>
      <c r="O207" s="367">
        <f t="shared" si="110"/>
        <v>10777.84999999404</v>
      </c>
      <c r="P207" s="367">
        <f t="shared" si="110"/>
        <v>0</v>
      </c>
      <c r="Q207" s="367">
        <f t="shared" si="110"/>
        <v>0</v>
      </c>
    </row>
    <row r="208" spans="1:17" s="100" customFormat="1" x14ac:dyDescent="0.25">
      <c r="A208" s="339">
        <v>212228502</v>
      </c>
      <c r="B208" s="340" t="s">
        <v>819</v>
      </c>
      <c r="C208" s="367">
        <f>+C209+C210</f>
        <v>0</v>
      </c>
      <c r="D208" s="367">
        <f t="shared" ref="D208:Q208" si="111">+D209+D210</f>
        <v>10000000</v>
      </c>
      <c r="E208" s="367">
        <f t="shared" si="111"/>
        <v>10000000</v>
      </c>
      <c r="F208" s="367">
        <f t="shared" si="111"/>
        <v>0</v>
      </c>
      <c r="G208" s="367">
        <f t="shared" si="111"/>
        <v>0</v>
      </c>
      <c r="H208" s="367">
        <v>0</v>
      </c>
      <c r="I208" s="367">
        <v>0</v>
      </c>
      <c r="J208" s="367">
        <f t="shared" si="111"/>
        <v>0</v>
      </c>
      <c r="K208" s="367">
        <v>0</v>
      </c>
      <c r="L208" s="367">
        <v>0</v>
      </c>
      <c r="M208" s="367">
        <f t="shared" si="111"/>
        <v>0</v>
      </c>
      <c r="N208" s="367">
        <v>0</v>
      </c>
      <c r="O208" s="367">
        <f t="shared" si="111"/>
        <v>0</v>
      </c>
      <c r="P208" s="367">
        <f t="shared" si="111"/>
        <v>0</v>
      </c>
      <c r="Q208" s="367">
        <f t="shared" si="111"/>
        <v>0</v>
      </c>
    </row>
    <row r="209" spans="1:17" x14ac:dyDescent="0.25">
      <c r="A209" s="341">
        <v>21222850201</v>
      </c>
      <c r="B209" s="342" t="s">
        <v>820</v>
      </c>
      <c r="C209" s="368"/>
      <c r="D209" s="368">
        <v>5000000</v>
      </c>
      <c r="E209" s="368">
        <v>5000000</v>
      </c>
      <c r="F209" s="368">
        <v>0</v>
      </c>
      <c r="G209" s="368">
        <f t="shared" si="81"/>
        <v>0</v>
      </c>
      <c r="H209" s="368">
        <v>0</v>
      </c>
      <c r="I209" s="368">
        <v>0</v>
      </c>
      <c r="J209" s="368">
        <f t="shared" si="105"/>
        <v>0</v>
      </c>
      <c r="K209" s="368">
        <v>0</v>
      </c>
      <c r="L209" s="368">
        <v>0</v>
      </c>
      <c r="M209" s="368">
        <f t="shared" si="106"/>
        <v>0</v>
      </c>
      <c r="N209" s="368">
        <v>0</v>
      </c>
      <c r="O209" s="368">
        <f t="shared" si="107"/>
        <v>0</v>
      </c>
      <c r="P209" s="368">
        <f t="shared" si="108"/>
        <v>0</v>
      </c>
      <c r="Q209" s="368"/>
    </row>
    <row r="210" spans="1:17" x14ac:dyDescent="0.25">
      <c r="A210" s="341">
        <v>21222850202</v>
      </c>
      <c r="B210" s="342" t="s">
        <v>821</v>
      </c>
      <c r="C210" s="368"/>
      <c r="D210" s="368">
        <v>5000000</v>
      </c>
      <c r="E210" s="368">
        <v>5000000</v>
      </c>
      <c r="F210" s="368">
        <v>0</v>
      </c>
      <c r="G210" s="368">
        <f t="shared" ref="G210:G274" si="112">+C210+D210-E210+F210</f>
        <v>0</v>
      </c>
      <c r="H210" s="368">
        <v>0</v>
      </c>
      <c r="I210" s="368">
        <v>0</v>
      </c>
      <c r="J210" s="368">
        <f t="shared" si="105"/>
        <v>0</v>
      </c>
      <c r="K210" s="368">
        <v>0</v>
      </c>
      <c r="L210" s="368">
        <v>0</v>
      </c>
      <c r="M210" s="368">
        <f t="shared" si="106"/>
        <v>0</v>
      </c>
      <c r="N210" s="368">
        <v>0</v>
      </c>
      <c r="O210" s="368">
        <f t="shared" si="107"/>
        <v>0</v>
      </c>
      <c r="P210" s="368">
        <f t="shared" si="108"/>
        <v>0</v>
      </c>
      <c r="Q210" s="368"/>
    </row>
    <row r="211" spans="1:17" s="100" customFormat="1" x14ac:dyDescent="0.25">
      <c r="A211" s="339">
        <v>212228503</v>
      </c>
      <c r="B211" s="340" t="s">
        <v>822</v>
      </c>
      <c r="C211" s="367">
        <f>+C212</f>
        <v>0</v>
      </c>
      <c r="D211" s="367">
        <f t="shared" ref="D211:Q211" si="113">+D212</f>
        <v>89189704</v>
      </c>
      <c r="E211" s="367">
        <f t="shared" si="113"/>
        <v>0</v>
      </c>
      <c r="F211" s="367">
        <f t="shared" si="113"/>
        <v>0</v>
      </c>
      <c r="G211" s="367">
        <f t="shared" si="113"/>
        <v>89189704</v>
      </c>
      <c r="H211" s="367">
        <v>19988022.149999999</v>
      </c>
      <c r="I211" s="367">
        <v>89178926.150000006</v>
      </c>
      <c r="J211" s="367">
        <f t="shared" si="113"/>
        <v>10777.84999999404</v>
      </c>
      <c r="K211" s="367">
        <v>18969353.550000001</v>
      </c>
      <c r="L211" s="367">
        <v>64465024.399999999</v>
      </c>
      <c r="M211" s="367">
        <f t="shared" si="113"/>
        <v>24713901.750000007</v>
      </c>
      <c r="N211" s="367">
        <v>89189704</v>
      </c>
      <c r="O211" s="367">
        <f t="shared" si="113"/>
        <v>10777.84999999404</v>
      </c>
      <c r="P211" s="367">
        <f t="shared" si="113"/>
        <v>0</v>
      </c>
      <c r="Q211" s="367">
        <f t="shared" si="113"/>
        <v>0</v>
      </c>
    </row>
    <row r="212" spans="1:17" x14ac:dyDescent="0.25">
      <c r="A212" s="341">
        <v>21222850301</v>
      </c>
      <c r="B212" s="342" t="s">
        <v>823</v>
      </c>
      <c r="C212" s="368"/>
      <c r="D212" s="368">
        <f>69200000+19989704</f>
        <v>89189704</v>
      </c>
      <c r="E212" s="368">
        <v>0</v>
      </c>
      <c r="F212" s="368">
        <v>0</v>
      </c>
      <c r="G212" s="368">
        <f t="shared" si="112"/>
        <v>89189704</v>
      </c>
      <c r="H212" s="368">
        <v>19988022.149999999</v>
      </c>
      <c r="I212" s="368">
        <v>89178926.150000006</v>
      </c>
      <c r="J212" s="368">
        <f t="shared" si="105"/>
        <v>10777.84999999404</v>
      </c>
      <c r="K212" s="368">
        <v>18969353.550000001</v>
      </c>
      <c r="L212" s="368">
        <v>64465024.399999999</v>
      </c>
      <c r="M212" s="368">
        <f t="shared" si="106"/>
        <v>24713901.750000007</v>
      </c>
      <c r="N212" s="368">
        <v>89189704</v>
      </c>
      <c r="O212" s="368">
        <f t="shared" si="107"/>
        <v>10777.84999999404</v>
      </c>
      <c r="P212" s="368">
        <f t="shared" si="108"/>
        <v>0</v>
      </c>
      <c r="Q212" s="368"/>
    </row>
    <row r="213" spans="1:17" s="100" customFormat="1" ht="30" x14ac:dyDescent="0.25">
      <c r="A213" s="341">
        <v>21222851</v>
      </c>
      <c r="B213" s="342" t="s">
        <v>601</v>
      </c>
      <c r="C213" s="368">
        <v>119000000</v>
      </c>
      <c r="D213" s="368">
        <v>0</v>
      </c>
      <c r="E213" s="368">
        <v>119000000</v>
      </c>
      <c r="F213" s="368">
        <v>0</v>
      </c>
      <c r="G213" s="368">
        <f t="shared" si="112"/>
        <v>0</v>
      </c>
      <c r="H213" s="368">
        <v>0</v>
      </c>
      <c r="I213" s="368">
        <v>0</v>
      </c>
      <c r="J213" s="368">
        <f t="shared" si="105"/>
        <v>0</v>
      </c>
      <c r="K213" s="368">
        <v>0</v>
      </c>
      <c r="L213" s="368">
        <v>0</v>
      </c>
      <c r="M213" s="368">
        <f t="shared" si="106"/>
        <v>0</v>
      </c>
      <c r="N213" s="368">
        <v>0</v>
      </c>
      <c r="O213" s="368">
        <f t="shared" si="107"/>
        <v>0</v>
      </c>
      <c r="P213" s="368">
        <f t="shared" si="108"/>
        <v>0</v>
      </c>
      <c r="Q213" s="368">
        <f t="shared" si="78"/>
        <v>0</v>
      </c>
    </row>
    <row r="214" spans="1:17" s="100" customFormat="1" ht="30" x14ac:dyDescent="0.25">
      <c r="A214" s="337">
        <v>2122286</v>
      </c>
      <c r="B214" s="338" t="s">
        <v>91</v>
      </c>
      <c r="C214" s="366">
        <f>+C215+C217+C218</f>
        <v>49500000</v>
      </c>
      <c r="D214" s="366">
        <f t="shared" ref="D214:Q214" si="114">+D215+D217+D218</f>
        <v>35000000</v>
      </c>
      <c r="E214" s="366">
        <f t="shared" si="114"/>
        <v>0</v>
      </c>
      <c r="F214" s="366">
        <f t="shared" si="114"/>
        <v>0</v>
      </c>
      <c r="G214" s="366">
        <f t="shared" si="114"/>
        <v>84500000</v>
      </c>
      <c r="H214" s="366">
        <v>0</v>
      </c>
      <c r="I214" s="366">
        <v>1200000</v>
      </c>
      <c r="J214" s="366">
        <f t="shared" si="114"/>
        <v>70931996</v>
      </c>
      <c r="K214" s="366">
        <v>0</v>
      </c>
      <c r="L214" s="366">
        <v>1200000</v>
      </c>
      <c r="M214" s="366">
        <f t="shared" si="114"/>
        <v>6323369</v>
      </c>
      <c r="N214" s="366">
        <v>1200000</v>
      </c>
      <c r="O214" s="366">
        <f t="shared" si="114"/>
        <v>6159996</v>
      </c>
      <c r="P214" s="366">
        <f t="shared" si="114"/>
        <v>64772000</v>
      </c>
      <c r="Q214" s="366">
        <f t="shared" si="114"/>
        <v>7244635</v>
      </c>
    </row>
    <row r="215" spans="1:17" ht="30" x14ac:dyDescent="0.25">
      <c r="A215" s="339">
        <v>21222861</v>
      </c>
      <c r="B215" s="340" t="s">
        <v>92</v>
      </c>
      <c r="C215" s="367">
        <f>+C216</f>
        <v>30000000</v>
      </c>
      <c r="D215" s="367">
        <f t="shared" ref="D215:Q215" si="115">+D216</f>
        <v>0</v>
      </c>
      <c r="E215" s="367">
        <f t="shared" si="115"/>
        <v>0</v>
      </c>
      <c r="F215" s="367">
        <f t="shared" si="115"/>
        <v>0</v>
      </c>
      <c r="G215" s="367">
        <f t="shared" si="115"/>
        <v>30000000</v>
      </c>
      <c r="H215" s="367">
        <v>0</v>
      </c>
      <c r="I215" s="367">
        <v>500000</v>
      </c>
      <c r="J215" s="367">
        <f t="shared" si="115"/>
        <v>29500000</v>
      </c>
      <c r="K215" s="367">
        <v>0</v>
      </c>
      <c r="L215" s="367">
        <v>500000</v>
      </c>
      <c r="M215" s="367">
        <f t="shared" si="115"/>
        <v>0</v>
      </c>
      <c r="N215" s="367">
        <v>500000</v>
      </c>
      <c r="O215" s="367">
        <f t="shared" si="115"/>
        <v>0</v>
      </c>
      <c r="P215" s="367">
        <f t="shared" si="115"/>
        <v>29500000</v>
      </c>
      <c r="Q215" s="367">
        <f t="shared" si="115"/>
        <v>500000</v>
      </c>
    </row>
    <row r="216" spans="1:17" ht="30" x14ac:dyDescent="0.25">
      <c r="A216" s="341">
        <v>212228611</v>
      </c>
      <c r="B216" s="342" t="s">
        <v>602</v>
      </c>
      <c r="C216" s="368">
        <v>30000000</v>
      </c>
      <c r="D216" s="368">
        <v>0</v>
      </c>
      <c r="E216" s="368">
        <v>0</v>
      </c>
      <c r="F216" s="368">
        <v>0</v>
      </c>
      <c r="G216" s="368">
        <f t="shared" si="112"/>
        <v>30000000</v>
      </c>
      <c r="H216" s="368">
        <v>0</v>
      </c>
      <c r="I216" s="368">
        <v>500000</v>
      </c>
      <c r="J216" s="368">
        <f t="shared" si="105"/>
        <v>29500000</v>
      </c>
      <c r="K216" s="368">
        <v>0</v>
      </c>
      <c r="L216" s="368">
        <v>500000</v>
      </c>
      <c r="M216" s="368">
        <f t="shared" si="106"/>
        <v>0</v>
      </c>
      <c r="N216" s="368">
        <v>500000</v>
      </c>
      <c r="O216" s="368">
        <f t="shared" si="107"/>
        <v>0</v>
      </c>
      <c r="P216" s="368">
        <f t="shared" si="108"/>
        <v>29500000</v>
      </c>
      <c r="Q216" s="368">
        <f t="shared" ref="Q216:Q284" si="116">+L216</f>
        <v>500000</v>
      </c>
    </row>
    <row r="217" spans="1:17" ht="30" x14ac:dyDescent="0.25">
      <c r="A217" s="341">
        <v>21222862</v>
      </c>
      <c r="B217" s="342" t="s">
        <v>603</v>
      </c>
      <c r="C217" s="368">
        <v>1500000</v>
      </c>
      <c r="D217" s="368">
        <v>0</v>
      </c>
      <c r="E217" s="368">
        <v>0</v>
      </c>
      <c r="F217" s="368">
        <v>0</v>
      </c>
      <c r="G217" s="368">
        <f t="shared" si="112"/>
        <v>1500000</v>
      </c>
      <c r="H217" s="368">
        <v>0</v>
      </c>
      <c r="I217" s="368">
        <v>700000</v>
      </c>
      <c r="J217" s="368">
        <f t="shared" si="105"/>
        <v>800000</v>
      </c>
      <c r="K217" s="368">
        <v>0</v>
      </c>
      <c r="L217" s="368">
        <v>700000</v>
      </c>
      <c r="M217" s="368">
        <f t="shared" si="106"/>
        <v>0</v>
      </c>
      <c r="N217" s="368">
        <v>700000</v>
      </c>
      <c r="O217" s="368">
        <f t="shared" si="107"/>
        <v>0</v>
      </c>
      <c r="P217" s="368">
        <f t="shared" si="108"/>
        <v>800000</v>
      </c>
      <c r="Q217" s="368">
        <f t="shared" si="116"/>
        <v>700000</v>
      </c>
    </row>
    <row r="218" spans="1:17" s="100" customFormat="1" ht="30" x14ac:dyDescent="0.25">
      <c r="A218" s="341">
        <v>21222863</v>
      </c>
      <c r="B218" s="342" t="s">
        <v>604</v>
      </c>
      <c r="C218" s="368">
        <v>18000000</v>
      </c>
      <c r="D218" s="368">
        <v>35000000</v>
      </c>
      <c r="E218" s="368">
        <v>0</v>
      </c>
      <c r="F218" s="368">
        <v>0</v>
      </c>
      <c r="G218" s="368">
        <f t="shared" si="112"/>
        <v>53000000</v>
      </c>
      <c r="H218" s="368">
        <v>1217000</v>
      </c>
      <c r="I218" s="368">
        <v>12368004</v>
      </c>
      <c r="J218" s="368">
        <f t="shared" si="105"/>
        <v>40631996</v>
      </c>
      <c r="K218" s="368">
        <v>0</v>
      </c>
      <c r="L218" s="368">
        <v>6044635</v>
      </c>
      <c r="M218" s="368">
        <f t="shared" si="106"/>
        <v>6323369</v>
      </c>
      <c r="N218" s="368">
        <v>18528000</v>
      </c>
      <c r="O218" s="368">
        <f t="shared" si="107"/>
        <v>6159996</v>
      </c>
      <c r="P218" s="368">
        <f t="shared" si="108"/>
        <v>34472000</v>
      </c>
      <c r="Q218" s="368">
        <f t="shared" si="116"/>
        <v>6044635</v>
      </c>
    </row>
    <row r="219" spans="1:17" ht="30" x14ac:dyDescent="0.25">
      <c r="A219" s="339">
        <v>2122287</v>
      </c>
      <c r="B219" s="340" t="s">
        <v>93</v>
      </c>
      <c r="C219" s="367">
        <f>+C220</f>
        <v>30000000</v>
      </c>
      <c r="D219" s="367">
        <f t="shared" ref="D219:Q219" si="117">+D220</f>
        <v>200000000</v>
      </c>
      <c r="E219" s="367">
        <f t="shared" si="117"/>
        <v>0</v>
      </c>
      <c r="F219" s="367">
        <f t="shared" si="117"/>
        <v>0</v>
      </c>
      <c r="G219" s="367">
        <f t="shared" si="117"/>
        <v>230000000</v>
      </c>
      <c r="H219" s="367">
        <v>75756150</v>
      </c>
      <c r="I219" s="367">
        <v>152950000</v>
      </c>
      <c r="J219" s="367">
        <f t="shared" si="117"/>
        <v>77050000</v>
      </c>
      <c r="K219" s="367">
        <v>0</v>
      </c>
      <c r="L219" s="367">
        <v>77193850</v>
      </c>
      <c r="M219" s="367">
        <f t="shared" si="117"/>
        <v>75756150</v>
      </c>
      <c r="N219" s="367">
        <v>169600000</v>
      </c>
      <c r="O219" s="367">
        <f t="shared" si="117"/>
        <v>16650000</v>
      </c>
      <c r="P219" s="367">
        <f t="shared" si="117"/>
        <v>60400000</v>
      </c>
      <c r="Q219" s="367">
        <f t="shared" si="117"/>
        <v>77193850</v>
      </c>
    </row>
    <row r="220" spans="1:17" s="100" customFormat="1" x14ac:dyDescent="0.25">
      <c r="A220" s="341">
        <v>21222871</v>
      </c>
      <c r="B220" s="342" t="s">
        <v>605</v>
      </c>
      <c r="C220" s="368">
        <v>30000000</v>
      </c>
      <c r="D220" s="368">
        <v>200000000</v>
      </c>
      <c r="E220" s="368">
        <v>0</v>
      </c>
      <c r="F220" s="368">
        <v>0</v>
      </c>
      <c r="G220" s="368">
        <f t="shared" si="112"/>
        <v>230000000</v>
      </c>
      <c r="H220" s="368">
        <v>75756150</v>
      </c>
      <c r="I220" s="368">
        <v>152950000</v>
      </c>
      <c r="J220" s="368">
        <f t="shared" si="105"/>
        <v>77050000</v>
      </c>
      <c r="K220" s="368">
        <v>0</v>
      </c>
      <c r="L220" s="368">
        <v>77193850</v>
      </c>
      <c r="M220" s="368">
        <f t="shared" si="106"/>
        <v>75756150</v>
      </c>
      <c r="N220" s="368">
        <v>169600000</v>
      </c>
      <c r="O220" s="368">
        <f t="shared" si="107"/>
        <v>16650000</v>
      </c>
      <c r="P220" s="368">
        <f t="shared" si="108"/>
        <v>60400000</v>
      </c>
      <c r="Q220" s="368">
        <f t="shared" si="116"/>
        <v>77193850</v>
      </c>
    </row>
    <row r="221" spans="1:17" s="100" customFormat="1" ht="30" x14ac:dyDescent="0.25">
      <c r="A221" s="337">
        <v>212229</v>
      </c>
      <c r="B221" s="338" t="s">
        <v>94</v>
      </c>
      <c r="C221" s="366">
        <f>+C222+C225+C228+C231</f>
        <v>725000000</v>
      </c>
      <c r="D221" s="366">
        <f t="shared" ref="D221:Q221" si="118">+D222+D225+D228+D231</f>
        <v>0</v>
      </c>
      <c r="E221" s="366">
        <f t="shared" si="118"/>
        <v>180000000</v>
      </c>
      <c r="F221" s="366">
        <f t="shared" si="118"/>
        <v>150000000</v>
      </c>
      <c r="G221" s="366">
        <f t="shared" si="118"/>
        <v>695000000</v>
      </c>
      <c r="H221" s="366">
        <v>19952250</v>
      </c>
      <c r="I221" s="366">
        <v>522868453</v>
      </c>
      <c r="J221" s="366">
        <f t="shared" si="118"/>
        <v>172131547</v>
      </c>
      <c r="K221" s="366">
        <v>38304379</v>
      </c>
      <c r="L221" s="366">
        <v>395630470</v>
      </c>
      <c r="M221" s="366">
        <f t="shared" si="118"/>
        <v>127237983</v>
      </c>
      <c r="N221" s="366">
        <v>633812577</v>
      </c>
      <c r="O221" s="366">
        <f t="shared" si="118"/>
        <v>110944124</v>
      </c>
      <c r="P221" s="366">
        <f t="shared" si="118"/>
        <v>61187423</v>
      </c>
      <c r="Q221" s="366">
        <f t="shared" si="118"/>
        <v>395630470</v>
      </c>
    </row>
    <row r="222" spans="1:17" x14ac:dyDescent="0.25">
      <c r="A222" s="339">
        <v>2122291</v>
      </c>
      <c r="B222" s="340" t="s">
        <v>95</v>
      </c>
      <c r="C222" s="367">
        <f>+C223+C224</f>
        <v>440000000</v>
      </c>
      <c r="D222" s="367">
        <f t="shared" ref="D222:Q222" si="119">+D223+D224</f>
        <v>0</v>
      </c>
      <c r="E222" s="367">
        <f t="shared" si="119"/>
        <v>150000000</v>
      </c>
      <c r="F222" s="367">
        <f t="shared" si="119"/>
        <v>150000000</v>
      </c>
      <c r="G222" s="367">
        <f t="shared" si="119"/>
        <v>440000000</v>
      </c>
      <c r="H222" s="367">
        <v>9600000</v>
      </c>
      <c r="I222" s="367">
        <v>309750008</v>
      </c>
      <c r="J222" s="367">
        <f t="shared" si="119"/>
        <v>130249992</v>
      </c>
      <c r="K222" s="367">
        <v>28363829</v>
      </c>
      <c r="L222" s="367">
        <v>209673067</v>
      </c>
      <c r="M222" s="367">
        <f t="shared" si="119"/>
        <v>100076941</v>
      </c>
      <c r="N222" s="367">
        <v>419501724</v>
      </c>
      <c r="O222" s="367">
        <f t="shared" si="119"/>
        <v>109751716</v>
      </c>
      <c r="P222" s="367">
        <f t="shared" si="119"/>
        <v>20498276</v>
      </c>
      <c r="Q222" s="367">
        <f t="shared" si="119"/>
        <v>209673067</v>
      </c>
    </row>
    <row r="223" spans="1:17" x14ac:dyDescent="0.25">
      <c r="A223" s="341">
        <v>21222911</v>
      </c>
      <c r="B223" s="342" t="s">
        <v>606</v>
      </c>
      <c r="C223" s="383">
        <v>190000000</v>
      </c>
      <c r="D223" s="368">
        <v>0</v>
      </c>
      <c r="E223" s="368">
        <v>150000000</v>
      </c>
      <c r="F223" s="368">
        <v>0</v>
      </c>
      <c r="G223" s="368">
        <f t="shared" si="112"/>
        <v>40000000</v>
      </c>
      <c r="H223" s="368">
        <v>0</v>
      </c>
      <c r="I223" s="368">
        <v>40000000</v>
      </c>
      <c r="J223" s="368">
        <f t="shared" si="105"/>
        <v>0</v>
      </c>
      <c r="K223" s="368">
        <v>0</v>
      </c>
      <c r="L223" s="368">
        <v>40000000</v>
      </c>
      <c r="M223" s="368">
        <f t="shared" si="106"/>
        <v>0</v>
      </c>
      <c r="N223" s="368">
        <v>40000000</v>
      </c>
      <c r="O223" s="368">
        <f t="shared" si="107"/>
        <v>0</v>
      </c>
      <c r="P223" s="368">
        <f t="shared" si="108"/>
        <v>0</v>
      </c>
      <c r="Q223" s="368">
        <f t="shared" si="116"/>
        <v>40000000</v>
      </c>
    </row>
    <row r="224" spans="1:17" s="100" customFormat="1" x14ac:dyDescent="0.25">
      <c r="A224" s="341">
        <v>21222912</v>
      </c>
      <c r="B224" s="342" t="s">
        <v>607</v>
      </c>
      <c r="C224" s="383">
        <v>250000000</v>
      </c>
      <c r="D224" s="368">
        <v>0</v>
      </c>
      <c r="E224" s="368">
        <v>0</v>
      </c>
      <c r="F224" s="368">
        <v>150000000</v>
      </c>
      <c r="G224" s="368">
        <f t="shared" si="112"/>
        <v>400000000</v>
      </c>
      <c r="H224" s="368">
        <v>9600000</v>
      </c>
      <c r="I224" s="368">
        <v>269750008</v>
      </c>
      <c r="J224" s="368">
        <f t="shared" si="105"/>
        <v>130249992</v>
      </c>
      <c r="K224" s="368">
        <v>28363829</v>
      </c>
      <c r="L224" s="368">
        <v>169673067</v>
      </c>
      <c r="M224" s="368">
        <f t="shared" si="106"/>
        <v>100076941</v>
      </c>
      <c r="N224" s="368">
        <v>379501724</v>
      </c>
      <c r="O224" s="368">
        <f t="shared" si="107"/>
        <v>109751716</v>
      </c>
      <c r="P224" s="368">
        <f t="shared" si="108"/>
        <v>20498276</v>
      </c>
      <c r="Q224" s="368">
        <f t="shared" si="116"/>
        <v>169673067</v>
      </c>
    </row>
    <row r="225" spans="1:17" ht="45" x14ac:dyDescent="0.25">
      <c r="A225" s="339">
        <v>2122293</v>
      </c>
      <c r="B225" s="340" t="s">
        <v>96</v>
      </c>
      <c r="C225" s="367">
        <f>+C226+C227</f>
        <v>93000000</v>
      </c>
      <c r="D225" s="367">
        <f t="shared" ref="D225:Q225" si="120">+D226+D227</f>
        <v>0</v>
      </c>
      <c r="E225" s="367">
        <f t="shared" si="120"/>
        <v>0</v>
      </c>
      <c r="F225" s="367">
        <f t="shared" si="120"/>
        <v>0</v>
      </c>
      <c r="G225" s="367">
        <f t="shared" si="120"/>
        <v>93000000</v>
      </c>
      <c r="H225" s="367">
        <v>10352250</v>
      </c>
      <c r="I225" s="367">
        <v>77322720</v>
      </c>
      <c r="J225" s="367">
        <f t="shared" si="120"/>
        <v>15677280</v>
      </c>
      <c r="K225" s="367">
        <v>9940550</v>
      </c>
      <c r="L225" s="367">
        <v>53213470</v>
      </c>
      <c r="M225" s="367">
        <f t="shared" si="120"/>
        <v>24109250</v>
      </c>
      <c r="N225" s="367">
        <v>78495070</v>
      </c>
      <c r="O225" s="367">
        <f t="shared" si="120"/>
        <v>1172350</v>
      </c>
      <c r="P225" s="367">
        <f t="shared" si="120"/>
        <v>14504930</v>
      </c>
      <c r="Q225" s="367">
        <f t="shared" si="120"/>
        <v>53213470</v>
      </c>
    </row>
    <row r="226" spans="1:17" ht="30" x14ac:dyDescent="0.25">
      <c r="A226" s="341">
        <v>21222931</v>
      </c>
      <c r="B226" s="342" t="s">
        <v>608</v>
      </c>
      <c r="C226" s="368">
        <v>57000000</v>
      </c>
      <c r="D226" s="368">
        <v>0</v>
      </c>
      <c r="E226" s="368">
        <v>0</v>
      </c>
      <c r="F226" s="368">
        <v>0</v>
      </c>
      <c r="G226" s="368">
        <f t="shared" si="112"/>
        <v>57000000</v>
      </c>
      <c r="H226" s="368">
        <v>10352250</v>
      </c>
      <c r="I226" s="368">
        <v>41322720</v>
      </c>
      <c r="J226" s="368">
        <f t="shared" si="105"/>
        <v>15677280</v>
      </c>
      <c r="K226" s="368">
        <v>9456050</v>
      </c>
      <c r="L226" s="368">
        <v>44154770</v>
      </c>
      <c r="M226" s="368">
        <f t="shared" si="106"/>
        <v>-2832050</v>
      </c>
      <c r="N226" s="368">
        <v>42495070</v>
      </c>
      <c r="O226" s="368">
        <f t="shared" si="107"/>
        <v>1172350</v>
      </c>
      <c r="P226" s="368">
        <f t="shared" si="108"/>
        <v>14504930</v>
      </c>
      <c r="Q226" s="368">
        <f t="shared" si="116"/>
        <v>44154770</v>
      </c>
    </row>
    <row r="227" spans="1:17" s="100" customFormat="1" x14ac:dyDescent="0.25">
      <c r="A227" s="341">
        <v>21222936</v>
      </c>
      <c r="B227" s="342" t="s">
        <v>609</v>
      </c>
      <c r="C227" s="368">
        <v>36000000</v>
      </c>
      <c r="D227" s="368">
        <v>0</v>
      </c>
      <c r="E227" s="368">
        <v>0</v>
      </c>
      <c r="F227" s="368">
        <v>0</v>
      </c>
      <c r="G227" s="368">
        <f t="shared" si="112"/>
        <v>36000000</v>
      </c>
      <c r="H227" s="368">
        <v>0</v>
      </c>
      <c r="I227" s="368">
        <v>36000000</v>
      </c>
      <c r="J227" s="368">
        <f t="shared" si="105"/>
        <v>0</v>
      </c>
      <c r="K227" s="368">
        <v>484500</v>
      </c>
      <c r="L227" s="368">
        <v>9058700</v>
      </c>
      <c r="M227" s="368">
        <f t="shared" si="106"/>
        <v>26941300</v>
      </c>
      <c r="N227" s="368">
        <v>36000000</v>
      </c>
      <c r="O227" s="368">
        <f t="shared" si="107"/>
        <v>0</v>
      </c>
      <c r="P227" s="368">
        <f t="shared" si="108"/>
        <v>0</v>
      </c>
      <c r="Q227" s="368">
        <f t="shared" si="116"/>
        <v>9058700</v>
      </c>
    </row>
    <row r="228" spans="1:17" x14ac:dyDescent="0.25">
      <c r="A228" s="339">
        <v>2122294</v>
      </c>
      <c r="B228" s="340" t="s">
        <v>97</v>
      </c>
      <c r="C228" s="367">
        <f>+C229+C230</f>
        <v>115000000</v>
      </c>
      <c r="D228" s="367">
        <f t="shared" ref="D228:Q228" si="121">+D229+D230</f>
        <v>0</v>
      </c>
      <c r="E228" s="367">
        <f t="shared" si="121"/>
        <v>30000000</v>
      </c>
      <c r="F228" s="367">
        <f t="shared" si="121"/>
        <v>0</v>
      </c>
      <c r="G228" s="367">
        <f t="shared" si="121"/>
        <v>85000000</v>
      </c>
      <c r="H228" s="367">
        <v>0</v>
      </c>
      <c r="I228" s="367">
        <v>85000000</v>
      </c>
      <c r="J228" s="367">
        <f t="shared" si="121"/>
        <v>0</v>
      </c>
      <c r="K228" s="367">
        <v>0</v>
      </c>
      <c r="L228" s="367">
        <v>85000000</v>
      </c>
      <c r="M228" s="367">
        <f t="shared" si="121"/>
        <v>0</v>
      </c>
      <c r="N228" s="367">
        <v>85000000</v>
      </c>
      <c r="O228" s="367">
        <f t="shared" si="121"/>
        <v>0</v>
      </c>
      <c r="P228" s="367">
        <f t="shared" si="121"/>
        <v>0</v>
      </c>
      <c r="Q228" s="367">
        <f t="shared" si="121"/>
        <v>85000000</v>
      </c>
    </row>
    <row r="229" spans="1:17" ht="30" x14ac:dyDescent="0.25">
      <c r="A229" s="341">
        <v>21222941</v>
      </c>
      <c r="B229" s="342" t="s">
        <v>643</v>
      </c>
      <c r="C229" s="368">
        <v>30000000</v>
      </c>
      <c r="D229" s="368">
        <v>0</v>
      </c>
      <c r="E229" s="368">
        <v>30000000</v>
      </c>
      <c r="F229" s="368">
        <v>0</v>
      </c>
      <c r="G229" s="368">
        <f t="shared" si="112"/>
        <v>0</v>
      </c>
      <c r="H229" s="368">
        <v>0</v>
      </c>
      <c r="I229" s="368">
        <v>0</v>
      </c>
      <c r="J229" s="368">
        <f t="shared" si="105"/>
        <v>0</v>
      </c>
      <c r="K229" s="368">
        <v>0</v>
      </c>
      <c r="L229" s="368">
        <v>0</v>
      </c>
      <c r="M229" s="368">
        <f t="shared" si="106"/>
        <v>0</v>
      </c>
      <c r="N229" s="368">
        <v>0</v>
      </c>
      <c r="O229" s="368">
        <f t="shared" si="107"/>
        <v>0</v>
      </c>
      <c r="P229" s="368">
        <f t="shared" si="108"/>
        <v>0</v>
      </c>
      <c r="Q229" s="368">
        <f t="shared" si="116"/>
        <v>0</v>
      </c>
    </row>
    <row r="230" spans="1:17" s="100" customFormat="1" x14ac:dyDescent="0.25">
      <c r="A230" s="341">
        <v>21222942</v>
      </c>
      <c r="B230" s="342" t="s">
        <v>610</v>
      </c>
      <c r="C230" s="368">
        <v>85000000</v>
      </c>
      <c r="D230" s="368">
        <v>0</v>
      </c>
      <c r="E230" s="368">
        <v>0</v>
      </c>
      <c r="F230" s="368">
        <v>0</v>
      </c>
      <c r="G230" s="368">
        <f t="shared" si="112"/>
        <v>85000000</v>
      </c>
      <c r="H230" s="368">
        <v>0</v>
      </c>
      <c r="I230" s="368">
        <v>85000000</v>
      </c>
      <c r="J230" s="368">
        <f t="shared" si="105"/>
        <v>0</v>
      </c>
      <c r="K230" s="368">
        <v>0</v>
      </c>
      <c r="L230" s="368">
        <v>85000000</v>
      </c>
      <c r="M230" s="368">
        <f t="shared" si="106"/>
        <v>0</v>
      </c>
      <c r="N230" s="368">
        <v>85000000</v>
      </c>
      <c r="O230" s="368">
        <f t="shared" si="107"/>
        <v>0</v>
      </c>
      <c r="P230" s="368">
        <f t="shared" si="108"/>
        <v>0</v>
      </c>
      <c r="Q230" s="368">
        <f t="shared" si="116"/>
        <v>85000000</v>
      </c>
    </row>
    <row r="231" spans="1:17" x14ac:dyDescent="0.25">
      <c r="A231" s="339">
        <v>2122296</v>
      </c>
      <c r="B231" s="340" t="s">
        <v>98</v>
      </c>
      <c r="C231" s="367">
        <f>+C232+C233+C234+C235</f>
        <v>77000000</v>
      </c>
      <c r="D231" s="367">
        <f t="shared" ref="D231:Q231" si="122">+D232+D233+D234+D235</f>
        <v>0</v>
      </c>
      <c r="E231" s="367">
        <f t="shared" si="122"/>
        <v>0</v>
      </c>
      <c r="F231" s="367">
        <f t="shared" si="122"/>
        <v>0</v>
      </c>
      <c r="G231" s="367">
        <f t="shared" si="122"/>
        <v>77000000</v>
      </c>
      <c r="H231" s="367">
        <v>0</v>
      </c>
      <c r="I231" s="367">
        <v>50795725</v>
      </c>
      <c r="J231" s="367">
        <f t="shared" si="122"/>
        <v>26204275</v>
      </c>
      <c r="K231" s="367">
        <v>0</v>
      </c>
      <c r="L231" s="367">
        <v>47743933</v>
      </c>
      <c r="M231" s="367">
        <f t="shared" si="122"/>
        <v>3051792</v>
      </c>
      <c r="N231" s="367">
        <v>50815783</v>
      </c>
      <c r="O231" s="367">
        <f t="shared" si="122"/>
        <v>20058</v>
      </c>
      <c r="P231" s="367">
        <f t="shared" si="122"/>
        <v>26184217</v>
      </c>
      <c r="Q231" s="367">
        <f t="shared" si="122"/>
        <v>47743933</v>
      </c>
    </row>
    <row r="232" spans="1:17" x14ac:dyDescent="0.25">
      <c r="A232" s="341">
        <v>21222961</v>
      </c>
      <c r="B232" s="342" t="s">
        <v>611</v>
      </c>
      <c r="C232" s="368">
        <v>50000000</v>
      </c>
      <c r="D232" s="368">
        <v>0</v>
      </c>
      <c r="E232" s="368">
        <v>0</v>
      </c>
      <c r="F232" s="368">
        <v>0</v>
      </c>
      <c r="G232" s="368">
        <f t="shared" si="112"/>
        <v>50000000</v>
      </c>
      <c r="H232" s="368">
        <v>0</v>
      </c>
      <c r="I232" s="368">
        <v>40502942</v>
      </c>
      <c r="J232" s="368">
        <f t="shared" si="105"/>
        <v>9497058</v>
      </c>
      <c r="K232" s="368">
        <v>0</v>
      </c>
      <c r="L232" s="368">
        <v>40556242</v>
      </c>
      <c r="M232" s="368">
        <f t="shared" si="106"/>
        <v>-53300</v>
      </c>
      <c r="N232" s="368">
        <v>40515783</v>
      </c>
      <c r="O232" s="368">
        <f t="shared" si="107"/>
        <v>12841</v>
      </c>
      <c r="P232" s="368">
        <f t="shared" si="108"/>
        <v>9484217</v>
      </c>
      <c r="Q232" s="368">
        <f t="shared" si="116"/>
        <v>40556242</v>
      </c>
    </row>
    <row r="233" spans="1:17" ht="30" x14ac:dyDescent="0.25">
      <c r="A233" s="341">
        <v>21222962</v>
      </c>
      <c r="B233" s="342" t="s">
        <v>612</v>
      </c>
      <c r="C233" s="368">
        <v>9000000</v>
      </c>
      <c r="D233" s="368">
        <v>0</v>
      </c>
      <c r="E233" s="368">
        <v>0</v>
      </c>
      <c r="F233" s="368">
        <v>0</v>
      </c>
      <c r="G233" s="368">
        <f t="shared" si="112"/>
        <v>9000000</v>
      </c>
      <c r="H233" s="368">
        <v>0</v>
      </c>
      <c r="I233" s="368">
        <v>0</v>
      </c>
      <c r="J233" s="368">
        <f t="shared" si="105"/>
        <v>9000000</v>
      </c>
      <c r="K233" s="368">
        <v>0</v>
      </c>
      <c r="L233" s="368">
        <v>0</v>
      </c>
      <c r="M233" s="368">
        <f t="shared" si="106"/>
        <v>0</v>
      </c>
      <c r="N233" s="368">
        <v>0</v>
      </c>
      <c r="O233" s="368">
        <f t="shared" si="107"/>
        <v>0</v>
      </c>
      <c r="P233" s="368">
        <f t="shared" si="108"/>
        <v>9000000</v>
      </c>
      <c r="Q233" s="368">
        <f t="shared" si="116"/>
        <v>0</v>
      </c>
    </row>
    <row r="234" spans="1:17" x14ac:dyDescent="0.25">
      <c r="A234" s="341">
        <v>21222963</v>
      </c>
      <c r="B234" s="342" t="s">
        <v>613</v>
      </c>
      <c r="C234" s="368">
        <v>8000000</v>
      </c>
      <c r="D234" s="368">
        <v>0</v>
      </c>
      <c r="E234" s="368">
        <v>0</v>
      </c>
      <c r="F234" s="368">
        <v>0</v>
      </c>
      <c r="G234" s="368">
        <f t="shared" si="112"/>
        <v>8000000</v>
      </c>
      <c r="H234" s="368">
        <v>0</v>
      </c>
      <c r="I234" s="368">
        <v>300000</v>
      </c>
      <c r="J234" s="368">
        <f t="shared" si="105"/>
        <v>7700000</v>
      </c>
      <c r="K234" s="368">
        <v>0</v>
      </c>
      <c r="L234" s="368">
        <v>300000</v>
      </c>
      <c r="M234" s="368">
        <f t="shared" si="106"/>
        <v>0</v>
      </c>
      <c r="N234" s="368">
        <v>300000</v>
      </c>
      <c r="O234" s="368">
        <f t="shared" si="107"/>
        <v>0</v>
      </c>
      <c r="P234" s="368">
        <f t="shared" si="108"/>
        <v>7700000</v>
      </c>
      <c r="Q234" s="368">
        <f t="shared" si="116"/>
        <v>300000</v>
      </c>
    </row>
    <row r="235" spans="1:17" s="100" customFormat="1" x14ac:dyDescent="0.25">
      <c r="A235" s="341">
        <v>21222964</v>
      </c>
      <c r="B235" s="342" t="s">
        <v>614</v>
      </c>
      <c r="C235" s="368">
        <v>10000000</v>
      </c>
      <c r="D235" s="368">
        <v>0</v>
      </c>
      <c r="E235" s="368">
        <v>0</v>
      </c>
      <c r="F235" s="368">
        <v>0</v>
      </c>
      <c r="G235" s="368">
        <f t="shared" si="112"/>
        <v>10000000</v>
      </c>
      <c r="H235" s="368">
        <v>0</v>
      </c>
      <c r="I235" s="368">
        <v>9992783</v>
      </c>
      <c r="J235" s="368">
        <f t="shared" si="105"/>
        <v>7217</v>
      </c>
      <c r="K235" s="368">
        <v>0</v>
      </c>
      <c r="L235" s="368">
        <v>6887691</v>
      </c>
      <c r="M235" s="368">
        <f t="shared" si="106"/>
        <v>3105092</v>
      </c>
      <c r="N235" s="368">
        <v>10000000</v>
      </c>
      <c r="O235" s="368">
        <f t="shared" si="107"/>
        <v>7217</v>
      </c>
      <c r="P235" s="368">
        <f t="shared" si="108"/>
        <v>0</v>
      </c>
      <c r="Q235" s="368">
        <f t="shared" si="116"/>
        <v>6887691</v>
      </c>
    </row>
    <row r="236" spans="1:17" s="100" customFormat="1" x14ac:dyDescent="0.25">
      <c r="A236" s="335">
        <v>214</v>
      </c>
      <c r="B236" s="336" t="s">
        <v>824</v>
      </c>
      <c r="C236" s="365">
        <f>+C237</f>
        <v>0</v>
      </c>
      <c r="D236" s="365">
        <f t="shared" ref="D236:Q238" si="123">+D237</f>
        <v>0</v>
      </c>
      <c r="E236" s="365">
        <f t="shared" si="123"/>
        <v>0</v>
      </c>
      <c r="F236" s="365">
        <f t="shared" si="123"/>
        <v>81466480.730000004</v>
      </c>
      <c r="G236" s="365">
        <f t="shared" si="123"/>
        <v>81466480.730000004</v>
      </c>
      <c r="H236" s="365">
        <v>0</v>
      </c>
      <c r="I236" s="365">
        <v>24093096</v>
      </c>
      <c r="J236" s="365">
        <f t="shared" si="123"/>
        <v>57373384.730000004</v>
      </c>
      <c r="K236" s="365">
        <v>0</v>
      </c>
      <c r="L236" s="365">
        <v>0</v>
      </c>
      <c r="M236" s="365">
        <f t="shared" si="123"/>
        <v>24093096</v>
      </c>
      <c r="N236" s="365">
        <v>58190000</v>
      </c>
      <c r="O236" s="365">
        <f t="shared" si="123"/>
        <v>34096904</v>
      </c>
      <c r="P236" s="365">
        <f t="shared" si="123"/>
        <v>23276480.730000004</v>
      </c>
      <c r="Q236" s="365">
        <f t="shared" si="123"/>
        <v>0</v>
      </c>
    </row>
    <row r="237" spans="1:17" s="100" customFormat="1" x14ac:dyDescent="0.25">
      <c r="A237" s="335">
        <v>2143</v>
      </c>
      <c r="B237" s="336" t="s">
        <v>825</v>
      </c>
      <c r="C237" s="365">
        <f>+C238</f>
        <v>0</v>
      </c>
      <c r="D237" s="365">
        <f t="shared" si="123"/>
        <v>0</v>
      </c>
      <c r="E237" s="365">
        <f t="shared" si="123"/>
        <v>0</v>
      </c>
      <c r="F237" s="365">
        <f t="shared" si="123"/>
        <v>81466480.730000004</v>
      </c>
      <c r="G237" s="365">
        <f t="shared" si="123"/>
        <v>81466480.730000004</v>
      </c>
      <c r="H237" s="365">
        <v>0</v>
      </c>
      <c r="I237" s="365">
        <v>24093096</v>
      </c>
      <c r="J237" s="365">
        <f t="shared" si="123"/>
        <v>57373384.730000004</v>
      </c>
      <c r="K237" s="365">
        <v>0</v>
      </c>
      <c r="L237" s="365">
        <v>0</v>
      </c>
      <c r="M237" s="365">
        <f t="shared" si="123"/>
        <v>24093096</v>
      </c>
      <c r="N237" s="365">
        <v>58190000</v>
      </c>
      <c r="O237" s="365">
        <f t="shared" si="123"/>
        <v>34096904</v>
      </c>
      <c r="P237" s="365">
        <f t="shared" si="123"/>
        <v>23276480.730000004</v>
      </c>
      <c r="Q237" s="365">
        <f t="shared" si="123"/>
        <v>0</v>
      </c>
    </row>
    <row r="238" spans="1:17" x14ac:dyDescent="0.25">
      <c r="A238" s="339">
        <v>21431</v>
      </c>
      <c r="B238" s="340" t="s">
        <v>826</v>
      </c>
      <c r="C238" s="367">
        <f>+C239</f>
        <v>0</v>
      </c>
      <c r="D238" s="367">
        <f t="shared" si="123"/>
        <v>0</v>
      </c>
      <c r="E238" s="367">
        <f t="shared" si="123"/>
        <v>0</v>
      </c>
      <c r="F238" s="367">
        <f t="shared" si="123"/>
        <v>81466480.730000004</v>
      </c>
      <c r="G238" s="367">
        <f t="shared" si="123"/>
        <v>81466480.730000004</v>
      </c>
      <c r="H238" s="367">
        <v>0</v>
      </c>
      <c r="I238" s="367">
        <v>24093096</v>
      </c>
      <c r="J238" s="367">
        <f t="shared" si="123"/>
        <v>57373384.730000004</v>
      </c>
      <c r="K238" s="367">
        <v>0</v>
      </c>
      <c r="L238" s="367">
        <v>0</v>
      </c>
      <c r="M238" s="367">
        <f t="shared" si="123"/>
        <v>24093096</v>
      </c>
      <c r="N238" s="367">
        <v>58190000</v>
      </c>
      <c r="O238" s="367">
        <f t="shared" si="123"/>
        <v>34096904</v>
      </c>
      <c r="P238" s="367">
        <f t="shared" si="123"/>
        <v>23276480.730000004</v>
      </c>
      <c r="Q238" s="367">
        <f t="shared" si="123"/>
        <v>0</v>
      </c>
    </row>
    <row r="239" spans="1:17" s="100" customFormat="1" x14ac:dyDescent="0.25">
      <c r="A239" s="341">
        <v>2143101</v>
      </c>
      <c r="B239" s="342" t="s">
        <v>827</v>
      </c>
      <c r="C239" s="368"/>
      <c r="D239" s="368">
        <v>0</v>
      </c>
      <c r="E239" s="368">
        <v>0</v>
      </c>
      <c r="F239" s="368">
        <f>81466420.73+60</f>
        <v>81466480.730000004</v>
      </c>
      <c r="G239" s="368">
        <f t="shared" si="112"/>
        <v>81466480.730000004</v>
      </c>
      <c r="H239" s="368">
        <v>0</v>
      </c>
      <c r="I239" s="368">
        <v>24093096</v>
      </c>
      <c r="J239" s="368">
        <f t="shared" si="105"/>
        <v>57373384.730000004</v>
      </c>
      <c r="K239" s="368">
        <v>0</v>
      </c>
      <c r="L239" s="368">
        <v>0</v>
      </c>
      <c r="M239" s="368">
        <f t="shared" si="106"/>
        <v>24093096</v>
      </c>
      <c r="N239" s="368">
        <v>58190000</v>
      </c>
      <c r="O239" s="368">
        <f t="shared" si="107"/>
        <v>34096904</v>
      </c>
      <c r="P239" s="368">
        <f t="shared" si="108"/>
        <v>23276480.730000004</v>
      </c>
      <c r="Q239" s="368"/>
    </row>
    <row r="240" spans="1:17" x14ac:dyDescent="0.25">
      <c r="A240" s="335">
        <v>217</v>
      </c>
      <c r="B240" s="336" t="s">
        <v>99</v>
      </c>
      <c r="C240" s="365">
        <f>+C241</f>
        <v>4366488983</v>
      </c>
      <c r="D240" s="365">
        <f t="shared" ref="D240:Q240" si="124">+D241</f>
        <v>0</v>
      </c>
      <c r="E240" s="365">
        <f t="shared" si="124"/>
        <v>0</v>
      </c>
      <c r="F240" s="365">
        <f t="shared" si="124"/>
        <v>0</v>
      </c>
      <c r="G240" s="365">
        <f t="shared" si="124"/>
        <v>4366488983</v>
      </c>
      <c r="H240" s="365">
        <v>15097317</v>
      </c>
      <c r="I240" s="365">
        <v>4218198452</v>
      </c>
      <c r="J240" s="365">
        <f t="shared" si="124"/>
        <v>148290531</v>
      </c>
      <c r="K240" s="365">
        <v>13680114</v>
      </c>
      <c r="L240" s="365">
        <v>4218198452</v>
      </c>
      <c r="M240" s="365">
        <f t="shared" si="124"/>
        <v>0</v>
      </c>
      <c r="N240" s="365">
        <v>4218198452</v>
      </c>
      <c r="O240" s="365">
        <f t="shared" si="124"/>
        <v>0</v>
      </c>
      <c r="P240" s="365">
        <f t="shared" si="124"/>
        <v>148290531</v>
      </c>
      <c r="Q240" s="365">
        <f t="shared" si="124"/>
        <v>4218198452</v>
      </c>
    </row>
    <row r="241" spans="1:17" s="100" customFormat="1" x14ac:dyDescent="0.25">
      <c r="A241" s="341">
        <v>2171</v>
      </c>
      <c r="B241" s="342" t="s">
        <v>615</v>
      </c>
      <c r="C241" s="368">
        <v>4366488983</v>
      </c>
      <c r="D241" s="368">
        <v>0</v>
      </c>
      <c r="E241" s="368">
        <v>0</v>
      </c>
      <c r="F241" s="368">
        <v>0</v>
      </c>
      <c r="G241" s="368">
        <f t="shared" si="112"/>
        <v>4366488983</v>
      </c>
      <c r="H241" s="368">
        <v>15097317</v>
      </c>
      <c r="I241" s="368">
        <v>4218198452</v>
      </c>
      <c r="J241" s="368">
        <f t="shared" si="105"/>
        <v>148290531</v>
      </c>
      <c r="K241" s="368">
        <v>13680114</v>
      </c>
      <c r="L241" s="368">
        <v>4218198452</v>
      </c>
      <c r="M241" s="368">
        <f t="shared" si="106"/>
        <v>0</v>
      </c>
      <c r="N241" s="368">
        <v>4218198452</v>
      </c>
      <c r="O241" s="368">
        <f t="shared" si="107"/>
        <v>0</v>
      </c>
      <c r="P241" s="368">
        <f t="shared" si="108"/>
        <v>148290531</v>
      </c>
      <c r="Q241" s="368">
        <f t="shared" si="116"/>
        <v>4218198452</v>
      </c>
    </row>
    <row r="242" spans="1:17" s="100" customFormat="1" ht="30" x14ac:dyDescent="0.25">
      <c r="A242" s="335">
        <v>218</v>
      </c>
      <c r="B242" s="336" t="s">
        <v>100</v>
      </c>
      <c r="C242" s="365">
        <f>+C243</f>
        <v>748133878</v>
      </c>
      <c r="D242" s="365">
        <f t="shared" ref="D242:Q242" si="125">+D243</f>
        <v>20312351</v>
      </c>
      <c r="E242" s="365">
        <f t="shared" si="125"/>
        <v>358775800</v>
      </c>
      <c r="F242" s="365">
        <f t="shared" si="125"/>
        <v>0</v>
      </c>
      <c r="G242" s="365">
        <f t="shared" si="125"/>
        <v>409670429</v>
      </c>
      <c r="H242" s="365">
        <v>8027808</v>
      </c>
      <c r="I242" s="365">
        <v>402316808</v>
      </c>
      <c r="J242" s="365">
        <f t="shared" si="125"/>
        <v>7353621</v>
      </c>
      <c r="K242" s="365">
        <v>8027808</v>
      </c>
      <c r="L242" s="365">
        <v>403113005</v>
      </c>
      <c r="M242" s="365">
        <f t="shared" si="125"/>
        <v>-796197</v>
      </c>
      <c r="N242" s="365">
        <v>402316808</v>
      </c>
      <c r="O242" s="365">
        <f t="shared" si="125"/>
        <v>0</v>
      </c>
      <c r="P242" s="365">
        <f t="shared" si="125"/>
        <v>7353621</v>
      </c>
      <c r="Q242" s="365">
        <f t="shared" si="125"/>
        <v>387848316</v>
      </c>
    </row>
    <row r="243" spans="1:17" s="100" customFormat="1" x14ac:dyDescent="0.25">
      <c r="A243" s="335">
        <v>2181</v>
      </c>
      <c r="B243" s="336" t="s">
        <v>101</v>
      </c>
      <c r="C243" s="365">
        <f>+C244+C246+C249</f>
        <v>748133878</v>
      </c>
      <c r="D243" s="365">
        <f t="shared" ref="D243:Q243" si="126">+D244+D246+D249</f>
        <v>20312351</v>
      </c>
      <c r="E243" s="365">
        <f t="shared" si="126"/>
        <v>358775800</v>
      </c>
      <c r="F243" s="365">
        <f t="shared" si="126"/>
        <v>0</v>
      </c>
      <c r="G243" s="365">
        <f t="shared" si="126"/>
        <v>409670429</v>
      </c>
      <c r="H243" s="365">
        <v>8027808</v>
      </c>
      <c r="I243" s="365">
        <v>402316808</v>
      </c>
      <c r="J243" s="365">
        <f t="shared" si="126"/>
        <v>7353621</v>
      </c>
      <c r="K243" s="365">
        <v>8027808</v>
      </c>
      <c r="L243" s="365">
        <v>403113005</v>
      </c>
      <c r="M243" s="365">
        <f t="shared" si="126"/>
        <v>-796197</v>
      </c>
      <c r="N243" s="365">
        <v>402316808</v>
      </c>
      <c r="O243" s="365">
        <f t="shared" si="126"/>
        <v>0</v>
      </c>
      <c r="P243" s="365">
        <f t="shared" si="126"/>
        <v>7353621</v>
      </c>
      <c r="Q243" s="365">
        <f t="shared" si="126"/>
        <v>387848316</v>
      </c>
    </row>
    <row r="244" spans="1:17" x14ac:dyDescent="0.25">
      <c r="A244" s="339">
        <v>21811</v>
      </c>
      <c r="B244" s="340" t="s">
        <v>102</v>
      </c>
      <c r="C244" s="367">
        <f>+C245</f>
        <v>384000000</v>
      </c>
      <c r="D244" s="367">
        <f t="shared" ref="D244:Q244" si="127">+D245</f>
        <v>0</v>
      </c>
      <c r="E244" s="367">
        <f t="shared" si="127"/>
        <v>358775800</v>
      </c>
      <c r="F244" s="367">
        <f t="shared" si="127"/>
        <v>0</v>
      </c>
      <c r="G244" s="367">
        <f t="shared" si="127"/>
        <v>25224200</v>
      </c>
      <c r="H244" s="367">
        <v>0</v>
      </c>
      <c r="I244" s="367">
        <v>25224200</v>
      </c>
      <c r="J244" s="367">
        <f t="shared" si="127"/>
        <v>0</v>
      </c>
      <c r="K244" s="367">
        <v>0</v>
      </c>
      <c r="L244" s="367">
        <v>25224200</v>
      </c>
      <c r="M244" s="367">
        <f t="shared" si="127"/>
        <v>0</v>
      </c>
      <c r="N244" s="367">
        <v>25224200</v>
      </c>
      <c r="O244" s="367">
        <f t="shared" si="127"/>
        <v>0</v>
      </c>
      <c r="P244" s="367">
        <f t="shared" si="127"/>
        <v>0</v>
      </c>
      <c r="Q244" s="367">
        <f t="shared" si="127"/>
        <v>25224200</v>
      </c>
    </row>
    <row r="245" spans="1:17" s="100" customFormat="1" x14ac:dyDescent="0.25">
      <c r="A245" s="341">
        <v>218111</v>
      </c>
      <c r="B245" s="342" t="s">
        <v>616</v>
      </c>
      <c r="C245" s="368">
        <v>384000000</v>
      </c>
      <c r="D245" s="368">
        <v>0</v>
      </c>
      <c r="E245" s="368">
        <f>275000000+83775800</f>
        <v>358775800</v>
      </c>
      <c r="F245" s="368">
        <v>0</v>
      </c>
      <c r="G245" s="368">
        <f t="shared" si="112"/>
        <v>25224200</v>
      </c>
      <c r="H245" s="368">
        <v>0</v>
      </c>
      <c r="I245" s="368">
        <v>25224200</v>
      </c>
      <c r="J245" s="368">
        <f t="shared" si="105"/>
        <v>0</v>
      </c>
      <c r="K245" s="368">
        <v>0</v>
      </c>
      <c r="L245" s="368">
        <v>25224200</v>
      </c>
      <c r="M245" s="368">
        <f t="shared" si="106"/>
        <v>0</v>
      </c>
      <c r="N245" s="368">
        <v>25224200</v>
      </c>
      <c r="O245" s="368">
        <f t="shared" si="107"/>
        <v>0</v>
      </c>
      <c r="P245" s="368">
        <f t="shared" si="108"/>
        <v>0</v>
      </c>
      <c r="Q245" s="368">
        <f t="shared" si="116"/>
        <v>25224200</v>
      </c>
    </row>
    <row r="246" spans="1:17" x14ac:dyDescent="0.25">
      <c r="A246" s="339">
        <v>21812</v>
      </c>
      <c r="B246" s="340" t="s">
        <v>103</v>
      </c>
      <c r="C246" s="367">
        <f>+C247+C248</f>
        <v>364133878</v>
      </c>
      <c r="D246" s="367">
        <f t="shared" ref="D246:Q246" si="128">+D247+D248</f>
        <v>20000000</v>
      </c>
      <c r="E246" s="367">
        <f t="shared" si="128"/>
        <v>0</v>
      </c>
      <c r="F246" s="367">
        <f t="shared" si="128"/>
        <v>0</v>
      </c>
      <c r="G246" s="367">
        <f t="shared" si="128"/>
        <v>384133878</v>
      </c>
      <c r="H246" s="367">
        <v>8027808</v>
      </c>
      <c r="I246" s="367">
        <v>376780257</v>
      </c>
      <c r="J246" s="367">
        <f t="shared" si="128"/>
        <v>7353621</v>
      </c>
      <c r="K246" s="367">
        <v>8027808</v>
      </c>
      <c r="L246" s="367">
        <v>377576454</v>
      </c>
      <c r="M246" s="367">
        <f t="shared" si="128"/>
        <v>-796197</v>
      </c>
      <c r="N246" s="367">
        <v>376780257</v>
      </c>
      <c r="O246" s="367">
        <f t="shared" si="128"/>
        <v>0</v>
      </c>
      <c r="P246" s="367">
        <f t="shared" si="128"/>
        <v>7353621</v>
      </c>
      <c r="Q246" s="367">
        <f t="shared" si="128"/>
        <v>362624116</v>
      </c>
    </row>
    <row r="247" spans="1:17" x14ac:dyDescent="0.25">
      <c r="A247" s="341">
        <v>2181202</v>
      </c>
      <c r="B247" s="342" t="s">
        <v>828</v>
      </c>
      <c r="C247" s="368"/>
      <c r="D247" s="368">
        <v>20000000</v>
      </c>
      <c r="E247" s="368">
        <v>0</v>
      </c>
      <c r="F247" s="368">
        <v>0</v>
      </c>
      <c r="G247" s="368">
        <f t="shared" si="112"/>
        <v>20000000</v>
      </c>
      <c r="H247" s="368">
        <v>8027808</v>
      </c>
      <c r="I247" s="368">
        <v>14156141</v>
      </c>
      <c r="J247" s="368">
        <f t="shared" si="105"/>
        <v>5843859</v>
      </c>
      <c r="K247" s="368">
        <v>8027808</v>
      </c>
      <c r="L247" s="368">
        <v>14952338</v>
      </c>
      <c r="M247" s="368">
        <f t="shared" si="106"/>
        <v>-796197</v>
      </c>
      <c r="N247" s="368">
        <v>14156141</v>
      </c>
      <c r="O247" s="368">
        <f t="shared" si="107"/>
        <v>0</v>
      </c>
      <c r="P247" s="368">
        <f t="shared" si="108"/>
        <v>5843859</v>
      </c>
      <c r="Q247" s="368"/>
    </row>
    <row r="248" spans="1:17" s="100" customFormat="1" x14ac:dyDescent="0.25">
      <c r="A248" s="341">
        <v>218121</v>
      </c>
      <c r="B248" s="342" t="s">
        <v>617</v>
      </c>
      <c r="C248" s="368">
        <v>364133878</v>
      </c>
      <c r="D248" s="368">
        <v>0</v>
      </c>
      <c r="E248" s="368">
        <v>0</v>
      </c>
      <c r="F248" s="368">
        <v>0</v>
      </c>
      <c r="G248" s="368">
        <f t="shared" si="112"/>
        <v>364133878</v>
      </c>
      <c r="H248" s="368">
        <v>0</v>
      </c>
      <c r="I248" s="368">
        <v>362624116</v>
      </c>
      <c r="J248" s="368">
        <f t="shared" si="105"/>
        <v>1509762</v>
      </c>
      <c r="K248" s="368">
        <v>0</v>
      </c>
      <c r="L248" s="368">
        <v>362624116</v>
      </c>
      <c r="M248" s="368">
        <f t="shared" si="106"/>
        <v>0</v>
      </c>
      <c r="N248" s="368">
        <v>362624116</v>
      </c>
      <c r="O248" s="368">
        <f t="shared" si="107"/>
        <v>0</v>
      </c>
      <c r="P248" s="368">
        <f t="shared" si="108"/>
        <v>1509762</v>
      </c>
      <c r="Q248" s="368">
        <f t="shared" si="116"/>
        <v>362624116</v>
      </c>
    </row>
    <row r="249" spans="1:17" s="100" customFormat="1" x14ac:dyDescent="0.25">
      <c r="A249" s="341">
        <v>21813</v>
      </c>
      <c r="B249" s="342" t="s">
        <v>856</v>
      </c>
      <c r="C249" s="368"/>
      <c r="D249" s="368">
        <v>312351</v>
      </c>
      <c r="E249" s="368">
        <v>0</v>
      </c>
      <c r="F249" s="368">
        <v>0</v>
      </c>
      <c r="G249" s="368">
        <f t="shared" si="112"/>
        <v>312351</v>
      </c>
      <c r="H249" s="368">
        <v>0</v>
      </c>
      <c r="I249" s="368">
        <v>312351</v>
      </c>
      <c r="J249" s="368">
        <f t="shared" si="105"/>
        <v>0</v>
      </c>
      <c r="K249" s="368">
        <v>0</v>
      </c>
      <c r="L249" s="368">
        <v>312351</v>
      </c>
      <c r="M249" s="368">
        <f t="shared" si="106"/>
        <v>0</v>
      </c>
      <c r="N249" s="368">
        <v>312351</v>
      </c>
      <c r="O249" s="368">
        <f t="shared" si="107"/>
        <v>0</v>
      </c>
      <c r="P249" s="368">
        <f t="shared" si="108"/>
        <v>0</v>
      </c>
      <c r="Q249" s="368"/>
    </row>
    <row r="250" spans="1:17" s="100" customFormat="1" x14ac:dyDescent="0.25">
      <c r="A250" s="335">
        <v>23</v>
      </c>
      <c r="B250" s="336" t="s">
        <v>104</v>
      </c>
      <c r="C250" s="365">
        <f>+C251+C280+C318+C323+C335+C411</f>
        <v>10950809240</v>
      </c>
      <c r="D250" s="365">
        <f t="shared" ref="D250:Q250" si="129">+D251+D280+D318+D323+D335+D411</f>
        <v>8979378326</v>
      </c>
      <c r="E250" s="365">
        <f t="shared" si="129"/>
        <v>8775378326</v>
      </c>
      <c r="F250" s="365">
        <f t="shared" si="129"/>
        <v>22324135022.509998</v>
      </c>
      <c r="G250" s="365">
        <f t="shared" si="129"/>
        <v>33478944262.510002</v>
      </c>
      <c r="H250" s="365">
        <f t="shared" si="129"/>
        <v>1818063291.8000002</v>
      </c>
      <c r="I250" s="365">
        <f t="shared" si="129"/>
        <v>13516664151.699999</v>
      </c>
      <c r="J250" s="365">
        <f t="shared" si="129"/>
        <v>18525827928.169998</v>
      </c>
      <c r="K250" s="365">
        <f t="shared" si="129"/>
        <v>1654182927.71</v>
      </c>
      <c r="L250" s="365">
        <f t="shared" si="129"/>
        <v>8323049344.8900013</v>
      </c>
      <c r="M250" s="365">
        <f t="shared" si="129"/>
        <v>4605876418.4099998</v>
      </c>
      <c r="N250" s="365">
        <f t="shared" si="129"/>
        <v>16252119262.08</v>
      </c>
      <c r="O250" s="365">
        <f t="shared" si="129"/>
        <v>2572676474.3800001</v>
      </c>
      <c r="P250" s="365">
        <f t="shared" si="129"/>
        <v>16110131774.829998</v>
      </c>
      <c r="Q250" s="365">
        <f t="shared" si="129"/>
        <v>6857628668.79</v>
      </c>
    </row>
    <row r="251" spans="1:17" x14ac:dyDescent="0.25">
      <c r="A251" s="335">
        <v>231</v>
      </c>
      <c r="B251" s="336" t="s">
        <v>105</v>
      </c>
      <c r="C251" s="365">
        <f>+C252+C255+C259+C275+C278</f>
        <v>4085000000</v>
      </c>
      <c r="D251" s="365">
        <f t="shared" ref="D251:Q251" si="130">+D252+D255+D259+D275+D278</f>
        <v>703452900</v>
      </c>
      <c r="E251" s="365">
        <f t="shared" si="130"/>
        <v>1254000000</v>
      </c>
      <c r="F251" s="365">
        <f t="shared" si="130"/>
        <v>7219207388</v>
      </c>
      <c r="G251" s="365">
        <f t="shared" si="130"/>
        <v>10753660288</v>
      </c>
      <c r="H251" s="365">
        <v>996812997</v>
      </c>
      <c r="I251" s="365">
        <v>5017685867.8899994</v>
      </c>
      <c r="J251" s="365">
        <f t="shared" si="130"/>
        <v>5735974420.1100006</v>
      </c>
      <c r="K251" s="365">
        <v>679380784</v>
      </c>
      <c r="L251" s="365">
        <v>3128334452.8899999</v>
      </c>
      <c r="M251" s="365">
        <f t="shared" si="130"/>
        <v>1889351415</v>
      </c>
      <c r="N251" s="365">
        <v>6052534014.8899994</v>
      </c>
      <c r="O251" s="365">
        <f t="shared" si="130"/>
        <v>1034848147</v>
      </c>
      <c r="P251" s="365">
        <f t="shared" si="130"/>
        <v>4701126273.1100006</v>
      </c>
      <c r="Q251" s="365">
        <f t="shared" si="130"/>
        <v>3128334452.8899999</v>
      </c>
    </row>
    <row r="252" spans="1:17" ht="30" x14ac:dyDescent="0.25">
      <c r="A252" s="335">
        <v>2311</v>
      </c>
      <c r="B252" s="336" t="s">
        <v>106</v>
      </c>
      <c r="C252" s="365">
        <f>+C253+C254</f>
        <v>515000000</v>
      </c>
      <c r="D252" s="365">
        <f t="shared" ref="D252:Q252" si="131">+D253+D254</f>
        <v>0</v>
      </c>
      <c r="E252" s="365">
        <f t="shared" si="131"/>
        <v>190000000</v>
      </c>
      <c r="F252" s="365">
        <f t="shared" si="131"/>
        <v>0</v>
      </c>
      <c r="G252" s="365">
        <f t="shared" si="131"/>
        <v>325000000</v>
      </c>
      <c r="H252" s="365">
        <v>5591368</v>
      </c>
      <c r="I252" s="365">
        <v>110103364</v>
      </c>
      <c r="J252" s="365">
        <f t="shared" si="131"/>
        <v>214896636</v>
      </c>
      <c r="K252" s="365">
        <v>900000</v>
      </c>
      <c r="L252" s="365">
        <v>63032906</v>
      </c>
      <c r="M252" s="365">
        <f t="shared" si="131"/>
        <v>47070458</v>
      </c>
      <c r="N252" s="365">
        <v>157724274</v>
      </c>
      <c r="O252" s="365">
        <f t="shared" si="131"/>
        <v>47620910</v>
      </c>
      <c r="P252" s="365">
        <f t="shared" si="131"/>
        <v>167275726</v>
      </c>
      <c r="Q252" s="365">
        <f t="shared" si="131"/>
        <v>63032906</v>
      </c>
    </row>
    <row r="253" spans="1:17" s="100" customFormat="1" x14ac:dyDescent="0.25">
      <c r="A253" s="341">
        <v>23112</v>
      </c>
      <c r="B253" s="342" t="s">
        <v>618</v>
      </c>
      <c r="C253" s="368">
        <v>190000000</v>
      </c>
      <c r="D253" s="368">
        <v>0</v>
      </c>
      <c r="E253" s="368">
        <v>190000000</v>
      </c>
      <c r="F253" s="368">
        <v>0</v>
      </c>
      <c r="G253" s="368">
        <f t="shared" si="112"/>
        <v>0</v>
      </c>
      <c r="H253" s="368">
        <v>0</v>
      </c>
      <c r="I253" s="368">
        <v>0</v>
      </c>
      <c r="J253" s="368">
        <f t="shared" si="105"/>
        <v>0</v>
      </c>
      <c r="K253" s="368">
        <v>0</v>
      </c>
      <c r="L253" s="368">
        <v>0</v>
      </c>
      <c r="M253" s="368">
        <f t="shared" si="106"/>
        <v>0</v>
      </c>
      <c r="N253" s="368">
        <v>0</v>
      </c>
      <c r="O253" s="368">
        <f t="shared" si="107"/>
        <v>0</v>
      </c>
      <c r="P253" s="368">
        <f t="shared" si="108"/>
        <v>0</v>
      </c>
      <c r="Q253" s="368">
        <f t="shared" si="116"/>
        <v>0</v>
      </c>
    </row>
    <row r="254" spans="1:17" s="100" customFormat="1" x14ac:dyDescent="0.25">
      <c r="A254" s="341">
        <v>23113</v>
      </c>
      <c r="B254" s="342" t="s">
        <v>644</v>
      </c>
      <c r="C254" s="368">
        <v>325000000</v>
      </c>
      <c r="D254" s="368">
        <v>0</v>
      </c>
      <c r="E254" s="368">
        <v>0</v>
      </c>
      <c r="F254" s="368">
        <v>0</v>
      </c>
      <c r="G254" s="368">
        <f t="shared" si="112"/>
        <v>325000000</v>
      </c>
      <c r="H254" s="368">
        <v>5591368</v>
      </c>
      <c r="I254" s="368">
        <v>110103364</v>
      </c>
      <c r="J254" s="368">
        <f t="shared" si="105"/>
        <v>214896636</v>
      </c>
      <c r="K254" s="368">
        <v>900000</v>
      </c>
      <c r="L254" s="368">
        <v>63032906</v>
      </c>
      <c r="M254" s="368">
        <f t="shared" si="106"/>
        <v>47070458</v>
      </c>
      <c r="N254" s="368">
        <v>157724274</v>
      </c>
      <c r="O254" s="368">
        <f t="shared" si="107"/>
        <v>47620910</v>
      </c>
      <c r="P254" s="368">
        <f t="shared" si="108"/>
        <v>167275726</v>
      </c>
      <c r="Q254" s="368">
        <f t="shared" si="116"/>
        <v>63032906</v>
      </c>
    </row>
    <row r="255" spans="1:17" x14ac:dyDescent="0.25">
      <c r="A255" s="335">
        <v>2312</v>
      </c>
      <c r="B255" s="336" t="s">
        <v>107</v>
      </c>
      <c r="C255" s="365">
        <f>+C256+C258</f>
        <v>1850000000</v>
      </c>
      <c r="D255" s="365">
        <f t="shared" ref="D255:Q255" si="132">+D256+D258</f>
        <v>0</v>
      </c>
      <c r="E255" s="365">
        <f t="shared" si="132"/>
        <v>934000000</v>
      </c>
      <c r="F255" s="365">
        <f t="shared" si="132"/>
        <v>400000000</v>
      </c>
      <c r="G255" s="365">
        <f t="shared" si="132"/>
        <v>1316000000</v>
      </c>
      <c r="H255" s="365">
        <v>12000000</v>
      </c>
      <c r="I255" s="365">
        <v>448605245</v>
      </c>
      <c r="J255" s="365">
        <f t="shared" si="132"/>
        <v>867394755</v>
      </c>
      <c r="K255" s="365">
        <v>2500000</v>
      </c>
      <c r="L255" s="365">
        <v>33783406</v>
      </c>
      <c r="M255" s="365">
        <f t="shared" si="132"/>
        <v>414821839</v>
      </c>
      <c r="N255" s="365">
        <v>455954745</v>
      </c>
      <c r="O255" s="365">
        <f t="shared" si="132"/>
        <v>7349500</v>
      </c>
      <c r="P255" s="365">
        <f t="shared" si="132"/>
        <v>860045255</v>
      </c>
      <c r="Q255" s="365">
        <f t="shared" si="132"/>
        <v>33783406</v>
      </c>
    </row>
    <row r="256" spans="1:17" x14ac:dyDescent="0.25">
      <c r="A256" s="339">
        <v>23122</v>
      </c>
      <c r="B256" s="340" t="s">
        <v>108</v>
      </c>
      <c r="C256" s="367">
        <f>+C257</f>
        <v>1400000000</v>
      </c>
      <c r="D256" s="367">
        <f t="shared" ref="D256:Q256" si="133">+D257</f>
        <v>0</v>
      </c>
      <c r="E256" s="367">
        <f t="shared" si="133"/>
        <v>934000000</v>
      </c>
      <c r="F256" s="367">
        <f t="shared" si="133"/>
        <v>400000000</v>
      </c>
      <c r="G256" s="367">
        <f t="shared" si="133"/>
        <v>866000000</v>
      </c>
      <c r="H256" s="367">
        <v>0</v>
      </c>
      <c r="I256" s="367">
        <v>365593745</v>
      </c>
      <c r="J256" s="367">
        <f t="shared" si="133"/>
        <v>500406255</v>
      </c>
      <c r="K256" s="367">
        <v>0</v>
      </c>
      <c r="L256" s="367">
        <v>30271906</v>
      </c>
      <c r="M256" s="367">
        <f t="shared" si="133"/>
        <v>335321839</v>
      </c>
      <c r="N256" s="367">
        <v>365593745</v>
      </c>
      <c r="O256" s="367">
        <f t="shared" si="133"/>
        <v>0</v>
      </c>
      <c r="P256" s="367">
        <f t="shared" si="133"/>
        <v>500406255</v>
      </c>
      <c r="Q256" s="367">
        <f t="shared" si="133"/>
        <v>30271906</v>
      </c>
    </row>
    <row r="257" spans="1:17" s="100" customFormat="1" x14ac:dyDescent="0.25">
      <c r="A257" s="341">
        <v>231221</v>
      </c>
      <c r="B257" s="342" t="s">
        <v>109</v>
      </c>
      <c r="C257" s="368">
        <v>1400000000</v>
      </c>
      <c r="D257" s="368">
        <v>0</v>
      </c>
      <c r="E257" s="368">
        <f>400000000+534000000</f>
        <v>934000000</v>
      </c>
      <c r="F257" s="368">
        <v>400000000</v>
      </c>
      <c r="G257" s="368">
        <f t="shared" si="112"/>
        <v>866000000</v>
      </c>
      <c r="H257" s="368">
        <v>0</v>
      </c>
      <c r="I257" s="368">
        <v>365593745</v>
      </c>
      <c r="J257" s="368">
        <f t="shared" si="105"/>
        <v>500406255</v>
      </c>
      <c r="K257" s="368">
        <v>0</v>
      </c>
      <c r="L257" s="368">
        <v>30271906</v>
      </c>
      <c r="M257" s="368">
        <f t="shared" si="106"/>
        <v>335321839</v>
      </c>
      <c r="N257" s="368">
        <v>365593745</v>
      </c>
      <c r="O257" s="368">
        <f t="shared" si="107"/>
        <v>0</v>
      </c>
      <c r="P257" s="368">
        <f t="shared" si="108"/>
        <v>500406255</v>
      </c>
      <c r="Q257" s="368">
        <f t="shared" si="116"/>
        <v>30271906</v>
      </c>
    </row>
    <row r="258" spans="1:17" s="100" customFormat="1" x14ac:dyDescent="0.25">
      <c r="A258" s="341">
        <v>23123</v>
      </c>
      <c r="B258" s="342" t="s">
        <v>619</v>
      </c>
      <c r="C258" s="368">
        <v>450000000</v>
      </c>
      <c r="D258" s="368">
        <v>0</v>
      </c>
      <c r="E258" s="368">
        <v>0</v>
      </c>
      <c r="F258" s="368">
        <v>0</v>
      </c>
      <c r="G258" s="368">
        <f t="shared" si="112"/>
        <v>450000000</v>
      </c>
      <c r="H258" s="368">
        <v>12000000</v>
      </c>
      <c r="I258" s="368">
        <v>83011500</v>
      </c>
      <c r="J258" s="368">
        <f t="shared" si="105"/>
        <v>366988500</v>
      </c>
      <c r="K258" s="368">
        <v>2500000</v>
      </c>
      <c r="L258" s="368">
        <v>3511500</v>
      </c>
      <c r="M258" s="368">
        <f t="shared" si="106"/>
        <v>79500000</v>
      </c>
      <c r="N258" s="368">
        <v>90361000</v>
      </c>
      <c r="O258" s="368">
        <f t="shared" si="107"/>
        <v>7349500</v>
      </c>
      <c r="P258" s="368">
        <f t="shared" si="108"/>
        <v>359639000</v>
      </c>
      <c r="Q258" s="368">
        <f t="shared" si="116"/>
        <v>3511500</v>
      </c>
    </row>
    <row r="259" spans="1:17" x14ac:dyDescent="0.25">
      <c r="A259" s="335">
        <v>2315</v>
      </c>
      <c r="B259" s="336" t="s">
        <v>774</v>
      </c>
      <c r="C259" s="365">
        <f>SUM(C260:C274)</f>
        <v>650000000</v>
      </c>
      <c r="D259" s="365">
        <f t="shared" ref="D259:E259" si="134">SUM(D260:D274)</f>
        <v>100000000</v>
      </c>
      <c r="E259" s="365">
        <f t="shared" si="134"/>
        <v>0</v>
      </c>
      <c r="F259" s="365">
        <f>+F260</f>
        <v>6510859785</v>
      </c>
      <c r="G259" s="365">
        <f t="shared" ref="G259:Q259" si="135">+G260</f>
        <v>7260859785</v>
      </c>
      <c r="H259" s="365">
        <v>238610933</v>
      </c>
      <c r="I259" s="365">
        <v>2882922061.8899999</v>
      </c>
      <c r="J259" s="365">
        <f t="shared" si="135"/>
        <v>4377937723.1100006</v>
      </c>
      <c r="K259" s="365">
        <v>241365191</v>
      </c>
      <c r="L259" s="365">
        <v>1484875242.8899999</v>
      </c>
      <c r="M259" s="365">
        <f t="shared" si="135"/>
        <v>1398046819</v>
      </c>
      <c r="N259" s="365">
        <v>3768349115.8899999</v>
      </c>
      <c r="O259" s="365">
        <f t="shared" si="135"/>
        <v>885427054</v>
      </c>
      <c r="P259" s="365">
        <f t="shared" si="135"/>
        <v>3492510669.1100001</v>
      </c>
      <c r="Q259" s="365">
        <f t="shared" si="135"/>
        <v>1484875242.8899999</v>
      </c>
    </row>
    <row r="260" spans="1:17" ht="30" x14ac:dyDescent="0.25">
      <c r="A260" s="339">
        <v>23152</v>
      </c>
      <c r="B260" s="340" t="s">
        <v>110</v>
      </c>
      <c r="C260" s="367">
        <v>650000000</v>
      </c>
      <c r="D260" s="367">
        <v>100000000</v>
      </c>
      <c r="E260" s="367">
        <v>0</v>
      </c>
      <c r="F260" s="367">
        <f>SUM(F261:F274)</f>
        <v>6510859785</v>
      </c>
      <c r="G260" s="367">
        <f t="shared" si="112"/>
        <v>7260859785</v>
      </c>
      <c r="H260" s="367">
        <v>238610933</v>
      </c>
      <c r="I260" s="367">
        <v>2882922061.8899999</v>
      </c>
      <c r="J260" s="367">
        <f t="shared" si="105"/>
        <v>4377937723.1100006</v>
      </c>
      <c r="K260" s="367">
        <v>241365191</v>
      </c>
      <c r="L260" s="367">
        <v>1484875242.8899999</v>
      </c>
      <c r="M260" s="367">
        <f t="shared" si="106"/>
        <v>1398046819</v>
      </c>
      <c r="N260" s="367">
        <v>3768349115.8899999</v>
      </c>
      <c r="O260" s="367">
        <f t="shared" si="107"/>
        <v>885427054</v>
      </c>
      <c r="P260" s="367">
        <f t="shared" si="108"/>
        <v>3492510669.1100001</v>
      </c>
      <c r="Q260" s="367">
        <f t="shared" si="116"/>
        <v>1484875242.8899999</v>
      </c>
    </row>
    <row r="261" spans="1:17" x14ac:dyDescent="0.25">
      <c r="A261" s="341">
        <v>2315201</v>
      </c>
      <c r="B261" s="342" t="s">
        <v>111</v>
      </c>
      <c r="C261" s="368">
        <v>0</v>
      </c>
      <c r="D261" s="368">
        <v>0</v>
      </c>
      <c r="E261" s="368">
        <v>0</v>
      </c>
      <c r="F261" s="368">
        <v>455453475</v>
      </c>
      <c r="G261" s="368">
        <f t="shared" si="112"/>
        <v>455453475</v>
      </c>
      <c r="H261" s="368">
        <v>6082607</v>
      </c>
      <c r="I261" s="368">
        <v>110120238</v>
      </c>
      <c r="J261" s="368">
        <f t="shared" si="105"/>
        <v>345333237</v>
      </c>
      <c r="K261" s="368">
        <v>40584631</v>
      </c>
      <c r="L261" s="368">
        <v>52466631</v>
      </c>
      <c r="M261" s="368">
        <f t="shared" si="106"/>
        <v>57653607</v>
      </c>
      <c r="N261" s="368">
        <v>149591779</v>
      </c>
      <c r="O261" s="368">
        <f t="shared" si="107"/>
        <v>39471541</v>
      </c>
      <c r="P261" s="368">
        <f t="shared" si="108"/>
        <v>305861696</v>
      </c>
      <c r="Q261" s="368">
        <f t="shared" si="116"/>
        <v>52466631</v>
      </c>
    </row>
    <row r="262" spans="1:17" x14ac:dyDescent="0.25">
      <c r="A262" s="341">
        <v>2315202</v>
      </c>
      <c r="B262" s="342" t="s">
        <v>620</v>
      </c>
      <c r="C262" s="368">
        <v>0</v>
      </c>
      <c r="D262" s="368">
        <v>0</v>
      </c>
      <c r="E262" s="368">
        <v>0</v>
      </c>
      <c r="F262" s="368">
        <v>493234219</v>
      </c>
      <c r="G262" s="368">
        <f t="shared" si="112"/>
        <v>493234219</v>
      </c>
      <c r="H262" s="368">
        <v>75229810</v>
      </c>
      <c r="I262" s="368">
        <v>169737858</v>
      </c>
      <c r="J262" s="368">
        <f t="shared" si="105"/>
        <v>323496361</v>
      </c>
      <c r="K262" s="368">
        <v>0</v>
      </c>
      <c r="L262" s="368">
        <v>13351708</v>
      </c>
      <c r="M262" s="368">
        <f t="shared" si="106"/>
        <v>156386150</v>
      </c>
      <c r="N262" s="368">
        <v>418404708</v>
      </c>
      <c r="O262" s="368">
        <f t="shared" si="107"/>
        <v>248666850</v>
      </c>
      <c r="P262" s="368">
        <f t="shared" si="108"/>
        <v>74829511</v>
      </c>
      <c r="Q262" s="368">
        <f t="shared" si="116"/>
        <v>13351708</v>
      </c>
    </row>
    <row r="263" spans="1:17" x14ac:dyDescent="0.25">
      <c r="A263" s="341">
        <v>2315203</v>
      </c>
      <c r="B263" s="342" t="s">
        <v>112</v>
      </c>
      <c r="C263" s="368">
        <v>0</v>
      </c>
      <c r="D263" s="368">
        <v>0</v>
      </c>
      <c r="E263" s="368">
        <v>0</v>
      </c>
      <c r="F263" s="368">
        <f>550361096+326557529</f>
        <v>876918625</v>
      </c>
      <c r="G263" s="368">
        <f t="shared" si="112"/>
        <v>876918625</v>
      </c>
      <c r="H263" s="368">
        <v>21</v>
      </c>
      <c r="I263" s="368">
        <v>427327208</v>
      </c>
      <c r="J263" s="368">
        <f t="shared" si="105"/>
        <v>449591417</v>
      </c>
      <c r="K263" s="368">
        <v>41437494</v>
      </c>
      <c r="L263" s="368">
        <v>179527504</v>
      </c>
      <c r="M263" s="368">
        <f t="shared" si="106"/>
        <v>247799704</v>
      </c>
      <c r="N263" s="368">
        <v>451474608</v>
      </c>
      <c r="O263" s="368">
        <f t="shared" si="107"/>
        <v>24147400</v>
      </c>
      <c r="P263" s="368">
        <f t="shared" si="108"/>
        <v>425444017</v>
      </c>
      <c r="Q263" s="368">
        <f t="shared" si="116"/>
        <v>179527504</v>
      </c>
    </row>
    <row r="264" spans="1:17" x14ac:dyDescent="0.25">
      <c r="A264" s="341">
        <v>2315204</v>
      </c>
      <c r="B264" s="342" t="s">
        <v>621</v>
      </c>
      <c r="C264" s="368">
        <v>0</v>
      </c>
      <c r="D264" s="368">
        <v>0</v>
      </c>
      <c r="E264" s="368">
        <v>0</v>
      </c>
      <c r="F264" s="368">
        <f>1493910033+144000000</f>
        <v>1637910033</v>
      </c>
      <c r="G264" s="368">
        <f t="shared" si="112"/>
        <v>1637910033</v>
      </c>
      <c r="H264" s="368">
        <v>30866884</v>
      </c>
      <c r="I264" s="368">
        <v>720542788.88999999</v>
      </c>
      <c r="J264" s="368">
        <f t="shared" si="105"/>
        <v>917367244.11000001</v>
      </c>
      <c r="K264" s="368">
        <v>77715780</v>
      </c>
      <c r="L264" s="368">
        <v>377973277.88999999</v>
      </c>
      <c r="M264" s="368">
        <f t="shared" si="106"/>
        <v>342569511</v>
      </c>
      <c r="N264" s="368">
        <v>783112209.88999999</v>
      </c>
      <c r="O264" s="368">
        <f t="shared" si="107"/>
        <v>62569421</v>
      </c>
      <c r="P264" s="368">
        <f t="shared" si="108"/>
        <v>854797823.11000001</v>
      </c>
      <c r="Q264" s="368">
        <f t="shared" si="116"/>
        <v>377973277.88999999</v>
      </c>
    </row>
    <row r="265" spans="1:17" x14ac:dyDescent="0.25">
      <c r="A265" s="341">
        <v>2315205</v>
      </c>
      <c r="B265" s="342" t="s">
        <v>622</v>
      </c>
      <c r="C265" s="368">
        <v>0</v>
      </c>
      <c r="D265" s="368">
        <v>0</v>
      </c>
      <c r="E265" s="368">
        <v>0</v>
      </c>
      <c r="F265" s="368">
        <v>283032384</v>
      </c>
      <c r="G265" s="368">
        <f t="shared" si="112"/>
        <v>283032384</v>
      </c>
      <c r="H265" s="368">
        <v>8293564</v>
      </c>
      <c r="I265" s="368">
        <v>101627730</v>
      </c>
      <c r="J265" s="368">
        <f t="shared" si="105"/>
        <v>181404654</v>
      </c>
      <c r="K265" s="368">
        <v>12337050</v>
      </c>
      <c r="L265" s="368">
        <v>54913400</v>
      </c>
      <c r="M265" s="368">
        <f t="shared" si="106"/>
        <v>46714330</v>
      </c>
      <c r="N265" s="368">
        <v>128881414</v>
      </c>
      <c r="O265" s="368">
        <f t="shared" si="107"/>
        <v>27253684</v>
      </c>
      <c r="P265" s="368">
        <f t="shared" si="108"/>
        <v>154150970</v>
      </c>
      <c r="Q265" s="368">
        <f t="shared" si="116"/>
        <v>54913400</v>
      </c>
    </row>
    <row r="266" spans="1:17" x14ac:dyDescent="0.25">
      <c r="A266" s="341">
        <v>2315206</v>
      </c>
      <c r="B266" s="342" t="s">
        <v>623</v>
      </c>
      <c r="C266" s="368">
        <v>0</v>
      </c>
      <c r="D266" s="368">
        <v>0</v>
      </c>
      <c r="E266" s="368">
        <v>0</v>
      </c>
      <c r="F266" s="368">
        <v>90482087</v>
      </c>
      <c r="G266" s="368">
        <f t="shared" si="112"/>
        <v>90482087</v>
      </c>
      <c r="H266" s="368">
        <v>0</v>
      </c>
      <c r="I266" s="368">
        <v>540000</v>
      </c>
      <c r="J266" s="368">
        <f t="shared" ref="J266:J329" si="136">+G266-I266</f>
        <v>89942087</v>
      </c>
      <c r="K266" s="368">
        <v>0</v>
      </c>
      <c r="L266" s="368">
        <v>0</v>
      </c>
      <c r="M266" s="368">
        <f t="shared" ref="M266:M329" si="137">+I266-L266</f>
        <v>540000</v>
      </c>
      <c r="N266" s="368">
        <v>540000</v>
      </c>
      <c r="O266" s="368">
        <f t="shared" ref="O266:O329" si="138">+N266-I266</f>
        <v>0</v>
      </c>
      <c r="P266" s="368">
        <f t="shared" ref="P266:P329" si="139">+G266-N266</f>
        <v>89942087</v>
      </c>
      <c r="Q266" s="368">
        <f t="shared" si="116"/>
        <v>0</v>
      </c>
    </row>
    <row r="267" spans="1:17" x14ac:dyDescent="0.25">
      <c r="A267" s="341">
        <v>2315207</v>
      </c>
      <c r="B267" s="342" t="s">
        <v>624</v>
      </c>
      <c r="C267" s="368">
        <v>0</v>
      </c>
      <c r="D267" s="368">
        <v>0</v>
      </c>
      <c r="E267" s="368">
        <v>0</v>
      </c>
      <c r="F267" s="368">
        <v>995546166</v>
      </c>
      <c r="G267" s="368">
        <f t="shared" si="112"/>
        <v>995546166</v>
      </c>
      <c r="H267" s="368">
        <v>26867097</v>
      </c>
      <c r="I267" s="368">
        <v>536146417</v>
      </c>
      <c r="J267" s="368">
        <f t="shared" si="136"/>
        <v>459399749</v>
      </c>
      <c r="K267" s="368">
        <v>27569822</v>
      </c>
      <c r="L267" s="368">
        <v>166323631</v>
      </c>
      <c r="M267" s="368">
        <f t="shared" si="137"/>
        <v>369822786</v>
      </c>
      <c r="N267" s="368">
        <v>599374898</v>
      </c>
      <c r="O267" s="368">
        <f t="shared" si="138"/>
        <v>63228481</v>
      </c>
      <c r="P267" s="368">
        <f t="shared" si="139"/>
        <v>396171268</v>
      </c>
      <c r="Q267" s="368">
        <f t="shared" si="116"/>
        <v>166323631</v>
      </c>
    </row>
    <row r="268" spans="1:17" x14ac:dyDescent="0.25">
      <c r="A268" s="341">
        <v>2315208</v>
      </c>
      <c r="B268" s="342" t="s">
        <v>645</v>
      </c>
      <c r="C268" s="368">
        <v>0</v>
      </c>
      <c r="D268" s="368">
        <v>0</v>
      </c>
      <c r="E268" s="368">
        <v>0</v>
      </c>
      <c r="F268" s="368">
        <v>811381400</v>
      </c>
      <c r="G268" s="368">
        <f t="shared" si="112"/>
        <v>811381400</v>
      </c>
      <c r="H268" s="368">
        <v>73929032</v>
      </c>
      <c r="I268" s="368">
        <v>141912675</v>
      </c>
      <c r="J268" s="368">
        <f t="shared" si="136"/>
        <v>669468725</v>
      </c>
      <c r="K268" s="368">
        <v>9709615</v>
      </c>
      <c r="L268" s="368">
        <v>26917563</v>
      </c>
      <c r="M268" s="368">
        <f t="shared" si="137"/>
        <v>114995112</v>
      </c>
      <c r="N268" s="368">
        <v>474302510</v>
      </c>
      <c r="O268" s="368">
        <f t="shared" si="138"/>
        <v>332389835</v>
      </c>
      <c r="P268" s="368">
        <f t="shared" si="139"/>
        <v>337078890</v>
      </c>
      <c r="Q268" s="368">
        <f t="shared" si="116"/>
        <v>26917563</v>
      </c>
    </row>
    <row r="269" spans="1:17" x14ac:dyDescent="0.25">
      <c r="A269" s="341">
        <v>2315209</v>
      </c>
      <c r="B269" s="342" t="s">
        <v>646</v>
      </c>
      <c r="C269" s="368">
        <v>0</v>
      </c>
      <c r="D269" s="368">
        <v>0</v>
      </c>
      <c r="E269" s="368">
        <v>0</v>
      </c>
      <c r="F269" s="368">
        <v>56198830</v>
      </c>
      <c r="G269" s="368">
        <f t="shared" si="112"/>
        <v>56198830</v>
      </c>
      <c r="H269" s="368">
        <v>0</v>
      </c>
      <c r="I269" s="368">
        <v>7007742</v>
      </c>
      <c r="J269" s="368">
        <f t="shared" si="136"/>
        <v>49191088</v>
      </c>
      <c r="K269" s="368">
        <v>0</v>
      </c>
      <c r="L269" s="368">
        <v>6736841</v>
      </c>
      <c r="M269" s="368">
        <f t="shared" si="137"/>
        <v>270901</v>
      </c>
      <c r="N269" s="368">
        <v>7007742</v>
      </c>
      <c r="O269" s="368">
        <f t="shared" si="138"/>
        <v>0</v>
      </c>
      <c r="P269" s="368">
        <f t="shared" si="139"/>
        <v>49191088</v>
      </c>
      <c r="Q269" s="368">
        <f t="shared" si="116"/>
        <v>6736841</v>
      </c>
    </row>
    <row r="270" spans="1:17" x14ac:dyDescent="0.25">
      <c r="A270" s="341">
        <v>2315210</v>
      </c>
      <c r="B270" s="342" t="s">
        <v>647</v>
      </c>
      <c r="C270" s="368">
        <v>0</v>
      </c>
      <c r="D270" s="368">
        <v>0</v>
      </c>
      <c r="E270" s="368">
        <v>0</v>
      </c>
      <c r="F270" s="368">
        <v>268721099</v>
      </c>
      <c r="G270" s="368">
        <f t="shared" si="112"/>
        <v>268721099</v>
      </c>
      <c r="H270" s="368">
        <v>183311</v>
      </c>
      <c r="I270" s="368">
        <v>145753537</v>
      </c>
      <c r="J270" s="368">
        <f t="shared" si="136"/>
        <v>122967562</v>
      </c>
      <c r="K270" s="368">
        <v>19232831</v>
      </c>
      <c r="L270" s="368">
        <v>132196179</v>
      </c>
      <c r="M270" s="368">
        <f t="shared" si="137"/>
        <v>13557358</v>
      </c>
      <c r="N270" s="368">
        <v>182019495</v>
      </c>
      <c r="O270" s="368">
        <f t="shared" si="138"/>
        <v>36265958</v>
      </c>
      <c r="P270" s="368">
        <f t="shared" si="139"/>
        <v>86701604</v>
      </c>
      <c r="Q270" s="368">
        <f t="shared" si="116"/>
        <v>132196179</v>
      </c>
    </row>
    <row r="271" spans="1:17" ht="30" x14ac:dyDescent="0.25">
      <c r="A271" s="341">
        <v>2315211</v>
      </c>
      <c r="B271" s="342" t="s">
        <v>648</v>
      </c>
      <c r="C271" s="368">
        <v>0</v>
      </c>
      <c r="D271" s="368">
        <v>0</v>
      </c>
      <c r="E271" s="368">
        <v>0</v>
      </c>
      <c r="F271" s="368">
        <v>142901583</v>
      </c>
      <c r="G271" s="368">
        <f t="shared" si="112"/>
        <v>142901583</v>
      </c>
      <c r="H271" s="368">
        <v>9009573</v>
      </c>
      <c r="I271" s="368">
        <v>50232820</v>
      </c>
      <c r="J271" s="368">
        <f t="shared" si="136"/>
        <v>92668763</v>
      </c>
      <c r="K271" s="368">
        <v>9009573</v>
      </c>
      <c r="L271" s="368">
        <v>50232820</v>
      </c>
      <c r="M271" s="368">
        <f t="shared" si="137"/>
        <v>0</v>
      </c>
      <c r="N271" s="368">
        <v>50236809</v>
      </c>
      <c r="O271" s="368">
        <f t="shared" si="138"/>
        <v>3989</v>
      </c>
      <c r="P271" s="368">
        <f t="shared" si="139"/>
        <v>92664774</v>
      </c>
      <c r="Q271" s="368">
        <f t="shared" si="116"/>
        <v>50232820</v>
      </c>
    </row>
    <row r="272" spans="1:17" x14ac:dyDescent="0.25">
      <c r="A272" s="341">
        <v>2315212</v>
      </c>
      <c r="B272" s="342" t="s">
        <v>113</v>
      </c>
      <c r="C272" s="368">
        <v>0</v>
      </c>
      <c r="D272" s="368">
        <v>0</v>
      </c>
      <c r="E272" s="368">
        <v>0</v>
      </c>
      <c r="F272" s="368">
        <v>269516545</v>
      </c>
      <c r="G272" s="368">
        <f t="shared" si="112"/>
        <v>269516545</v>
      </c>
      <c r="H272" s="368">
        <v>110671</v>
      </c>
      <c r="I272" s="368">
        <v>101875506</v>
      </c>
      <c r="J272" s="368">
        <f t="shared" si="136"/>
        <v>167641039</v>
      </c>
      <c r="K272" s="368">
        <v>2000000</v>
      </c>
      <c r="L272" s="368">
        <v>79417911</v>
      </c>
      <c r="M272" s="368">
        <f t="shared" si="137"/>
        <v>22457595</v>
      </c>
      <c r="N272" s="368">
        <v>153305401</v>
      </c>
      <c r="O272" s="368">
        <f t="shared" si="138"/>
        <v>51429895</v>
      </c>
      <c r="P272" s="368">
        <f t="shared" si="139"/>
        <v>116211144</v>
      </c>
      <c r="Q272" s="368">
        <f t="shared" si="116"/>
        <v>79417911</v>
      </c>
    </row>
    <row r="273" spans="1:17" s="100" customFormat="1" x14ac:dyDescent="0.25">
      <c r="A273" s="341">
        <v>2315213</v>
      </c>
      <c r="B273" s="342" t="s">
        <v>649</v>
      </c>
      <c r="C273" s="368">
        <v>0</v>
      </c>
      <c r="D273" s="368">
        <v>0</v>
      </c>
      <c r="E273" s="368">
        <v>0</v>
      </c>
      <c r="F273" s="368">
        <v>108357039</v>
      </c>
      <c r="G273" s="368">
        <f t="shared" si="112"/>
        <v>108357039</v>
      </c>
      <c r="H273" s="368">
        <v>8038363</v>
      </c>
      <c r="I273" s="368">
        <v>40097542</v>
      </c>
      <c r="J273" s="368">
        <f t="shared" si="136"/>
        <v>68259497</v>
      </c>
      <c r="K273" s="368">
        <v>1768395</v>
      </c>
      <c r="L273" s="368">
        <v>14817777</v>
      </c>
      <c r="M273" s="368">
        <f t="shared" si="137"/>
        <v>25279765</v>
      </c>
      <c r="N273" s="368">
        <v>40097542</v>
      </c>
      <c r="O273" s="368">
        <f t="shared" si="138"/>
        <v>0</v>
      </c>
      <c r="P273" s="368">
        <f t="shared" si="139"/>
        <v>68259497</v>
      </c>
      <c r="Q273" s="368">
        <f t="shared" si="116"/>
        <v>14817777</v>
      </c>
    </row>
    <row r="274" spans="1:17" s="100" customFormat="1" x14ac:dyDescent="0.25">
      <c r="A274" s="341">
        <v>2315214</v>
      </c>
      <c r="B274" s="342" t="s">
        <v>114</v>
      </c>
      <c r="C274" s="368">
        <v>0</v>
      </c>
      <c r="D274" s="368">
        <v>0</v>
      </c>
      <c r="E274" s="368">
        <v>0</v>
      </c>
      <c r="F274" s="368">
        <v>21206300</v>
      </c>
      <c r="G274" s="368">
        <f t="shared" si="112"/>
        <v>21206300</v>
      </c>
      <c r="H274" s="368">
        <v>0</v>
      </c>
      <c r="I274" s="368">
        <v>0</v>
      </c>
      <c r="J274" s="368">
        <f t="shared" si="136"/>
        <v>21206300</v>
      </c>
      <c r="K274" s="368">
        <v>0</v>
      </c>
      <c r="L274" s="368">
        <v>0</v>
      </c>
      <c r="M274" s="368">
        <f t="shared" si="137"/>
        <v>0</v>
      </c>
      <c r="N274" s="368">
        <v>0</v>
      </c>
      <c r="O274" s="368">
        <f t="shared" si="138"/>
        <v>0</v>
      </c>
      <c r="P274" s="368">
        <f t="shared" si="139"/>
        <v>21206300</v>
      </c>
      <c r="Q274" s="368">
        <f t="shared" si="116"/>
        <v>0</v>
      </c>
    </row>
    <row r="275" spans="1:17" ht="45" x14ac:dyDescent="0.25">
      <c r="A275" s="335">
        <v>2316</v>
      </c>
      <c r="B275" s="336" t="s">
        <v>115</v>
      </c>
      <c r="C275" s="365">
        <f>+C276</f>
        <v>670000000</v>
      </c>
      <c r="D275" s="365">
        <f t="shared" ref="D275:Q276" si="140">+D276</f>
        <v>603452900</v>
      </c>
      <c r="E275" s="365">
        <f t="shared" si="140"/>
        <v>0</v>
      </c>
      <c r="F275" s="365">
        <f t="shared" si="140"/>
        <v>308347603</v>
      </c>
      <c r="G275" s="365">
        <f t="shared" si="140"/>
        <v>1581800503</v>
      </c>
      <c r="H275" s="365">
        <v>740610696</v>
      </c>
      <c r="I275" s="365">
        <v>1510272457</v>
      </c>
      <c r="J275" s="365">
        <f t="shared" si="140"/>
        <v>71528046</v>
      </c>
      <c r="K275" s="365">
        <v>433865593</v>
      </c>
      <c r="L275" s="365">
        <v>1489660158</v>
      </c>
      <c r="M275" s="365">
        <f t="shared" si="140"/>
        <v>20612299</v>
      </c>
      <c r="N275" s="365">
        <v>1528954907</v>
      </c>
      <c r="O275" s="365">
        <f t="shared" si="140"/>
        <v>18682450</v>
      </c>
      <c r="P275" s="365">
        <f t="shared" si="140"/>
        <v>52845596</v>
      </c>
      <c r="Q275" s="365">
        <f t="shared" si="140"/>
        <v>1489660158</v>
      </c>
    </row>
    <row r="276" spans="1:17" s="100" customFormat="1" x14ac:dyDescent="0.25">
      <c r="A276" s="339">
        <v>23161</v>
      </c>
      <c r="B276" s="340" t="s">
        <v>116</v>
      </c>
      <c r="C276" s="367">
        <f>+C277</f>
        <v>670000000</v>
      </c>
      <c r="D276" s="367">
        <f t="shared" si="140"/>
        <v>603452900</v>
      </c>
      <c r="E276" s="367">
        <f t="shared" si="140"/>
        <v>0</v>
      </c>
      <c r="F276" s="367">
        <f t="shared" si="140"/>
        <v>308347603</v>
      </c>
      <c r="G276" s="367">
        <f t="shared" si="140"/>
        <v>1581800503</v>
      </c>
      <c r="H276" s="367">
        <v>740610696</v>
      </c>
      <c r="I276" s="367">
        <v>1510272457</v>
      </c>
      <c r="J276" s="367">
        <f t="shared" si="140"/>
        <v>71528046</v>
      </c>
      <c r="K276" s="367">
        <v>433865593</v>
      </c>
      <c r="L276" s="367">
        <v>1489660158</v>
      </c>
      <c r="M276" s="367">
        <f t="shared" si="140"/>
        <v>20612299</v>
      </c>
      <c r="N276" s="367">
        <v>1528954907</v>
      </c>
      <c r="O276" s="367">
        <f t="shared" si="140"/>
        <v>18682450</v>
      </c>
      <c r="P276" s="367">
        <f t="shared" si="140"/>
        <v>52845596</v>
      </c>
      <c r="Q276" s="367">
        <f t="shared" si="140"/>
        <v>1489660158</v>
      </c>
    </row>
    <row r="277" spans="1:17" ht="30" x14ac:dyDescent="0.25">
      <c r="A277" s="364">
        <v>231614</v>
      </c>
      <c r="B277" s="342" t="s">
        <v>117</v>
      </c>
      <c r="C277" s="368">
        <v>670000000</v>
      </c>
      <c r="D277" s="368">
        <f>123452900+480000000</f>
        <v>603452900</v>
      </c>
      <c r="E277" s="368">
        <v>0</v>
      </c>
      <c r="F277" s="368">
        <v>308347603</v>
      </c>
      <c r="G277" s="368">
        <f t="shared" ref="G277:G345" si="141">+C277+D277-E277+F277</f>
        <v>1581800503</v>
      </c>
      <c r="H277" s="368">
        <v>740610696</v>
      </c>
      <c r="I277" s="368">
        <v>1510272457</v>
      </c>
      <c r="J277" s="368">
        <f t="shared" si="136"/>
        <v>71528046</v>
      </c>
      <c r="K277" s="368">
        <v>433865593</v>
      </c>
      <c r="L277" s="368">
        <v>1489660158</v>
      </c>
      <c r="M277" s="368">
        <f t="shared" si="137"/>
        <v>20612299</v>
      </c>
      <c r="N277" s="368">
        <v>1528954907</v>
      </c>
      <c r="O277" s="368">
        <f t="shared" si="138"/>
        <v>18682450</v>
      </c>
      <c r="P277" s="368">
        <f t="shared" si="139"/>
        <v>52845596</v>
      </c>
      <c r="Q277" s="368">
        <f t="shared" si="116"/>
        <v>1489660158</v>
      </c>
    </row>
    <row r="278" spans="1:17" s="100" customFormat="1" x14ac:dyDescent="0.25">
      <c r="A278" s="335">
        <v>2319</v>
      </c>
      <c r="B278" s="336" t="s">
        <v>118</v>
      </c>
      <c r="C278" s="365">
        <f>+C279</f>
        <v>400000000</v>
      </c>
      <c r="D278" s="365">
        <f t="shared" ref="D278:Q278" si="142">+D279</f>
        <v>0</v>
      </c>
      <c r="E278" s="365">
        <f t="shared" si="142"/>
        <v>130000000</v>
      </c>
      <c r="F278" s="365">
        <f t="shared" si="142"/>
        <v>0</v>
      </c>
      <c r="G278" s="365">
        <f t="shared" si="142"/>
        <v>270000000</v>
      </c>
      <c r="H278" s="365">
        <v>0</v>
      </c>
      <c r="I278" s="365">
        <v>65782740</v>
      </c>
      <c r="J278" s="365">
        <f t="shared" si="142"/>
        <v>204217260</v>
      </c>
      <c r="K278" s="365">
        <v>750000</v>
      </c>
      <c r="L278" s="365">
        <v>56982740</v>
      </c>
      <c r="M278" s="365">
        <f t="shared" si="142"/>
        <v>8800000</v>
      </c>
      <c r="N278" s="365">
        <v>141550973</v>
      </c>
      <c r="O278" s="365">
        <f t="shared" si="142"/>
        <v>75768233</v>
      </c>
      <c r="P278" s="365">
        <f t="shared" si="142"/>
        <v>128449027</v>
      </c>
      <c r="Q278" s="365">
        <f t="shared" si="142"/>
        <v>56982740</v>
      </c>
    </row>
    <row r="279" spans="1:17" s="100" customFormat="1" x14ac:dyDescent="0.25">
      <c r="A279" s="341">
        <v>23191</v>
      </c>
      <c r="B279" s="342" t="s">
        <v>625</v>
      </c>
      <c r="C279" s="368">
        <v>400000000</v>
      </c>
      <c r="D279" s="368">
        <v>0</v>
      </c>
      <c r="E279" s="368">
        <v>130000000</v>
      </c>
      <c r="F279" s="368">
        <v>0</v>
      </c>
      <c r="G279" s="368">
        <f t="shared" si="141"/>
        <v>270000000</v>
      </c>
      <c r="H279" s="368">
        <v>0</v>
      </c>
      <c r="I279" s="368">
        <v>65782740</v>
      </c>
      <c r="J279" s="368">
        <f t="shared" si="136"/>
        <v>204217260</v>
      </c>
      <c r="K279" s="368">
        <v>750000</v>
      </c>
      <c r="L279" s="368">
        <v>56982740</v>
      </c>
      <c r="M279" s="368">
        <f t="shared" si="137"/>
        <v>8800000</v>
      </c>
      <c r="N279" s="368">
        <v>141550973</v>
      </c>
      <c r="O279" s="368">
        <f t="shared" si="138"/>
        <v>75768233</v>
      </c>
      <c r="P279" s="368">
        <f t="shared" si="139"/>
        <v>128449027</v>
      </c>
      <c r="Q279" s="368">
        <f t="shared" si="116"/>
        <v>56982740</v>
      </c>
    </row>
    <row r="280" spans="1:17" s="100" customFormat="1" x14ac:dyDescent="0.25">
      <c r="A280" s="335">
        <v>232</v>
      </c>
      <c r="B280" s="336" t="s">
        <v>119</v>
      </c>
      <c r="C280" s="365">
        <f>+C281+C313+C316</f>
        <v>4651804202</v>
      </c>
      <c r="D280" s="365">
        <f t="shared" ref="D280:Q280" si="143">+D281+D313+D316</f>
        <v>1884574006</v>
      </c>
      <c r="E280" s="365">
        <f t="shared" si="143"/>
        <v>1543452900</v>
      </c>
      <c r="F280" s="365">
        <f t="shared" si="143"/>
        <v>754000000</v>
      </c>
      <c r="G280" s="365">
        <f t="shared" si="143"/>
        <v>5746925308</v>
      </c>
      <c r="H280" s="365">
        <v>71495881.400000006</v>
      </c>
      <c r="I280" s="365">
        <v>3729356441.2600002</v>
      </c>
      <c r="J280" s="365">
        <f t="shared" si="143"/>
        <v>2017568866.74</v>
      </c>
      <c r="K280" s="365">
        <v>395355490.70999998</v>
      </c>
      <c r="L280" s="365">
        <v>2038506187.5699999</v>
      </c>
      <c r="M280" s="365">
        <f t="shared" si="143"/>
        <v>1690850253.6900001</v>
      </c>
      <c r="N280" s="365">
        <v>4386727596.21</v>
      </c>
      <c r="O280" s="365">
        <f t="shared" si="143"/>
        <v>657371154.95000005</v>
      </c>
      <c r="P280" s="365">
        <f t="shared" si="143"/>
        <v>1360197711.79</v>
      </c>
      <c r="Q280" s="365">
        <f t="shared" si="143"/>
        <v>1498920549.52</v>
      </c>
    </row>
    <row r="281" spans="1:17" x14ac:dyDescent="0.25">
      <c r="A281" s="335">
        <v>2321</v>
      </c>
      <c r="B281" s="336" t="s">
        <v>120</v>
      </c>
      <c r="C281" s="365">
        <f>+C282+C295+C299+C304+C309</f>
        <v>4431804202</v>
      </c>
      <c r="D281" s="365">
        <f t="shared" ref="D281:Q281" si="144">+D282+D295+D299+D304+D309</f>
        <v>1884574006</v>
      </c>
      <c r="E281" s="365">
        <f t="shared" si="144"/>
        <v>1543452900</v>
      </c>
      <c r="F281" s="365">
        <f t="shared" si="144"/>
        <v>754000000</v>
      </c>
      <c r="G281" s="365">
        <f t="shared" si="144"/>
        <v>5526925308</v>
      </c>
      <c r="H281" s="365">
        <v>69027561.400000006</v>
      </c>
      <c r="I281" s="365">
        <v>3709867457.2600002</v>
      </c>
      <c r="J281" s="365">
        <f t="shared" si="144"/>
        <v>1817057850.74</v>
      </c>
      <c r="K281" s="365">
        <v>388653457</v>
      </c>
      <c r="L281" s="365">
        <v>2028916413.8599999</v>
      </c>
      <c r="M281" s="365">
        <f t="shared" si="144"/>
        <v>1680951043.4000001</v>
      </c>
      <c r="N281" s="365">
        <v>4351669391.21</v>
      </c>
      <c r="O281" s="365">
        <f t="shared" si="144"/>
        <v>641801933.95000005</v>
      </c>
      <c r="P281" s="365">
        <f t="shared" si="144"/>
        <v>1175255916.79</v>
      </c>
      <c r="Q281" s="365">
        <f t="shared" si="144"/>
        <v>1489330775.8099999</v>
      </c>
    </row>
    <row r="282" spans="1:17" x14ac:dyDescent="0.25">
      <c r="A282" s="339">
        <v>23211</v>
      </c>
      <c r="B282" s="340" t="s">
        <v>121</v>
      </c>
      <c r="C282" s="367">
        <f>SUM(C283:C294)</f>
        <v>3603810000</v>
      </c>
      <c r="D282" s="367">
        <f t="shared" ref="D282:Q282" si="145">SUM(D283:D294)</f>
        <v>504000000</v>
      </c>
      <c r="E282" s="367">
        <f t="shared" si="145"/>
        <v>1399824440</v>
      </c>
      <c r="F282" s="367">
        <f t="shared" si="145"/>
        <v>581000000</v>
      </c>
      <c r="G282" s="367">
        <f t="shared" si="145"/>
        <v>3288985560</v>
      </c>
      <c r="H282" s="367">
        <v>14617597.4</v>
      </c>
      <c r="I282" s="367">
        <v>1882576636.21</v>
      </c>
      <c r="J282" s="367">
        <f t="shared" si="145"/>
        <v>1406408923.79</v>
      </c>
      <c r="K282" s="367">
        <v>320917172</v>
      </c>
      <c r="L282" s="367">
        <v>1128958849.8099999</v>
      </c>
      <c r="M282" s="367">
        <f t="shared" si="145"/>
        <v>753617786.39999998</v>
      </c>
      <c r="N282" s="367">
        <v>2337797228.21</v>
      </c>
      <c r="O282" s="367">
        <f t="shared" si="145"/>
        <v>455220592.00000006</v>
      </c>
      <c r="P282" s="367">
        <f t="shared" si="145"/>
        <v>951188331.78999996</v>
      </c>
      <c r="Q282" s="367">
        <f t="shared" si="145"/>
        <v>1128958849.8099999</v>
      </c>
    </row>
    <row r="283" spans="1:17" x14ac:dyDescent="0.25">
      <c r="A283" s="364">
        <v>2321101</v>
      </c>
      <c r="B283" s="342" t="s">
        <v>122</v>
      </c>
      <c r="C283" s="368">
        <v>90000000</v>
      </c>
      <c r="D283" s="368">
        <v>0</v>
      </c>
      <c r="E283" s="368">
        <v>0</v>
      </c>
      <c r="F283" s="368">
        <v>0</v>
      </c>
      <c r="G283" s="368">
        <f t="shared" si="141"/>
        <v>90000000</v>
      </c>
      <c r="H283" s="368">
        <v>0</v>
      </c>
      <c r="I283" s="368">
        <v>61858770</v>
      </c>
      <c r="J283" s="368">
        <f t="shared" si="136"/>
        <v>28141230</v>
      </c>
      <c r="K283" s="368">
        <v>0</v>
      </c>
      <c r="L283" s="368">
        <v>61858770</v>
      </c>
      <c r="M283" s="368">
        <f t="shared" si="137"/>
        <v>0</v>
      </c>
      <c r="N283" s="368">
        <v>62854178</v>
      </c>
      <c r="O283" s="368">
        <f t="shared" si="138"/>
        <v>995408</v>
      </c>
      <c r="P283" s="368">
        <f t="shared" si="139"/>
        <v>27145822</v>
      </c>
      <c r="Q283" s="368">
        <f t="shared" si="116"/>
        <v>61858770</v>
      </c>
    </row>
    <row r="284" spans="1:17" x14ac:dyDescent="0.25">
      <c r="A284" s="364">
        <v>2321102</v>
      </c>
      <c r="B284" s="342" t="s">
        <v>123</v>
      </c>
      <c r="C284" s="368">
        <v>190000000</v>
      </c>
      <c r="D284" s="368">
        <f>204000000+100000000</f>
        <v>304000000</v>
      </c>
      <c r="E284" s="368">
        <v>0</v>
      </c>
      <c r="F284" s="368">
        <v>50000000</v>
      </c>
      <c r="G284" s="368">
        <f t="shared" si="141"/>
        <v>544000000</v>
      </c>
      <c r="H284" s="368">
        <v>0</v>
      </c>
      <c r="I284" s="368">
        <v>416784000</v>
      </c>
      <c r="J284" s="368">
        <f t="shared" si="136"/>
        <v>127216000</v>
      </c>
      <c r="K284" s="368">
        <v>53789000</v>
      </c>
      <c r="L284" s="368">
        <v>238241000</v>
      </c>
      <c r="M284" s="368">
        <f t="shared" si="137"/>
        <v>178543000</v>
      </c>
      <c r="N284" s="368">
        <v>443756000</v>
      </c>
      <c r="O284" s="368">
        <f t="shared" si="138"/>
        <v>26972000</v>
      </c>
      <c r="P284" s="368">
        <f t="shared" si="139"/>
        <v>100244000</v>
      </c>
      <c r="Q284" s="368">
        <f t="shared" si="116"/>
        <v>238241000</v>
      </c>
    </row>
    <row r="285" spans="1:17" x14ac:dyDescent="0.25">
      <c r="A285" s="364">
        <v>2321103</v>
      </c>
      <c r="B285" s="342" t="s">
        <v>124</v>
      </c>
      <c r="C285" s="368">
        <v>1780000000</v>
      </c>
      <c r="D285" s="368">
        <v>0</v>
      </c>
      <c r="E285" s="368">
        <f>300000000+820000000</f>
        <v>1120000000</v>
      </c>
      <c r="F285" s="368">
        <v>120000000</v>
      </c>
      <c r="G285" s="368">
        <f t="shared" si="141"/>
        <v>780000000</v>
      </c>
      <c r="H285" s="368">
        <v>1520000</v>
      </c>
      <c r="I285" s="368">
        <v>444100519</v>
      </c>
      <c r="J285" s="368">
        <f t="shared" si="136"/>
        <v>335899481</v>
      </c>
      <c r="K285" s="368">
        <v>82357000</v>
      </c>
      <c r="L285" s="368">
        <v>371389401</v>
      </c>
      <c r="M285" s="368">
        <f t="shared" si="137"/>
        <v>72711118</v>
      </c>
      <c r="N285" s="368">
        <v>510932524</v>
      </c>
      <c r="O285" s="368">
        <f t="shared" si="138"/>
        <v>66832005</v>
      </c>
      <c r="P285" s="368">
        <f t="shared" si="139"/>
        <v>269067476</v>
      </c>
      <c r="Q285" s="368">
        <f t="shared" ref="Q285:Q358" si="146">+L285</f>
        <v>371389401</v>
      </c>
    </row>
    <row r="286" spans="1:17" x14ac:dyDescent="0.25">
      <c r="A286" s="364">
        <v>2321104</v>
      </c>
      <c r="B286" s="342" t="s">
        <v>125</v>
      </c>
      <c r="C286" s="368">
        <v>30000000</v>
      </c>
      <c r="D286" s="368">
        <v>0</v>
      </c>
      <c r="E286" s="368">
        <v>0</v>
      </c>
      <c r="F286" s="368">
        <v>45000000</v>
      </c>
      <c r="G286" s="368">
        <f t="shared" si="141"/>
        <v>75000000</v>
      </c>
      <c r="H286" s="368">
        <v>0</v>
      </c>
      <c r="I286" s="368">
        <v>13099442</v>
      </c>
      <c r="J286" s="368">
        <f t="shared" si="136"/>
        <v>61900558</v>
      </c>
      <c r="K286" s="368">
        <v>0</v>
      </c>
      <c r="L286" s="368">
        <v>13099410</v>
      </c>
      <c r="M286" s="368">
        <f t="shared" si="137"/>
        <v>32</v>
      </c>
      <c r="N286" s="368">
        <v>13099442</v>
      </c>
      <c r="O286" s="368">
        <f t="shared" si="138"/>
        <v>0</v>
      </c>
      <c r="P286" s="368">
        <f t="shared" si="139"/>
        <v>61900558</v>
      </c>
      <c r="Q286" s="368">
        <f t="shared" si="146"/>
        <v>13099410</v>
      </c>
    </row>
    <row r="287" spans="1:17" x14ac:dyDescent="0.25">
      <c r="A287" s="364">
        <v>2321105</v>
      </c>
      <c r="B287" s="342" t="s">
        <v>126</v>
      </c>
      <c r="C287" s="368">
        <v>128000000</v>
      </c>
      <c r="D287" s="368">
        <v>0</v>
      </c>
      <c r="E287" s="368">
        <v>0</v>
      </c>
      <c r="F287" s="368">
        <v>0</v>
      </c>
      <c r="G287" s="368">
        <f t="shared" si="141"/>
        <v>128000000</v>
      </c>
      <c r="H287" s="368">
        <v>0</v>
      </c>
      <c r="I287" s="368">
        <v>126403632</v>
      </c>
      <c r="J287" s="368">
        <f t="shared" si="136"/>
        <v>1596368</v>
      </c>
      <c r="K287" s="368">
        <v>126403632</v>
      </c>
      <c r="L287" s="368">
        <v>126403632</v>
      </c>
      <c r="M287" s="368">
        <f t="shared" si="137"/>
        <v>0</v>
      </c>
      <c r="N287" s="368">
        <v>127281435</v>
      </c>
      <c r="O287" s="368">
        <f t="shared" si="138"/>
        <v>877803</v>
      </c>
      <c r="P287" s="368">
        <f t="shared" si="139"/>
        <v>718565</v>
      </c>
      <c r="Q287" s="368">
        <f t="shared" si="146"/>
        <v>126403632</v>
      </c>
    </row>
    <row r="288" spans="1:17" x14ac:dyDescent="0.25">
      <c r="A288" s="364">
        <v>2321106</v>
      </c>
      <c r="B288" s="342" t="s">
        <v>127</v>
      </c>
      <c r="C288" s="368">
        <v>90000000</v>
      </c>
      <c r="D288" s="368">
        <v>0</v>
      </c>
      <c r="E288" s="368">
        <v>54824440</v>
      </c>
      <c r="F288" s="368">
        <v>20000000</v>
      </c>
      <c r="G288" s="368">
        <f t="shared" si="141"/>
        <v>55175560</v>
      </c>
      <c r="H288" s="368">
        <v>432902.40000000002</v>
      </c>
      <c r="I288" s="368">
        <v>974022.4</v>
      </c>
      <c r="J288" s="368">
        <f t="shared" si="136"/>
        <v>54201537.600000001</v>
      </c>
      <c r="K288" s="368">
        <v>0</v>
      </c>
      <c r="L288" s="368">
        <v>541120</v>
      </c>
      <c r="M288" s="368">
        <f t="shared" si="137"/>
        <v>432902.40000000002</v>
      </c>
      <c r="N288" s="368">
        <v>974022.4</v>
      </c>
      <c r="O288" s="368">
        <f t="shared" si="138"/>
        <v>0</v>
      </c>
      <c r="P288" s="368">
        <f t="shared" si="139"/>
        <v>54201537.600000001</v>
      </c>
      <c r="Q288" s="368">
        <f t="shared" si="146"/>
        <v>541120</v>
      </c>
    </row>
    <row r="289" spans="1:17" x14ac:dyDescent="0.25">
      <c r="A289" s="364">
        <v>2321107</v>
      </c>
      <c r="B289" s="342" t="s">
        <v>128</v>
      </c>
      <c r="C289" s="368">
        <v>320000000</v>
      </c>
      <c r="D289" s="368">
        <v>0</v>
      </c>
      <c r="E289" s="368">
        <v>0</v>
      </c>
      <c r="F289" s="368">
        <v>150000000</v>
      </c>
      <c r="G289" s="368">
        <f t="shared" si="141"/>
        <v>470000000</v>
      </c>
      <c r="H289" s="368">
        <v>0</v>
      </c>
      <c r="I289" s="368">
        <v>443842049</v>
      </c>
      <c r="J289" s="368">
        <f t="shared" si="136"/>
        <v>26157951</v>
      </c>
      <c r="K289" s="368">
        <v>0</v>
      </c>
      <c r="L289" s="368">
        <v>0</v>
      </c>
      <c r="M289" s="368">
        <f t="shared" si="137"/>
        <v>443842049</v>
      </c>
      <c r="N289" s="368">
        <v>446430888</v>
      </c>
      <c r="O289" s="368">
        <f t="shared" si="138"/>
        <v>2588839</v>
      </c>
      <c r="P289" s="368">
        <f t="shared" si="139"/>
        <v>23569112</v>
      </c>
      <c r="Q289" s="368">
        <f t="shared" si="146"/>
        <v>0</v>
      </c>
    </row>
    <row r="290" spans="1:17" x14ac:dyDescent="0.25">
      <c r="A290" s="364">
        <v>2321108</v>
      </c>
      <c r="B290" s="342" t="s">
        <v>129</v>
      </c>
      <c r="C290" s="368">
        <v>16588404</v>
      </c>
      <c r="D290" s="368">
        <v>0</v>
      </c>
      <c r="E290" s="368">
        <v>0</v>
      </c>
      <c r="F290" s="368">
        <v>0</v>
      </c>
      <c r="G290" s="368">
        <f t="shared" si="141"/>
        <v>16588404</v>
      </c>
      <c r="H290" s="368">
        <v>0</v>
      </c>
      <c r="I290" s="368">
        <v>0</v>
      </c>
      <c r="J290" s="368">
        <f t="shared" si="136"/>
        <v>16588404</v>
      </c>
      <c r="K290" s="368">
        <v>0</v>
      </c>
      <c r="L290" s="368">
        <v>0</v>
      </c>
      <c r="M290" s="368">
        <f t="shared" si="137"/>
        <v>0</v>
      </c>
      <c r="N290" s="368">
        <v>0</v>
      </c>
      <c r="O290" s="368">
        <f t="shared" si="138"/>
        <v>0</v>
      </c>
      <c r="P290" s="368">
        <f t="shared" si="139"/>
        <v>16588404</v>
      </c>
      <c r="Q290" s="368">
        <f t="shared" si="146"/>
        <v>0</v>
      </c>
    </row>
    <row r="291" spans="1:17" ht="30" x14ac:dyDescent="0.25">
      <c r="A291" s="364">
        <v>2321109</v>
      </c>
      <c r="B291" s="342" t="s">
        <v>130</v>
      </c>
      <c r="C291" s="368">
        <v>29005798</v>
      </c>
      <c r="D291" s="368">
        <v>0</v>
      </c>
      <c r="E291" s="368">
        <v>0</v>
      </c>
      <c r="F291" s="368">
        <v>0</v>
      </c>
      <c r="G291" s="368">
        <f t="shared" si="141"/>
        <v>29005798</v>
      </c>
      <c r="H291" s="368">
        <v>0</v>
      </c>
      <c r="I291" s="368">
        <v>0</v>
      </c>
      <c r="J291" s="368">
        <f t="shared" si="136"/>
        <v>29005798</v>
      </c>
      <c r="K291" s="368">
        <v>0</v>
      </c>
      <c r="L291" s="368">
        <v>0</v>
      </c>
      <c r="M291" s="368">
        <f t="shared" si="137"/>
        <v>0</v>
      </c>
      <c r="N291" s="368">
        <v>0</v>
      </c>
      <c r="O291" s="368">
        <f t="shared" si="138"/>
        <v>0</v>
      </c>
      <c r="P291" s="368">
        <f t="shared" si="139"/>
        <v>29005798</v>
      </c>
      <c r="Q291" s="368">
        <f t="shared" si="146"/>
        <v>0</v>
      </c>
    </row>
    <row r="292" spans="1:17" x14ac:dyDescent="0.25">
      <c r="A292" s="364">
        <v>2321110</v>
      </c>
      <c r="B292" s="342" t="s">
        <v>131</v>
      </c>
      <c r="C292" s="368">
        <v>25000000</v>
      </c>
      <c r="D292" s="368">
        <v>0</v>
      </c>
      <c r="E292" s="368">
        <v>25000000</v>
      </c>
      <c r="F292" s="368">
        <v>0</v>
      </c>
      <c r="G292" s="368">
        <f t="shared" si="141"/>
        <v>0</v>
      </c>
      <c r="H292" s="368">
        <v>0</v>
      </c>
      <c r="I292" s="368">
        <v>0</v>
      </c>
      <c r="J292" s="368">
        <f t="shared" si="136"/>
        <v>0</v>
      </c>
      <c r="K292" s="368">
        <v>0</v>
      </c>
      <c r="L292" s="368">
        <v>0</v>
      </c>
      <c r="M292" s="368">
        <f t="shared" si="137"/>
        <v>0</v>
      </c>
      <c r="N292" s="368">
        <v>0</v>
      </c>
      <c r="O292" s="368">
        <f t="shared" si="138"/>
        <v>0</v>
      </c>
      <c r="P292" s="368">
        <f t="shared" si="139"/>
        <v>0</v>
      </c>
      <c r="Q292" s="368">
        <f t="shared" si="146"/>
        <v>0</v>
      </c>
    </row>
    <row r="293" spans="1:17" s="100" customFormat="1" x14ac:dyDescent="0.25">
      <c r="A293" s="364">
        <v>2321112</v>
      </c>
      <c r="B293" s="342" t="s">
        <v>132</v>
      </c>
      <c r="C293" s="384">
        <v>650000000</v>
      </c>
      <c r="D293" s="368">
        <v>200000000</v>
      </c>
      <c r="E293" s="368">
        <v>200000000</v>
      </c>
      <c r="F293" s="368">
        <v>181000000</v>
      </c>
      <c r="G293" s="368">
        <f t="shared" si="141"/>
        <v>831000000</v>
      </c>
      <c r="H293" s="368">
        <v>12664695</v>
      </c>
      <c r="I293" s="368">
        <v>271603088.94</v>
      </c>
      <c r="J293" s="368">
        <f t="shared" si="136"/>
        <v>559396911.05999994</v>
      </c>
      <c r="K293" s="368">
        <v>54925440</v>
      </c>
      <c r="L293" s="368">
        <v>224770119.94</v>
      </c>
      <c r="M293" s="368">
        <f t="shared" si="137"/>
        <v>46832969</v>
      </c>
      <c r="N293" s="368">
        <v>614704324.94000006</v>
      </c>
      <c r="O293" s="368">
        <f t="shared" si="138"/>
        <v>343101236.00000006</v>
      </c>
      <c r="P293" s="368">
        <f t="shared" si="139"/>
        <v>216295675.05999994</v>
      </c>
      <c r="Q293" s="368">
        <f t="shared" si="146"/>
        <v>224770119.94</v>
      </c>
    </row>
    <row r="294" spans="1:17" x14ac:dyDescent="0.25">
      <c r="A294" s="364">
        <v>2321113</v>
      </c>
      <c r="B294" s="342" t="s">
        <v>133</v>
      </c>
      <c r="C294" s="368">
        <v>255215798</v>
      </c>
      <c r="D294" s="368">
        <v>0</v>
      </c>
      <c r="E294" s="368">
        <v>0</v>
      </c>
      <c r="F294" s="368">
        <v>15000000</v>
      </c>
      <c r="G294" s="368">
        <f t="shared" si="141"/>
        <v>270215798</v>
      </c>
      <c r="H294" s="368">
        <v>0</v>
      </c>
      <c r="I294" s="368">
        <v>103911112.87</v>
      </c>
      <c r="J294" s="368">
        <f t="shared" si="136"/>
        <v>166304685.13</v>
      </c>
      <c r="K294" s="368">
        <v>3442100</v>
      </c>
      <c r="L294" s="368">
        <v>92655396.870000005</v>
      </c>
      <c r="M294" s="368">
        <f t="shared" si="137"/>
        <v>11255716</v>
      </c>
      <c r="N294" s="368">
        <v>117764413.87</v>
      </c>
      <c r="O294" s="368">
        <f t="shared" si="138"/>
        <v>13853301</v>
      </c>
      <c r="P294" s="368">
        <f t="shared" si="139"/>
        <v>152451384.13</v>
      </c>
      <c r="Q294" s="368">
        <f t="shared" si="146"/>
        <v>92655396.870000005</v>
      </c>
    </row>
    <row r="295" spans="1:17" x14ac:dyDescent="0.25">
      <c r="A295" s="339">
        <v>23212</v>
      </c>
      <c r="B295" s="340" t="s">
        <v>134</v>
      </c>
      <c r="C295" s="367">
        <f>SUM(C296:C298)</f>
        <v>495000000</v>
      </c>
      <c r="D295" s="367">
        <f t="shared" ref="D295:Q295" si="147">SUM(D296:D298)</f>
        <v>0</v>
      </c>
      <c r="E295" s="367">
        <f t="shared" si="147"/>
        <v>143628460</v>
      </c>
      <c r="F295" s="367">
        <f t="shared" si="147"/>
        <v>93000000</v>
      </c>
      <c r="G295" s="367">
        <f t="shared" si="147"/>
        <v>444371540</v>
      </c>
      <c r="H295" s="367">
        <v>22204084</v>
      </c>
      <c r="I295" s="367">
        <v>365360260</v>
      </c>
      <c r="J295" s="367">
        <f t="shared" si="147"/>
        <v>79011280</v>
      </c>
      <c r="K295" s="367">
        <v>2468179</v>
      </c>
      <c r="L295" s="367">
        <v>267289693</v>
      </c>
      <c r="M295" s="367">
        <f t="shared" si="147"/>
        <v>98070567</v>
      </c>
      <c r="N295" s="367">
        <v>401636141</v>
      </c>
      <c r="O295" s="367">
        <f t="shared" si="147"/>
        <v>36275881</v>
      </c>
      <c r="P295" s="367">
        <f t="shared" si="147"/>
        <v>42735399</v>
      </c>
      <c r="Q295" s="367">
        <f t="shared" si="147"/>
        <v>267289693</v>
      </c>
    </row>
    <row r="296" spans="1:17" x14ac:dyDescent="0.25">
      <c r="A296" s="364">
        <v>232121</v>
      </c>
      <c r="B296" s="342" t="s">
        <v>135</v>
      </c>
      <c r="C296" s="368">
        <v>380000000</v>
      </c>
      <c r="D296" s="368">
        <v>0</v>
      </c>
      <c r="E296" s="368">
        <v>100000000</v>
      </c>
      <c r="F296" s="368">
        <v>93000000</v>
      </c>
      <c r="G296" s="368">
        <f t="shared" si="141"/>
        <v>373000000</v>
      </c>
      <c r="H296" s="368">
        <v>22204084</v>
      </c>
      <c r="I296" s="368">
        <v>329328044</v>
      </c>
      <c r="J296" s="368">
        <f t="shared" si="136"/>
        <v>43671956</v>
      </c>
      <c r="K296" s="368">
        <v>2168179</v>
      </c>
      <c r="L296" s="368">
        <v>252789693</v>
      </c>
      <c r="M296" s="368">
        <f t="shared" si="137"/>
        <v>76538351</v>
      </c>
      <c r="N296" s="368">
        <v>365403925</v>
      </c>
      <c r="O296" s="368">
        <f t="shared" si="138"/>
        <v>36075881</v>
      </c>
      <c r="P296" s="368">
        <f t="shared" si="139"/>
        <v>7596075</v>
      </c>
      <c r="Q296" s="368">
        <f t="shared" si="146"/>
        <v>252789693</v>
      </c>
    </row>
    <row r="297" spans="1:17" s="100" customFormat="1" x14ac:dyDescent="0.25">
      <c r="A297" s="364">
        <v>232122</v>
      </c>
      <c r="B297" s="342" t="s">
        <v>136</v>
      </c>
      <c r="C297" s="368">
        <v>100000000</v>
      </c>
      <c r="D297" s="368">
        <v>0</v>
      </c>
      <c r="E297" s="368">
        <v>43628460</v>
      </c>
      <c r="F297" s="368">
        <v>0</v>
      </c>
      <c r="G297" s="368">
        <f>+C297+D297-E297+F297</f>
        <v>56371540</v>
      </c>
      <c r="H297" s="368">
        <v>0</v>
      </c>
      <c r="I297" s="368">
        <v>34813888</v>
      </c>
      <c r="J297" s="368">
        <f t="shared" si="136"/>
        <v>21557652</v>
      </c>
      <c r="K297" s="368">
        <v>0</v>
      </c>
      <c r="L297" s="368">
        <v>13600000</v>
      </c>
      <c r="M297" s="368">
        <f t="shared" si="137"/>
        <v>21213888</v>
      </c>
      <c r="N297" s="368">
        <v>35013888</v>
      </c>
      <c r="O297" s="368">
        <f t="shared" si="138"/>
        <v>200000</v>
      </c>
      <c r="P297" s="368">
        <f t="shared" si="139"/>
        <v>21357652</v>
      </c>
      <c r="Q297" s="368">
        <f t="shared" si="146"/>
        <v>13600000</v>
      </c>
    </row>
    <row r="298" spans="1:17" x14ac:dyDescent="0.25">
      <c r="A298" s="364">
        <v>232123</v>
      </c>
      <c r="B298" s="342" t="s">
        <v>137</v>
      </c>
      <c r="C298" s="368">
        <v>15000000</v>
      </c>
      <c r="D298" s="368">
        <v>0</v>
      </c>
      <c r="E298" s="368">
        <v>0</v>
      </c>
      <c r="F298" s="368">
        <v>0</v>
      </c>
      <c r="G298" s="368">
        <f t="shared" si="141"/>
        <v>15000000</v>
      </c>
      <c r="H298" s="368">
        <v>0</v>
      </c>
      <c r="I298" s="368">
        <v>1218328</v>
      </c>
      <c r="J298" s="368">
        <f t="shared" si="136"/>
        <v>13781672</v>
      </c>
      <c r="K298" s="368">
        <v>300000</v>
      </c>
      <c r="L298" s="368">
        <v>900000</v>
      </c>
      <c r="M298" s="368">
        <f t="shared" si="137"/>
        <v>318328</v>
      </c>
      <c r="N298" s="368">
        <v>1218328</v>
      </c>
      <c r="O298" s="368">
        <f t="shared" si="138"/>
        <v>0</v>
      </c>
      <c r="P298" s="368">
        <f t="shared" si="139"/>
        <v>13781672</v>
      </c>
      <c r="Q298" s="368">
        <f t="shared" si="146"/>
        <v>900000</v>
      </c>
    </row>
    <row r="299" spans="1:17" x14ac:dyDescent="0.25">
      <c r="A299" s="339">
        <v>23213</v>
      </c>
      <c r="B299" s="340" t="s">
        <v>138</v>
      </c>
      <c r="C299" s="367">
        <f>SUM(C300:C303)</f>
        <v>60000000</v>
      </c>
      <c r="D299" s="367">
        <f t="shared" ref="D299:Q299" si="148">SUM(D300:D303)</f>
        <v>0</v>
      </c>
      <c r="E299" s="367">
        <f t="shared" si="148"/>
        <v>0</v>
      </c>
      <c r="F299" s="367">
        <f t="shared" si="148"/>
        <v>0</v>
      </c>
      <c r="G299" s="367">
        <f t="shared" si="148"/>
        <v>60000000</v>
      </c>
      <c r="H299" s="367">
        <v>0</v>
      </c>
      <c r="I299" s="367">
        <v>0</v>
      </c>
      <c r="J299" s="367">
        <f t="shared" si="148"/>
        <v>60000000</v>
      </c>
      <c r="K299" s="367">
        <v>0</v>
      </c>
      <c r="L299" s="367">
        <v>0</v>
      </c>
      <c r="M299" s="367">
        <f t="shared" si="148"/>
        <v>0</v>
      </c>
      <c r="N299" s="367">
        <v>0</v>
      </c>
      <c r="O299" s="367">
        <f t="shared" si="148"/>
        <v>0</v>
      </c>
      <c r="P299" s="367">
        <f t="shared" si="148"/>
        <v>60000000</v>
      </c>
      <c r="Q299" s="367">
        <f t="shared" si="148"/>
        <v>0</v>
      </c>
    </row>
    <row r="300" spans="1:17" x14ac:dyDescent="0.25">
      <c r="A300" s="364">
        <v>232131</v>
      </c>
      <c r="B300" s="342" t="s">
        <v>139</v>
      </c>
      <c r="C300" s="368">
        <v>17000000</v>
      </c>
      <c r="D300" s="368">
        <v>0</v>
      </c>
      <c r="E300" s="368">
        <v>0</v>
      </c>
      <c r="F300" s="368">
        <v>0</v>
      </c>
      <c r="G300" s="368">
        <f t="shared" si="141"/>
        <v>17000000</v>
      </c>
      <c r="H300" s="368">
        <v>0</v>
      </c>
      <c r="I300" s="368">
        <v>0</v>
      </c>
      <c r="J300" s="368">
        <f t="shared" si="136"/>
        <v>17000000</v>
      </c>
      <c r="K300" s="368">
        <v>0</v>
      </c>
      <c r="L300" s="368">
        <v>0</v>
      </c>
      <c r="M300" s="368">
        <f t="shared" si="137"/>
        <v>0</v>
      </c>
      <c r="N300" s="368">
        <v>0</v>
      </c>
      <c r="O300" s="368">
        <f t="shared" si="138"/>
        <v>0</v>
      </c>
      <c r="P300" s="368">
        <f t="shared" si="139"/>
        <v>17000000</v>
      </c>
      <c r="Q300" s="368">
        <f t="shared" si="146"/>
        <v>0</v>
      </c>
    </row>
    <row r="301" spans="1:17" x14ac:dyDescent="0.25">
      <c r="A301" s="364">
        <v>232132</v>
      </c>
      <c r="B301" s="342" t="s">
        <v>140</v>
      </c>
      <c r="C301" s="368">
        <v>15000000</v>
      </c>
      <c r="D301" s="368">
        <v>0</v>
      </c>
      <c r="E301" s="368">
        <v>0</v>
      </c>
      <c r="F301" s="368">
        <v>0</v>
      </c>
      <c r="G301" s="368">
        <f t="shared" si="141"/>
        <v>15000000</v>
      </c>
      <c r="H301" s="368">
        <v>0</v>
      </c>
      <c r="I301" s="368">
        <v>0</v>
      </c>
      <c r="J301" s="368">
        <f t="shared" si="136"/>
        <v>15000000</v>
      </c>
      <c r="K301" s="368">
        <v>0</v>
      </c>
      <c r="L301" s="368">
        <v>0</v>
      </c>
      <c r="M301" s="368">
        <f t="shared" si="137"/>
        <v>0</v>
      </c>
      <c r="N301" s="368">
        <v>0</v>
      </c>
      <c r="O301" s="368">
        <f t="shared" si="138"/>
        <v>0</v>
      </c>
      <c r="P301" s="368">
        <f t="shared" si="139"/>
        <v>15000000</v>
      </c>
      <c r="Q301" s="368">
        <f t="shared" si="146"/>
        <v>0</v>
      </c>
    </row>
    <row r="302" spans="1:17" s="100" customFormat="1" x14ac:dyDescent="0.25">
      <c r="A302" s="364">
        <v>232133</v>
      </c>
      <c r="B302" s="342" t="s">
        <v>141</v>
      </c>
      <c r="C302" s="368">
        <v>18000000</v>
      </c>
      <c r="D302" s="368">
        <v>0</v>
      </c>
      <c r="E302" s="368">
        <v>0</v>
      </c>
      <c r="F302" s="368">
        <v>0</v>
      </c>
      <c r="G302" s="368">
        <f t="shared" si="141"/>
        <v>18000000</v>
      </c>
      <c r="H302" s="368">
        <v>0</v>
      </c>
      <c r="I302" s="368">
        <v>0</v>
      </c>
      <c r="J302" s="368">
        <f t="shared" si="136"/>
        <v>18000000</v>
      </c>
      <c r="K302" s="368">
        <v>0</v>
      </c>
      <c r="L302" s="368">
        <v>0</v>
      </c>
      <c r="M302" s="368">
        <f t="shared" si="137"/>
        <v>0</v>
      </c>
      <c r="N302" s="368">
        <v>0</v>
      </c>
      <c r="O302" s="368">
        <f t="shared" si="138"/>
        <v>0</v>
      </c>
      <c r="P302" s="368">
        <f t="shared" si="139"/>
        <v>18000000</v>
      </c>
      <c r="Q302" s="368">
        <f t="shared" si="146"/>
        <v>0</v>
      </c>
    </row>
    <row r="303" spans="1:17" x14ac:dyDescent="0.25">
      <c r="A303" s="364">
        <v>232134</v>
      </c>
      <c r="B303" s="342" t="s">
        <v>142</v>
      </c>
      <c r="C303" s="368">
        <v>10000000</v>
      </c>
      <c r="D303" s="368">
        <v>0</v>
      </c>
      <c r="E303" s="368">
        <v>0</v>
      </c>
      <c r="F303" s="368">
        <v>0</v>
      </c>
      <c r="G303" s="368">
        <f t="shared" si="141"/>
        <v>10000000</v>
      </c>
      <c r="H303" s="368">
        <v>0</v>
      </c>
      <c r="I303" s="368">
        <v>0</v>
      </c>
      <c r="J303" s="368">
        <f t="shared" si="136"/>
        <v>10000000</v>
      </c>
      <c r="K303" s="368">
        <v>0</v>
      </c>
      <c r="L303" s="368">
        <v>0</v>
      </c>
      <c r="M303" s="368">
        <f t="shared" si="137"/>
        <v>0</v>
      </c>
      <c r="N303" s="368">
        <v>0</v>
      </c>
      <c r="O303" s="368">
        <f t="shared" si="138"/>
        <v>0</v>
      </c>
      <c r="P303" s="368">
        <f t="shared" si="139"/>
        <v>10000000</v>
      </c>
      <c r="Q303" s="368">
        <f t="shared" si="146"/>
        <v>0</v>
      </c>
    </row>
    <row r="304" spans="1:17" x14ac:dyDescent="0.25">
      <c r="A304" s="339">
        <v>23214</v>
      </c>
      <c r="B304" s="340" t="s">
        <v>143</v>
      </c>
      <c r="C304" s="367">
        <f>SUM(C305:C308)</f>
        <v>272994202</v>
      </c>
      <c r="D304" s="367">
        <f t="shared" ref="D304:Q304" si="149">SUM(D305:D308)</f>
        <v>120000000</v>
      </c>
      <c r="E304" s="367">
        <f t="shared" si="149"/>
        <v>0</v>
      </c>
      <c r="F304" s="367">
        <f t="shared" si="149"/>
        <v>80000000</v>
      </c>
      <c r="G304" s="367">
        <f t="shared" si="149"/>
        <v>472994202</v>
      </c>
      <c r="H304" s="367">
        <v>32205880</v>
      </c>
      <c r="I304" s="367">
        <v>451662016</v>
      </c>
      <c r="J304" s="367">
        <f t="shared" si="149"/>
        <v>21332186</v>
      </c>
      <c r="K304" s="367">
        <v>0</v>
      </c>
      <c r="L304" s="367">
        <v>93082233</v>
      </c>
      <c r="M304" s="367">
        <f t="shared" si="149"/>
        <v>358579783</v>
      </c>
      <c r="N304" s="367">
        <v>451662016</v>
      </c>
      <c r="O304" s="367">
        <f t="shared" si="149"/>
        <v>0</v>
      </c>
      <c r="P304" s="367">
        <f t="shared" si="149"/>
        <v>21332186</v>
      </c>
      <c r="Q304" s="367">
        <f t="shared" si="149"/>
        <v>93082233</v>
      </c>
    </row>
    <row r="305" spans="1:17" x14ac:dyDescent="0.25">
      <c r="A305" s="364">
        <v>232141</v>
      </c>
      <c r="B305" s="342" t="s">
        <v>144</v>
      </c>
      <c r="C305" s="368">
        <v>100000000</v>
      </c>
      <c r="D305" s="368">
        <v>120000000</v>
      </c>
      <c r="E305" s="368">
        <v>0</v>
      </c>
      <c r="F305" s="368">
        <v>0</v>
      </c>
      <c r="G305" s="368">
        <f t="shared" si="141"/>
        <v>220000000</v>
      </c>
      <c r="H305" s="368">
        <v>32205880</v>
      </c>
      <c r="I305" s="368">
        <v>198667814</v>
      </c>
      <c r="J305" s="368">
        <f t="shared" si="136"/>
        <v>21332186</v>
      </c>
      <c r="K305" s="368">
        <v>0</v>
      </c>
      <c r="L305" s="368">
        <v>0</v>
      </c>
      <c r="M305" s="368">
        <f t="shared" si="137"/>
        <v>198667814</v>
      </c>
      <c r="N305" s="368">
        <v>198667814</v>
      </c>
      <c r="O305" s="368">
        <f t="shared" si="138"/>
        <v>0</v>
      </c>
      <c r="P305" s="368">
        <f t="shared" si="139"/>
        <v>21332186</v>
      </c>
      <c r="Q305" s="368">
        <f t="shared" si="146"/>
        <v>0</v>
      </c>
    </row>
    <row r="306" spans="1:17" x14ac:dyDescent="0.25">
      <c r="A306" s="364">
        <v>232142</v>
      </c>
      <c r="B306" s="342" t="s">
        <v>145</v>
      </c>
      <c r="C306" s="368">
        <v>100000000</v>
      </c>
      <c r="D306" s="368">
        <v>0</v>
      </c>
      <c r="E306" s="368">
        <v>0</v>
      </c>
      <c r="F306" s="368">
        <v>0</v>
      </c>
      <c r="G306" s="368">
        <f t="shared" si="141"/>
        <v>100000000</v>
      </c>
      <c r="H306" s="368">
        <v>0</v>
      </c>
      <c r="I306" s="368">
        <v>100000000</v>
      </c>
      <c r="J306" s="368">
        <f t="shared" si="136"/>
        <v>0</v>
      </c>
      <c r="K306" s="368">
        <v>0</v>
      </c>
      <c r="L306" s="368">
        <v>93082233</v>
      </c>
      <c r="M306" s="368">
        <f t="shared" si="137"/>
        <v>6917767</v>
      </c>
      <c r="N306" s="368">
        <v>100000000</v>
      </c>
      <c r="O306" s="368">
        <f t="shared" si="138"/>
        <v>0</v>
      </c>
      <c r="P306" s="368">
        <f t="shared" si="139"/>
        <v>0</v>
      </c>
      <c r="Q306" s="368">
        <f t="shared" si="146"/>
        <v>93082233</v>
      </c>
    </row>
    <row r="307" spans="1:17" s="100" customFormat="1" x14ac:dyDescent="0.25">
      <c r="A307" s="364">
        <v>232143</v>
      </c>
      <c r="B307" s="342" t="s">
        <v>146</v>
      </c>
      <c r="C307" s="368">
        <v>48000000</v>
      </c>
      <c r="D307" s="368">
        <v>0</v>
      </c>
      <c r="E307" s="368">
        <v>0</v>
      </c>
      <c r="F307" s="368">
        <v>80000000</v>
      </c>
      <c r="G307" s="368">
        <f t="shared" si="141"/>
        <v>128000000</v>
      </c>
      <c r="H307" s="368">
        <v>0</v>
      </c>
      <c r="I307" s="368">
        <v>128000000</v>
      </c>
      <c r="J307" s="368">
        <f t="shared" si="136"/>
        <v>0</v>
      </c>
      <c r="K307" s="368">
        <v>0</v>
      </c>
      <c r="L307" s="368">
        <v>0</v>
      </c>
      <c r="M307" s="368">
        <f t="shared" si="137"/>
        <v>128000000</v>
      </c>
      <c r="N307" s="368">
        <v>128000000</v>
      </c>
      <c r="O307" s="368">
        <f t="shared" si="138"/>
        <v>0</v>
      </c>
      <c r="P307" s="368">
        <f t="shared" si="139"/>
        <v>0</v>
      </c>
      <c r="Q307" s="368">
        <f t="shared" si="146"/>
        <v>0</v>
      </c>
    </row>
    <row r="308" spans="1:17" x14ac:dyDescent="0.25">
      <c r="A308" s="364">
        <v>232144</v>
      </c>
      <c r="B308" s="342" t="s">
        <v>147</v>
      </c>
      <c r="C308" s="368">
        <v>24994202</v>
      </c>
      <c r="D308" s="368">
        <v>0</v>
      </c>
      <c r="E308" s="368">
        <v>0</v>
      </c>
      <c r="F308" s="368">
        <v>0</v>
      </c>
      <c r="G308" s="368">
        <f t="shared" si="141"/>
        <v>24994202</v>
      </c>
      <c r="H308" s="368">
        <v>0</v>
      </c>
      <c r="I308" s="368">
        <v>24994202</v>
      </c>
      <c r="J308" s="368">
        <f t="shared" si="136"/>
        <v>0</v>
      </c>
      <c r="K308" s="368">
        <v>0</v>
      </c>
      <c r="L308" s="368">
        <v>0</v>
      </c>
      <c r="M308" s="368">
        <f t="shared" si="137"/>
        <v>24994202</v>
      </c>
      <c r="N308" s="368">
        <v>24994202</v>
      </c>
      <c r="O308" s="368">
        <f t="shared" si="138"/>
        <v>0</v>
      </c>
      <c r="P308" s="368">
        <f t="shared" si="139"/>
        <v>0</v>
      </c>
      <c r="Q308" s="368">
        <f t="shared" si="146"/>
        <v>0</v>
      </c>
    </row>
    <row r="309" spans="1:17" ht="30" x14ac:dyDescent="0.25">
      <c r="A309" s="339">
        <v>23215</v>
      </c>
      <c r="B309" s="340" t="s">
        <v>893</v>
      </c>
      <c r="C309" s="367">
        <f>SUM(C310:C312)</f>
        <v>0</v>
      </c>
      <c r="D309" s="367">
        <f t="shared" ref="D309:Q309" si="150">SUM(D310:D312)</f>
        <v>1260574006</v>
      </c>
      <c r="E309" s="367">
        <f t="shared" si="150"/>
        <v>0</v>
      </c>
      <c r="F309" s="367">
        <f t="shared" si="150"/>
        <v>0</v>
      </c>
      <c r="G309" s="367">
        <f t="shared" si="150"/>
        <v>1260574006</v>
      </c>
      <c r="H309" s="367">
        <v>0</v>
      </c>
      <c r="I309" s="367">
        <v>1010268545.05</v>
      </c>
      <c r="J309" s="367">
        <f t="shared" si="150"/>
        <v>250305460.95000005</v>
      </c>
      <c r="K309" s="367">
        <v>65268106</v>
      </c>
      <c r="L309" s="367">
        <v>539585638.04999995</v>
      </c>
      <c r="M309" s="367">
        <f t="shared" si="150"/>
        <v>470682906.99999994</v>
      </c>
      <c r="N309" s="367">
        <v>1160574006</v>
      </c>
      <c r="O309" s="367">
        <f t="shared" si="150"/>
        <v>150305460.95000005</v>
      </c>
      <c r="P309" s="367">
        <f t="shared" si="150"/>
        <v>100000000</v>
      </c>
      <c r="Q309" s="367">
        <f t="shared" si="150"/>
        <v>0</v>
      </c>
    </row>
    <row r="310" spans="1:17" s="100" customFormat="1" x14ac:dyDescent="0.25">
      <c r="A310" s="364">
        <v>2321501</v>
      </c>
      <c r="B310" s="342" t="s">
        <v>894</v>
      </c>
      <c r="C310" s="384"/>
      <c r="D310" s="368">
        <f>800000000+260574006</f>
        <v>1060574006</v>
      </c>
      <c r="E310" s="368">
        <v>0</v>
      </c>
      <c r="F310" s="368">
        <v>0</v>
      </c>
      <c r="G310" s="368">
        <f t="shared" si="141"/>
        <v>1060574006</v>
      </c>
      <c r="H310" s="368">
        <v>0</v>
      </c>
      <c r="I310" s="368">
        <v>914870645.04999995</v>
      </c>
      <c r="J310" s="368">
        <f t="shared" si="136"/>
        <v>145703360.95000005</v>
      </c>
      <c r="K310" s="368">
        <v>64113256</v>
      </c>
      <c r="L310" s="368">
        <v>520134689.05000001</v>
      </c>
      <c r="M310" s="368">
        <f t="shared" si="137"/>
        <v>394735955.99999994</v>
      </c>
      <c r="N310" s="368">
        <v>1060574006</v>
      </c>
      <c r="O310" s="368">
        <f t="shared" si="138"/>
        <v>145703360.95000005</v>
      </c>
      <c r="P310" s="368">
        <f t="shared" si="139"/>
        <v>0</v>
      </c>
      <c r="Q310" s="368"/>
    </row>
    <row r="311" spans="1:17" x14ac:dyDescent="0.25">
      <c r="A311" s="364">
        <v>2321502</v>
      </c>
      <c r="B311" s="342" t="s">
        <v>895</v>
      </c>
      <c r="C311" s="384"/>
      <c r="D311" s="368">
        <v>100000000</v>
      </c>
      <c r="E311" s="368">
        <v>0</v>
      </c>
      <c r="F311" s="368">
        <v>0</v>
      </c>
      <c r="G311" s="368">
        <f t="shared" si="141"/>
        <v>100000000</v>
      </c>
      <c r="H311" s="368">
        <v>0</v>
      </c>
      <c r="I311" s="368">
        <v>95397900</v>
      </c>
      <c r="J311" s="368">
        <f t="shared" si="136"/>
        <v>4602100</v>
      </c>
      <c r="K311" s="368">
        <v>1154850</v>
      </c>
      <c r="L311" s="368">
        <v>19450949</v>
      </c>
      <c r="M311" s="368">
        <f t="shared" si="137"/>
        <v>75946951</v>
      </c>
      <c r="N311" s="368">
        <v>100000000</v>
      </c>
      <c r="O311" s="368">
        <f t="shared" si="138"/>
        <v>4602100</v>
      </c>
      <c r="P311" s="368">
        <f t="shared" si="139"/>
        <v>0</v>
      </c>
      <c r="Q311" s="368"/>
    </row>
    <row r="312" spans="1:17" s="100" customFormat="1" x14ac:dyDescent="0.25">
      <c r="A312" s="364">
        <v>2321503</v>
      </c>
      <c r="B312" s="342" t="s">
        <v>896</v>
      </c>
      <c r="C312" s="384"/>
      <c r="D312" s="368">
        <v>100000000</v>
      </c>
      <c r="E312" s="368">
        <v>0</v>
      </c>
      <c r="F312" s="368">
        <v>0</v>
      </c>
      <c r="G312" s="368">
        <f t="shared" si="141"/>
        <v>100000000</v>
      </c>
      <c r="H312" s="368">
        <v>0</v>
      </c>
      <c r="I312" s="368">
        <v>0</v>
      </c>
      <c r="J312" s="368">
        <f t="shared" si="136"/>
        <v>100000000</v>
      </c>
      <c r="K312" s="368">
        <v>0</v>
      </c>
      <c r="L312" s="368">
        <v>0</v>
      </c>
      <c r="M312" s="368">
        <f t="shared" si="137"/>
        <v>0</v>
      </c>
      <c r="N312" s="368">
        <v>0</v>
      </c>
      <c r="O312" s="368">
        <f t="shared" si="138"/>
        <v>0</v>
      </c>
      <c r="P312" s="368">
        <f t="shared" si="139"/>
        <v>100000000</v>
      </c>
      <c r="Q312" s="368"/>
    </row>
    <row r="313" spans="1:17" s="100" customFormat="1" x14ac:dyDescent="0.25">
      <c r="A313" s="335">
        <v>2322</v>
      </c>
      <c r="B313" s="336" t="s">
        <v>148</v>
      </c>
      <c r="C313" s="365">
        <f>+C314+C315</f>
        <v>120000000</v>
      </c>
      <c r="D313" s="365">
        <f t="shared" ref="D313:Q313" si="151">+D314+D315</f>
        <v>0</v>
      </c>
      <c r="E313" s="365">
        <f t="shared" si="151"/>
        <v>0</v>
      </c>
      <c r="F313" s="365">
        <f t="shared" si="151"/>
        <v>0</v>
      </c>
      <c r="G313" s="365">
        <f t="shared" si="151"/>
        <v>120000000</v>
      </c>
      <c r="H313" s="365">
        <v>2468320</v>
      </c>
      <c r="I313" s="365">
        <v>15538871</v>
      </c>
      <c r="J313" s="365">
        <f t="shared" si="151"/>
        <v>104461129</v>
      </c>
      <c r="K313" s="365">
        <v>2751921.71</v>
      </c>
      <c r="L313" s="365">
        <v>5639661.71</v>
      </c>
      <c r="M313" s="365">
        <f t="shared" si="151"/>
        <v>9899209.2899999991</v>
      </c>
      <c r="N313" s="365">
        <v>30448205</v>
      </c>
      <c r="O313" s="365">
        <f t="shared" si="151"/>
        <v>14909334</v>
      </c>
      <c r="P313" s="365">
        <f t="shared" si="151"/>
        <v>89551795</v>
      </c>
      <c r="Q313" s="365">
        <f t="shared" si="151"/>
        <v>5639661.71</v>
      </c>
    </row>
    <row r="314" spans="1:17" s="100" customFormat="1" x14ac:dyDescent="0.25">
      <c r="A314" s="364">
        <v>23221</v>
      </c>
      <c r="B314" s="342" t="s">
        <v>626</v>
      </c>
      <c r="C314" s="368">
        <v>80000000</v>
      </c>
      <c r="D314" s="368">
        <v>0</v>
      </c>
      <c r="E314" s="368">
        <v>0</v>
      </c>
      <c r="F314" s="368">
        <v>0</v>
      </c>
      <c r="G314" s="368">
        <f t="shared" si="141"/>
        <v>80000000</v>
      </c>
      <c r="H314" s="368">
        <v>2358352</v>
      </c>
      <c r="I314" s="368">
        <v>14606231</v>
      </c>
      <c r="J314" s="368">
        <f t="shared" si="136"/>
        <v>65393769</v>
      </c>
      <c r="K314" s="368">
        <v>2500000</v>
      </c>
      <c r="L314" s="368">
        <v>4826517</v>
      </c>
      <c r="M314" s="368">
        <f t="shared" si="137"/>
        <v>9779714</v>
      </c>
      <c r="N314" s="368">
        <v>17638237</v>
      </c>
      <c r="O314" s="368">
        <f t="shared" si="138"/>
        <v>3032006</v>
      </c>
      <c r="P314" s="368">
        <f t="shared" si="139"/>
        <v>62361763</v>
      </c>
      <c r="Q314" s="368">
        <f t="shared" si="146"/>
        <v>4826517</v>
      </c>
    </row>
    <row r="315" spans="1:17" s="100" customFormat="1" x14ac:dyDescent="0.25">
      <c r="A315" s="364">
        <v>23224</v>
      </c>
      <c r="B315" s="342" t="s">
        <v>650</v>
      </c>
      <c r="C315" s="368">
        <v>40000000</v>
      </c>
      <c r="D315" s="368">
        <v>0</v>
      </c>
      <c r="E315" s="368">
        <v>0</v>
      </c>
      <c r="F315" s="368">
        <v>0</v>
      </c>
      <c r="G315" s="368">
        <f t="shared" si="141"/>
        <v>40000000</v>
      </c>
      <c r="H315" s="368">
        <v>109968</v>
      </c>
      <c r="I315" s="368">
        <v>932640</v>
      </c>
      <c r="J315" s="368">
        <f t="shared" si="136"/>
        <v>39067360</v>
      </c>
      <c r="K315" s="368">
        <v>251921.71</v>
      </c>
      <c r="L315" s="368">
        <v>813144.71</v>
      </c>
      <c r="M315" s="368">
        <f t="shared" si="137"/>
        <v>119495.29000000004</v>
      </c>
      <c r="N315" s="368">
        <v>12809968</v>
      </c>
      <c r="O315" s="368">
        <f t="shared" si="138"/>
        <v>11877328</v>
      </c>
      <c r="P315" s="368">
        <f t="shared" si="139"/>
        <v>27190032</v>
      </c>
      <c r="Q315" s="368">
        <f t="shared" si="146"/>
        <v>813144.71</v>
      </c>
    </row>
    <row r="316" spans="1:17" x14ac:dyDescent="0.25">
      <c r="A316" s="339">
        <v>2323</v>
      </c>
      <c r="B316" s="340" t="s">
        <v>149</v>
      </c>
      <c r="C316" s="367">
        <f>+C317</f>
        <v>100000000</v>
      </c>
      <c r="D316" s="367">
        <f t="shared" ref="D316:Q316" si="152">+D317</f>
        <v>0</v>
      </c>
      <c r="E316" s="367">
        <f t="shared" si="152"/>
        <v>0</v>
      </c>
      <c r="F316" s="367">
        <f t="shared" si="152"/>
        <v>0</v>
      </c>
      <c r="G316" s="367">
        <f t="shared" si="152"/>
        <v>100000000</v>
      </c>
      <c r="H316" s="367">
        <v>0</v>
      </c>
      <c r="I316" s="367">
        <v>3950113</v>
      </c>
      <c r="J316" s="367">
        <f t="shared" si="152"/>
        <v>96049887</v>
      </c>
      <c r="K316" s="367">
        <v>3950112</v>
      </c>
      <c r="L316" s="367">
        <v>3950112</v>
      </c>
      <c r="M316" s="367">
        <f t="shared" si="152"/>
        <v>1</v>
      </c>
      <c r="N316" s="367">
        <v>4610000</v>
      </c>
      <c r="O316" s="367">
        <f t="shared" si="152"/>
        <v>659887</v>
      </c>
      <c r="P316" s="367">
        <f t="shared" si="152"/>
        <v>95390000</v>
      </c>
      <c r="Q316" s="367">
        <f t="shared" si="152"/>
        <v>3950112</v>
      </c>
    </row>
    <row r="317" spans="1:17" s="100" customFormat="1" x14ac:dyDescent="0.25">
      <c r="A317" s="364">
        <v>23231</v>
      </c>
      <c r="B317" s="342" t="s">
        <v>627</v>
      </c>
      <c r="C317" s="368">
        <v>100000000</v>
      </c>
      <c r="D317" s="368">
        <v>0</v>
      </c>
      <c r="E317" s="368">
        <v>0</v>
      </c>
      <c r="F317" s="368">
        <v>0</v>
      </c>
      <c r="G317" s="368">
        <f t="shared" si="141"/>
        <v>100000000</v>
      </c>
      <c r="H317" s="368">
        <v>0</v>
      </c>
      <c r="I317" s="368">
        <v>3950113</v>
      </c>
      <c r="J317" s="368">
        <f t="shared" si="136"/>
        <v>96049887</v>
      </c>
      <c r="K317" s="368">
        <v>3950112</v>
      </c>
      <c r="L317" s="368">
        <v>3950112</v>
      </c>
      <c r="M317" s="368">
        <f t="shared" si="137"/>
        <v>1</v>
      </c>
      <c r="N317" s="368">
        <v>4610000</v>
      </c>
      <c r="O317" s="368">
        <f t="shared" si="138"/>
        <v>659887</v>
      </c>
      <c r="P317" s="368">
        <f t="shared" si="139"/>
        <v>95390000</v>
      </c>
      <c r="Q317" s="368">
        <f t="shared" si="146"/>
        <v>3950112</v>
      </c>
    </row>
    <row r="318" spans="1:17" s="100" customFormat="1" x14ac:dyDescent="0.25">
      <c r="A318" s="335">
        <v>233</v>
      </c>
      <c r="B318" s="336" t="s">
        <v>150</v>
      </c>
      <c r="C318" s="365">
        <f>+C319+C321</f>
        <v>94200000</v>
      </c>
      <c r="D318" s="365">
        <f t="shared" ref="D318:Q318" si="153">+D319+D321</f>
        <v>0</v>
      </c>
      <c r="E318" s="365">
        <f t="shared" si="153"/>
        <v>0</v>
      </c>
      <c r="F318" s="365">
        <f t="shared" si="153"/>
        <v>0</v>
      </c>
      <c r="G318" s="365">
        <f t="shared" si="153"/>
        <v>94200000</v>
      </c>
      <c r="H318" s="365">
        <v>0</v>
      </c>
      <c r="I318" s="365">
        <v>0</v>
      </c>
      <c r="J318" s="365">
        <f t="shared" si="153"/>
        <v>94200000</v>
      </c>
      <c r="K318" s="365">
        <v>0</v>
      </c>
      <c r="L318" s="365">
        <v>0</v>
      </c>
      <c r="M318" s="365">
        <f t="shared" si="153"/>
        <v>0</v>
      </c>
      <c r="N318" s="365">
        <v>2900000</v>
      </c>
      <c r="O318" s="365">
        <f t="shared" si="153"/>
        <v>2900000</v>
      </c>
      <c r="P318" s="365">
        <f t="shared" si="153"/>
        <v>91300000</v>
      </c>
      <c r="Q318" s="365">
        <f t="shared" si="153"/>
        <v>0</v>
      </c>
    </row>
    <row r="319" spans="1:17" x14ac:dyDescent="0.25">
      <c r="A319" s="335">
        <v>2331</v>
      </c>
      <c r="B319" s="336" t="s">
        <v>151</v>
      </c>
      <c r="C319" s="365">
        <f>+C320</f>
        <v>80000000</v>
      </c>
      <c r="D319" s="365">
        <f t="shared" ref="D319:Q319" si="154">+D320</f>
        <v>0</v>
      </c>
      <c r="E319" s="365">
        <f t="shared" si="154"/>
        <v>0</v>
      </c>
      <c r="F319" s="365">
        <f t="shared" si="154"/>
        <v>0</v>
      </c>
      <c r="G319" s="365">
        <f t="shared" si="154"/>
        <v>80000000</v>
      </c>
      <c r="H319" s="365">
        <v>0</v>
      </c>
      <c r="I319" s="365">
        <v>0</v>
      </c>
      <c r="J319" s="365">
        <f t="shared" si="154"/>
        <v>80000000</v>
      </c>
      <c r="K319" s="365">
        <v>0</v>
      </c>
      <c r="L319" s="365">
        <v>0</v>
      </c>
      <c r="M319" s="365">
        <f t="shared" si="154"/>
        <v>0</v>
      </c>
      <c r="N319" s="365">
        <v>2900000</v>
      </c>
      <c r="O319" s="365">
        <f t="shared" si="154"/>
        <v>2900000</v>
      </c>
      <c r="P319" s="365">
        <f t="shared" si="154"/>
        <v>77100000</v>
      </c>
      <c r="Q319" s="365">
        <f t="shared" si="154"/>
        <v>0</v>
      </c>
    </row>
    <row r="320" spans="1:17" x14ac:dyDescent="0.25">
      <c r="A320" s="339">
        <v>23311</v>
      </c>
      <c r="B320" s="340" t="s">
        <v>152</v>
      </c>
      <c r="C320" s="367">
        <v>80000000</v>
      </c>
      <c r="D320" s="367"/>
      <c r="E320" s="367"/>
      <c r="F320" s="367"/>
      <c r="G320" s="367">
        <v>80000000</v>
      </c>
      <c r="H320" s="367">
        <v>0</v>
      </c>
      <c r="I320" s="367">
        <v>0</v>
      </c>
      <c r="J320" s="367">
        <f t="shared" si="136"/>
        <v>80000000</v>
      </c>
      <c r="K320" s="367">
        <v>0</v>
      </c>
      <c r="L320" s="367">
        <v>0</v>
      </c>
      <c r="M320" s="367">
        <f t="shared" si="137"/>
        <v>0</v>
      </c>
      <c r="N320" s="367">
        <v>2900000</v>
      </c>
      <c r="O320" s="367">
        <f t="shared" si="138"/>
        <v>2900000</v>
      </c>
      <c r="P320" s="367">
        <f t="shared" si="139"/>
        <v>77100000</v>
      </c>
      <c r="Q320" s="367"/>
    </row>
    <row r="321" spans="1:17" x14ac:dyDescent="0.25">
      <c r="A321" s="335">
        <v>2332</v>
      </c>
      <c r="B321" s="336" t="s">
        <v>153</v>
      </c>
      <c r="C321" s="365">
        <f>+C322</f>
        <v>14200000</v>
      </c>
      <c r="D321" s="365">
        <f t="shared" ref="D321:Q321" si="155">+D322</f>
        <v>0</v>
      </c>
      <c r="E321" s="365">
        <f t="shared" si="155"/>
        <v>0</v>
      </c>
      <c r="F321" s="365">
        <f t="shared" si="155"/>
        <v>0</v>
      </c>
      <c r="G321" s="365">
        <f t="shared" si="155"/>
        <v>14200000</v>
      </c>
      <c r="H321" s="365">
        <v>0</v>
      </c>
      <c r="I321" s="365">
        <v>0</v>
      </c>
      <c r="J321" s="365">
        <f t="shared" si="155"/>
        <v>14200000</v>
      </c>
      <c r="K321" s="365">
        <v>0</v>
      </c>
      <c r="L321" s="365">
        <v>0</v>
      </c>
      <c r="M321" s="365">
        <f t="shared" si="155"/>
        <v>0</v>
      </c>
      <c r="N321" s="365">
        <v>0</v>
      </c>
      <c r="O321" s="365">
        <f t="shared" si="155"/>
        <v>0</v>
      </c>
      <c r="P321" s="365">
        <f t="shared" si="155"/>
        <v>14200000</v>
      </c>
      <c r="Q321" s="365">
        <f t="shared" si="155"/>
        <v>0</v>
      </c>
    </row>
    <row r="322" spans="1:17" ht="30" x14ac:dyDescent="0.25">
      <c r="A322" s="364">
        <v>23323</v>
      </c>
      <c r="B322" s="342" t="s">
        <v>628</v>
      </c>
      <c r="C322" s="368">
        <v>14200000</v>
      </c>
      <c r="D322" s="368">
        <v>0</v>
      </c>
      <c r="E322" s="368">
        <v>0</v>
      </c>
      <c r="F322" s="368">
        <v>0</v>
      </c>
      <c r="G322" s="368">
        <f t="shared" si="141"/>
        <v>14200000</v>
      </c>
      <c r="H322" s="368">
        <v>0</v>
      </c>
      <c r="I322" s="368">
        <v>0</v>
      </c>
      <c r="J322" s="368">
        <f t="shared" si="136"/>
        <v>14200000</v>
      </c>
      <c r="K322" s="368">
        <v>0</v>
      </c>
      <c r="L322" s="368">
        <v>0</v>
      </c>
      <c r="M322" s="368">
        <f t="shared" si="137"/>
        <v>0</v>
      </c>
      <c r="N322" s="368">
        <v>0</v>
      </c>
      <c r="O322" s="368">
        <f t="shared" si="138"/>
        <v>0</v>
      </c>
      <c r="P322" s="368">
        <f t="shared" si="139"/>
        <v>14200000</v>
      </c>
      <c r="Q322" s="368">
        <f t="shared" si="146"/>
        <v>0</v>
      </c>
    </row>
    <row r="323" spans="1:17" s="100" customFormat="1" x14ac:dyDescent="0.25">
      <c r="A323" s="335">
        <v>234</v>
      </c>
      <c r="B323" s="336" t="s">
        <v>154</v>
      </c>
      <c r="C323" s="365">
        <f>+C324+C333</f>
        <v>2119805038</v>
      </c>
      <c r="D323" s="365">
        <f t="shared" ref="D323:Q323" si="156">+D324+D333</f>
        <v>0</v>
      </c>
      <c r="E323" s="365">
        <f t="shared" si="156"/>
        <v>380574006</v>
      </c>
      <c r="F323" s="365">
        <f t="shared" si="156"/>
        <v>343492005.03999996</v>
      </c>
      <c r="G323" s="365">
        <f t="shared" si="156"/>
        <v>2082723037.04</v>
      </c>
      <c r="H323" s="365">
        <v>4517605</v>
      </c>
      <c r="I323" s="365">
        <v>622871265.03999996</v>
      </c>
      <c r="J323" s="365">
        <f t="shared" si="156"/>
        <v>1421967111</v>
      </c>
      <c r="K323" s="365">
        <v>156915796</v>
      </c>
      <c r="L323" s="365">
        <v>245968170.67999998</v>
      </c>
      <c r="M323" s="365">
        <f t="shared" si="156"/>
        <v>376903094.36000001</v>
      </c>
      <c r="N323" s="365">
        <v>657685670.03999996</v>
      </c>
      <c r="O323" s="365">
        <f t="shared" si="156"/>
        <v>34814405</v>
      </c>
      <c r="P323" s="365">
        <f t="shared" si="156"/>
        <v>1388016149</v>
      </c>
      <c r="Q323" s="365">
        <f t="shared" si="156"/>
        <v>223103073.63999999</v>
      </c>
    </row>
    <row r="324" spans="1:17" s="100" customFormat="1" ht="30" x14ac:dyDescent="0.25">
      <c r="A324" s="339">
        <v>2341</v>
      </c>
      <c r="B324" s="340" t="s">
        <v>155</v>
      </c>
      <c r="C324" s="367">
        <f t="shared" ref="C324:Q324" si="157">+C325+C326+C327+C328+C329+C330+C331+C332</f>
        <v>753995798</v>
      </c>
      <c r="D324" s="367">
        <f t="shared" si="157"/>
        <v>0</v>
      </c>
      <c r="E324" s="367">
        <f t="shared" si="157"/>
        <v>380574006</v>
      </c>
      <c r="F324" s="367">
        <f t="shared" si="157"/>
        <v>343492005.03999996</v>
      </c>
      <c r="G324" s="367">
        <f t="shared" si="157"/>
        <v>716913797.03999996</v>
      </c>
      <c r="H324" s="367">
        <v>4517605</v>
      </c>
      <c r="I324" s="367">
        <v>342266961.04000002</v>
      </c>
      <c r="J324" s="367">
        <f t="shared" si="157"/>
        <v>56157871</v>
      </c>
      <c r="K324" s="367">
        <v>156915796</v>
      </c>
      <c r="L324" s="367">
        <v>240906613.67999998</v>
      </c>
      <c r="M324" s="367">
        <f t="shared" si="157"/>
        <v>376903094.36000001</v>
      </c>
      <c r="N324" s="367">
        <v>376217923.04000002</v>
      </c>
      <c r="O324" s="367">
        <f t="shared" si="157"/>
        <v>34814405</v>
      </c>
      <c r="P324" s="367">
        <f t="shared" si="157"/>
        <v>22206909</v>
      </c>
      <c r="Q324" s="367">
        <f t="shared" si="157"/>
        <v>223103073.63999999</v>
      </c>
    </row>
    <row r="325" spans="1:17" s="100" customFormat="1" x14ac:dyDescent="0.25">
      <c r="A325" s="341">
        <v>23411</v>
      </c>
      <c r="B325" s="342" t="s">
        <v>629</v>
      </c>
      <c r="C325" s="368">
        <v>15000000</v>
      </c>
      <c r="D325" s="368">
        <v>0</v>
      </c>
      <c r="E325" s="368">
        <v>0</v>
      </c>
      <c r="F325" s="368">
        <v>0</v>
      </c>
      <c r="G325" s="368">
        <f t="shared" si="141"/>
        <v>15000000</v>
      </c>
      <c r="H325" s="368">
        <v>0</v>
      </c>
      <c r="I325" s="368">
        <v>0</v>
      </c>
      <c r="J325" s="368">
        <f t="shared" si="136"/>
        <v>15000000</v>
      </c>
      <c r="K325" s="368">
        <v>0</v>
      </c>
      <c r="L325" s="368">
        <v>0</v>
      </c>
      <c r="M325" s="368">
        <f t="shared" si="137"/>
        <v>0</v>
      </c>
      <c r="N325" s="368">
        <v>0</v>
      </c>
      <c r="O325" s="368">
        <f t="shared" si="138"/>
        <v>0</v>
      </c>
      <c r="P325" s="368">
        <f t="shared" si="139"/>
        <v>15000000</v>
      </c>
      <c r="Q325" s="368">
        <f t="shared" si="146"/>
        <v>0</v>
      </c>
    </row>
    <row r="326" spans="1:17" s="100" customFormat="1" x14ac:dyDescent="0.25">
      <c r="A326" s="341">
        <v>23412</v>
      </c>
      <c r="B326" s="342" t="s">
        <v>630</v>
      </c>
      <c r="C326" s="368">
        <v>180000000</v>
      </c>
      <c r="D326" s="368">
        <v>0</v>
      </c>
      <c r="E326" s="368">
        <v>0</v>
      </c>
      <c r="F326" s="368">
        <v>0</v>
      </c>
      <c r="G326" s="368">
        <f t="shared" si="141"/>
        <v>180000000</v>
      </c>
      <c r="H326" s="368">
        <v>4517605</v>
      </c>
      <c r="I326" s="368">
        <v>174300000</v>
      </c>
      <c r="J326" s="368">
        <f t="shared" si="136"/>
        <v>5700000</v>
      </c>
      <c r="K326" s="368">
        <v>28436079</v>
      </c>
      <c r="L326" s="368">
        <v>93849856.640000001</v>
      </c>
      <c r="M326" s="368">
        <f t="shared" si="137"/>
        <v>80450143.359999999</v>
      </c>
      <c r="N326" s="368">
        <v>180000000</v>
      </c>
      <c r="O326" s="368">
        <f t="shared" si="138"/>
        <v>5700000</v>
      </c>
      <c r="P326" s="368">
        <f t="shared" si="139"/>
        <v>0</v>
      </c>
      <c r="Q326" s="368">
        <f t="shared" si="146"/>
        <v>93849856.640000001</v>
      </c>
    </row>
    <row r="327" spans="1:17" x14ac:dyDescent="0.25">
      <c r="A327" s="341">
        <v>23413</v>
      </c>
      <c r="B327" s="342" t="s">
        <v>631</v>
      </c>
      <c r="C327" s="384">
        <v>533995798</v>
      </c>
      <c r="D327" s="368">
        <v>0</v>
      </c>
      <c r="E327" s="368">
        <v>380574006</v>
      </c>
      <c r="F327" s="368">
        <v>0</v>
      </c>
      <c r="G327" s="368">
        <f t="shared" si="141"/>
        <v>153421792</v>
      </c>
      <c r="H327" s="368">
        <v>0</v>
      </c>
      <c r="I327" s="368">
        <v>128479717</v>
      </c>
      <c r="J327" s="368">
        <f t="shared" si="136"/>
        <v>24942075</v>
      </c>
      <c r="K327" s="368">
        <v>128479717</v>
      </c>
      <c r="L327" s="368">
        <v>128479717</v>
      </c>
      <c r="M327" s="368">
        <f t="shared" si="137"/>
        <v>0</v>
      </c>
      <c r="N327" s="368">
        <v>149209689</v>
      </c>
      <c r="O327" s="368">
        <f t="shared" si="138"/>
        <v>20729972</v>
      </c>
      <c r="P327" s="368">
        <f t="shared" si="139"/>
        <v>4212103</v>
      </c>
      <c r="Q327" s="368">
        <f t="shared" si="146"/>
        <v>128479717</v>
      </c>
    </row>
    <row r="328" spans="1:17" x14ac:dyDescent="0.25">
      <c r="A328" s="341">
        <v>23415</v>
      </c>
      <c r="B328" s="342" t="s">
        <v>632</v>
      </c>
      <c r="C328" s="368">
        <v>25000000</v>
      </c>
      <c r="D328" s="368">
        <v>0</v>
      </c>
      <c r="E328" s="368">
        <v>0</v>
      </c>
      <c r="F328" s="368">
        <v>0</v>
      </c>
      <c r="G328" s="368">
        <f t="shared" si="141"/>
        <v>25000000</v>
      </c>
      <c r="H328" s="368">
        <v>0</v>
      </c>
      <c r="I328" s="368">
        <v>14484204</v>
      </c>
      <c r="J328" s="368">
        <f t="shared" si="136"/>
        <v>10515796</v>
      </c>
      <c r="K328" s="368">
        <v>0</v>
      </c>
      <c r="L328" s="368">
        <v>773500</v>
      </c>
      <c r="M328" s="368">
        <f t="shared" si="137"/>
        <v>13710704</v>
      </c>
      <c r="N328" s="368">
        <v>22005194</v>
      </c>
      <c r="O328" s="368">
        <f t="shared" si="138"/>
        <v>7520990</v>
      </c>
      <c r="P328" s="368">
        <f t="shared" si="139"/>
        <v>2994806</v>
      </c>
      <c r="Q328" s="368">
        <f t="shared" si="146"/>
        <v>773500</v>
      </c>
    </row>
    <row r="329" spans="1:17" ht="30" x14ac:dyDescent="0.25">
      <c r="A329" s="341">
        <v>23416</v>
      </c>
      <c r="B329" s="342" t="s">
        <v>897</v>
      </c>
      <c r="C329" s="368"/>
      <c r="D329" s="368"/>
      <c r="E329" s="368"/>
      <c r="F329" s="368">
        <v>25003040.039999999</v>
      </c>
      <c r="G329" s="368">
        <f t="shared" si="141"/>
        <v>25003040.039999999</v>
      </c>
      <c r="H329" s="368">
        <v>0</v>
      </c>
      <c r="I329" s="368">
        <v>25003040.039999999</v>
      </c>
      <c r="J329" s="368">
        <f t="shared" si="136"/>
        <v>0</v>
      </c>
      <c r="K329" s="368">
        <v>0</v>
      </c>
      <c r="L329" s="368">
        <v>17803540.039999999</v>
      </c>
      <c r="M329" s="368">
        <f t="shared" si="137"/>
        <v>7199500</v>
      </c>
      <c r="N329" s="368">
        <v>25003040.039999999</v>
      </c>
      <c r="O329" s="368">
        <f t="shared" si="138"/>
        <v>0</v>
      </c>
      <c r="P329" s="368">
        <f t="shared" si="139"/>
        <v>0</v>
      </c>
      <c r="Q329" s="368"/>
    </row>
    <row r="330" spans="1:17" x14ac:dyDescent="0.25">
      <c r="A330" s="341">
        <v>23417</v>
      </c>
      <c r="B330" s="342" t="s">
        <v>898</v>
      </c>
      <c r="C330" s="368"/>
      <c r="D330" s="368"/>
      <c r="E330" s="368"/>
      <c r="F330" s="368">
        <v>165542747</v>
      </c>
      <c r="G330" s="368">
        <f t="shared" si="141"/>
        <v>165542747</v>
      </c>
      <c r="H330" s="368">
        <v>0</v>
      </c>
      <c r="I330" s="368">
        <v>165542747</v>
      </c>
      <c r="J330" s="368"/>
      <c r="K330" s="368">
        <v>0</v>
      </c>
      <c r="L330" s="368">
        <v>0</v>
      </c>
      <c r="M330" s="368">
        <f t="shared" ref="M330:M393" si="158">+I330-L330</f>
        <v>165542747</v>
      </c>
      <c r="N330" s="368">
        <v>165542747</v>
      </c>
      <c r="O330" s="368">
        <f t="shared" ref="O330:O393" si="159">+N330-I330</f>
        <v>0</v>
      </c>
      <c r="P330" s="368"/>
      <c r="Q330" s="368"/>
    </row>
    <row r="331" spans="1:17" x14ac:dyDescent="0.25">
      <c r="A331" s="341">
        <v>23418</v>
      </c>
      <c r="B331" s="342" t="s">
        <v>899</v>
      </c>
      <c r="C331" s="368"/>
      <c r="D331" s="368"/>
      <c r="E331" s="368"/>
      <c r="F331" s="368">
        <v>110000000</v>
      </c>
      <c r="G331" s="368">
        <f t="shared" si="141"/>
        <v>110000000</v>
      </c>
      <c r="H331" s="368">
        <v>0</v>
      </c>
      <c r="I331" s="368">
        <v>110000000</v>
      </c>
      <c r="J331" s="368"/>
      <c r="K331" s="368">
        <v>0</v>
      </c>
      <c r="L331" s="368">
        <v>0</v>
      </c>
      <c r="M331" s="368">
        <f t="shared" si="158"/>
        <v>110000000</v>
      </c>
      <c r="N331" s="368">
        <v>110000000</v>
      </c>
      <c r="O331" s="368">
        <f t="shared" si="159"/>
        <v>0</v>
      </c>
      <c r="P331" s="368"/>
      <c r="Q331" s="368"/>
    </row>
    <row r="332" spans="1:17" x14ac:dyDescent="0.25">
      <c r="A332" s="341">
        <v>23419</v>
      </c>
      <c r="B332" s="342" t="s">
        <v>900</v>
      </c>
      <c r="C332" s="368"/>
      <c r="D332" s="368"/>
      <c r="E332" s="368"/>
      <c r="F332" s="368">
        <v>42946218</v>
      </c>
      <c r="G332" s="368">
        <f t="shared" si="141"/>
        <v>42946218</v>
      </c>
      <c r="H332" s="368">
        <v>0</v>
      </c>
      <c r="I332" s="368">
        <v>5061557</v>
      </c>
      <c r="J332" s="368"/>
      <c r="K332" s="368">
        <v>0</v>
      </c>
      <c r="L332" s="368">
        <v>5061557</v>
      </c>
      <c r="M332" s="368">
        <f t="shared" si="158"/>
        <v>0</v>
      </c>
      <c r="N332" s="368">
        <v>5925000</v>
      </c>
      <c r="O332" s="368">
        <f t="shared" si="159"/>
        <v>863443</v>
      </c>
      <c r="P332" s="368"/>
      <c r="Q332" s="368"/>
    </row>
    <row r="333" spans="1:17" x14ac:dyDescent="0.25">
      <c r="A333" s="335">
        <v>2344</v>
      </c>
      <c r="B333" s="336" t="s">
        <v>156</v>
      </c>
      <c r="C333" s="365">
        <f>+C334</f>
        <v>1365809240</v>
      </c>
      <c r="D333" s="365">
        <f t="shared" ref="D333:Q333" si="160">+D334</f>
        <v>0</v>
      </c>
      <c r="E333" s="365">
        <f t="shared" si="160"/>
        <v>0</v>
      </c>
      <c r="F333" s="365">
        <f t="shared" si="160"/>
        <v>0</v>
      </c>
      <c r="G333" s="365">
        <f t="shared" si="160"/>
        <v>1365809240</v>
      </c>
      <c r="H333" s="365">
        <v>0</v>
      </c>
      <c r="I333" s="365">
        <v>0</v>
      </c>
      <c r="J333" s="365">
        <f t="shared" si="160"/>
        <v>1365809240</v>
      </c>
      <c r="K333" s="365">
        <v>0</v>
      </c>
      <c r="L333" s="365">
        <v>0</v>
      </c>
      <c r="M333" s="365">
        <f t="shared" si="160"/>
        <v>0</v>
      </c>
      <c r="N333" s="365">
        <v>0</v>
      </c>
      <c r="O333" s="365">
        <f t="shared" si="160"/>
        <v>0</v>
      </c>
      <c r="P333" s="365">
        <f t="shared" si="160"/>
        <v>1365809240</v>
      </c>
      <c r="Q333" s="365">
        <f t="shared" si="160"/>
        <v>0</v>
      </c>
    </row>
    <row r="334" spans="1:17" ht="30" x14ac:dyDescent="0.25">
      <c r="A334" s="341">
        <v>23442</v>
      </c>
      <c r="B334" s="342" t="s">
        <v>157</v>
      </c>
      <c r="C334" s="368">
        <v>1365809240</v>
      </c>
      <c r="D334" s="368"/>
      <c r="E334" s="368"/>
      <c r="F334" s="368"/>
      <c r="G334" s="368">
        <v>1365809240</v>
      </c>
      <c r="H334" s="368">
        <v>0</v>
      </c>
      <c r="I334" s="368">
        <v>0</v>
      </c>
      <c r="J334" s="368">
        <f t="shared" ref="J334:J402" si="161">+G334-I334</f>
        <v>1365809240</v>
      </c>
      <c r="K334" s="368">
        <v>0</v>
      </c>
      <c r="L334" s="368">
        <v>0</v>
      </c>
      <c r="M334" s="368">
        <f t="shared" si="158"/>
        <v>0</v>
      </c>
      <c r="N334" s="368">
        <v>0</v>
      </c>
      <c r="O334" s="368">
        <f t="shared" si="159"/>
        <v>0</v>
      </c>
      <c r="P334" s="368">
        <f t="shared" ref="P334:P402" si="162">+G334-N334</f>
        <v>1365809240</v>
      </c>
      <c r="Q334" s="368"/>
    </row>
    <row r="335" spans="1:17" x14ac:dyDescent="0.25">
      <c r="A335" s="335">
        <v>235</v>
      </c>
      <c r="B335" s="336" t="s">
        <v>158</v>
      </c>
      <c r="C335" s="365">
        <f>+C336+C348+C365+C377+C385+C387+C388+C389+C390+C391+C392+C393+C394+C395+C396+C397+C398+C399+C400+C401+C402+C403+C404+C405+C406+C407+C408+C409+C353+C410</f>
        <v>0</v>
      </c>
      <c r="D335" s="365">
        <f t="shared" ref="D335:Q335" si="163">+D336+D348+D365+D377+D385+D387+D388+D389+D390+D391+D392+D393+D394+D395+D396+D397+D398+D399+D400+D401+D402+D403+D404+D405+D406+D407+D408+D409+D353+D410</f>
        <v>5597351420</v>
      </c>
      <c r="E335" s="365">
        <f t="shared" si="163"/>
        <v>5597351420</v>
      </c>
      <c r="F335" s="365">
        <f t="shared" si="163"/>
        <v>13514493520.469999</v>
      </c>
      <c r="G335" s="365">
        <f t="shared" si="163"/>
        <v>13514493520.470001</v>
      </c>
      <c r="H335" s="365">
        <f t="shared" si="163"/>
        <v>157498420</v>
      </c>
      <c r="I335" s="365">
        <f t="shared" si="163"/>
        <v>3559012189.1100001</v>
      </c>
      <c r="J335" s="365">
        <f t="shared" si="163"/>
        <v>9256117530.3199978</v>
      </c>
      <c r="K335" s="365">
        <f t="shared" si="163"/>
        <v>422530857</v>
      </c>
      <c r="L335" s="365">
        <f t="shared" si="163"/>
        <v>2910240533.7500005</v>
      </c>
      <c r="M335" s="365">
        <f t="shared" si="163"/>
        <v>648771655.36000013</v>
      </c>
      <c r="N335" s="365">
        <f t="shared" si="163"/>
        <v>4447754956.54</v>
      </c>
      <c r="O335" s="365">
        <f t="shared" si="163"/>
        <v>842742767.43000007</v>
      </c>
      <c r="P335" s="365">
        <f t="shared" si="163"/>
        <v>8569491640.9299984</v>
      </c>
      <c r="Q335" s="365">
        <f t="shared" si="163"/>
        <v>2007270592.7399998</v>
      </c>
    </row>
    <row r="336" spans="1:17" x14ac:dyDescent="0.25">
      <c r="A336" s="339">
        <v>23501</v>
      </c>
      <c r="B336" s="340" t="s">
        <v>830</v>
      </c>
      <c r="C336" s="367">
        <f t="shared" ref="C336:Q336" si="164">SUM(C337:C347)</f>
        <v>0</v>
      </c>
      <c r="D336" s="367">
        <f t="shared" si="164"/>
        <v>730629974</v>
      </c>
      <c r="E336" s="367">
        <f t="shared" si="164"/>
        <v>730629974</v>
      </c>
      <c r="F336" s="367">
        <f t="shared" si="164"/>
        <v>1441367799</v>
      </c>
      <c r="G336" s="367">
        <f t="shared" si="164"/>
        <v>1441367799</v>
      </c>
      <c r="H336" s="367">
        <v>0</v>
      </c>
      <c r="I336" s="367">
        <v>783383937.96000004</v>
      </c>
      <c r="J336" s="367">
        <f t="shared" si="164"/>
        <v>501866983</v>
      </c>
      <c r="K336" s="367">
        <v>307229972</v>
      </c>
      <c r="L336" s="367">
        <v>745630470.96000004</v>
      </c>
      <c r="M336" s="367">
        <f t="shared" si="164"/>
        <v>37753467</v>
      </c>
      <c r="N336" s="367">
        <v>1042601901</v>
      </c>
      <c r="O336" s="367">
        <f t="shared" si="164"/>
        <v>259217963.04000002</v>
      </c>
      <c r="P336" s="367">
        <f t="shared" si="164"/>
        <v>398765898</v>
      </c>
      <c r="Q336" s="367">
        <f t="shared" si="164"/>
        <v>171117375</v>
      </c>
    </row>
    <row r="337" spans="1:21" x14ac:dyDescent="0.25">
      <c r="A337" s="341">
        <v>2350101</v>
      </c>
      <c r="B337" s="342" t="s">
        <v>160</v>
      </c>
      <c r="C337" s="368">
        <v>0</v>
      </c>
      <c r="D337" s="368">
        <v>0</v>
      </c>
      <c r="E337" s="368">
        <v>237229972</v>
      </c>
      <c r="F337" s="368">
        <v>237229972</v>
      </c>
      <c r="G337" s="368">
        <f t="shared" si="141"/>
        <v>0</v>
      </c>
      <c r="H337" s="368">
        <v>0</v>
      </c>
      <c r="I337" s="368">
        <v>0</v>
      </c>
      <c r="J337" s="368">
        <f t="shared" si="161"/>
        <v>0</v>
      </c>
      <c r="K337" s="368">
        <v>0</v>
      </c>
      <c r="L337" s="368">
        <v>0</v>
      </c>
      <c r="M337" s="368">
        <f t="shared" si="158"/>
        <v>0</v>
      </c>
      <c r="N337" s="368">
        <v>0</v>
      </c>
      <c r="O337" s="368">
        <f t="shared" si="159"/>
        <v>0</v>
      </c>
      <c r="P337" s="368">
        <f t="shared" si="162"/>
        <v>0</v>
      </c>
      <c r="Q337" s="368">
        <f t="shared" si="146"/>
        <v>0</v>
      </c>
    </row>
    <row r="338" spans="1:21" s="100" customFormat="1" x14ac:dyDescent="0.25">
      <c r="A338" s="341">
        <v>2350102</v>
      </c>
      <c r="B338" s="342" t="s">
        <v>161</v>
      </c>
      <c r="C338" s="368">
        <v>0</v>
      </c>
      <c r="D338" s="368">
        <v>0</v>
      </c>
      <c r="E338" s="368">
        <v>0</v>
      </c>
      <c r="F338" s="368">
        <v>47959207</v>
      </c>
      <c r="G338" s="368">
        <f t="shared" si="141"/>
        <v>47959207</v>
      </c>
      <c r="H338" s="368">
        <v>0</v>
      </c>
      <c r="I338" s="368">
        <v>47959207</v>
      </c>
      <c r="J338" s="368">
        <f t="shared" si="161"/>
        <v>0</v>
      </c>
      <c r="K338" s="368">
        <v>0</v>
      </c>
      <c r="L338" s="368">
        <v>47959207</v>
      </c>
      <c r="M338" s="368">
        <f t="shared" si="158"/>
        <v>0</v>
      </c>
      <c r="N338" s="368">
        <v>47959207</v>
      </c>
      <c r="O338" s="368">
        <f t="shared" si="159"/>
        <v>0</v>
      </c>
      <c r="P338" s="368">
        <f t="shared" si="162"/>
        <v>0</v>
      </c>
      <c r="Q338" s="368">
        <f t="shared" si="146"/>
        <v>47959207</v>
      </c>
      <c r="R338" s="84"/>
      <c r="S338" s="84"/>
      <c r="T338" s="84"/>
      <c r="U338" s="84"/>
    </row>
    <row r="339" spans="1:21" x14ac:dyDescent="0.25">
      <c r="A339" s="341">
        <v>2350103</v>
      </c>
      <c r="B339" s="342" t="s">
        <v>162</v>
      </c>
      <c r="C339" s="368">
        <v>0</v>
      </c>
      <c r="D339" s="368">
        <v>0</v>
      </c>
      <c r="E339" s="368">
        <v>0</v>
      </c>
      <c r="F339" s="368">
        <v>47959208</v>
      </c>
      <c r="G339" s="368">
        <f t="shared" si="141"/>
        <v>47959208</v>
      </c>
      <c r="H339" s="368">
        <v>0</v>
      </c>
      <c r="I339" s="368">
        <v>38491418</v>
      </c>
      <c r="J339" s="368">
        <f t="shared" si="161"/>
        <v>9467790</v>
      </c>
      <c r="K339" s="368">
        <v>0</v>
      </c>
      <c r="L339" s="368">
        <v>38491418</v>
      </c>
      <c r="M339" s="368">
        <f t="shared" si="158"/>
        <v>0</v>
      </c>
      <c r="N339" s="368">
        <v>38491418</v>
      </c>
      <c r="O339" s="368">
        <f t="shared" si="159"/>
        <v>0</v>
      </c>
      <c r="P339" s="368">
        <f t="shared" si="162"/>
        <v>9467790</v>
      </c>
      <c r="Q339" s="368">
        <f t="shared" si="146"/>
        <v>38491418</v>
      </c>
    </row>
    <row r="340" spans="1:21" x14ac:dyDescent="0.25">
      <c r="A340" s="341">
        <v>2350104</v>
      </c>
      <c r="B340" s="342" t="s">
        <v>163</v>
      </c>
      <c r="C340" s="368">
        <v>0</v>
      </c>
      <c r="D340" s="368">
        <v>0</v>
      </c>
      <c r="E340" s="368">
        <v>0</v>
      </c>
      <c r="F340" s="368">
        <v>189144644</v>
      </c>
      <c r="G340" s="368">
        <f t="shared" si="141"/>
        <v>189144644</v>
      </c>
      <c r="H340" s="368">
        <v>0</v>
      </c>
      <c r="I340" s="368">
        <v>0</v>
      </c>
      <c r="J340" s="368">
        <f t="shared" si="161"/>
        <v>189144644</v>
      </c>
      <c r="K340" s="368">
        <v>0</v>
      </c>
      <c r="L340" s="368">
        <v>0</v>
      </c>
      <c r="M340" s="368">
        <f t="shared" si="158"/>
        <v>0</v>
      </c>
      <c r="N340" s="368">
        <v>0</v>
      </c>
      <c r="O340" s="368">
        <f t="shared" si="159"/>
        <v>0</v>
      </c>
      <c r="P340" s="368">
        <f t="shared" si="162"/>
        <v>189144644</v>
      </c>
      <c r="Q340" s="368">
        <f t="shared" si="146"/>
        <v>0</v>
      </c>
      <c r="R340" s="100"/>
      <c r="S340" s="100"/>
      <c r="T340" s="100"/>
      <c r="U340" s="100"/>
    </row>
    <row r="341" spans="1:21" x14ac:dyDescent="0.25">
      <c r="A341" s="341">
        <v>2350105</v>
      </c>
      <c r="B341" s="342" t="s">
        <v>164</v>
      </c>
      <c r="C341" s="368">
        <v>0</v>
      </c>
      <c r="D341" s="368">
        <v>0</v>
      </c>
      <c r="E341" s="368">
        <v>0</v>
      </c>
      <c r="F341" s="368">
        <v>135472173</v>
      </c>
      <c r="G341" s="368">
        <f t="shared" si="141"/>
        <v>135472173</v>
      </c>
      <c r="H341" s="368">
        <v>0</v>
      </c>
      <c r="I341" s="368">
        <v>34671822</v>
      </c>
      <c r="J341" s="368">
        <f t="shared" si="161"/>
        <v>100800351</v>
      </c>
      <c r="K341" s="368">
        <v>0</v>
      </c>
      <c r="L341" s="368">
        <v>0</v>
      </c>
      <c r="M341" s="368">
        <f t="shared" si="158"/>
        <v>34671822</v>
      </c>
      <c r="N341" s="368">
        <v>34671822</v>
      </c>
      <c r="O341" s="368">
        <f t="shared" si="159"/>
        <v>0</v>
      </c>
      <c r="P341" s="368">
        <f t="shared" si="162"/>
        <v>100800351</v>
      </c>
      <c r="Q341" s="368">
        <f t="shared" si="146"/>
        <v>0</v>
      </c>
    </row>
    <row r="342" spans="1:21" x14ac:dyDescent="0.25">
      <c r="A342" s="364">
        <v>2350106</v>
      </c>
      <c r="B342" s="342" t="s">
        <v>165</v>
      </c>
      <c r="C342" s="368">
        <v>0</v>
      </c>
      <c r="D342" s="368">
        <v>0</v>
      </c>
      <c r="E342" s="368"/>
      <c r="F342" s="368">
        <v>157808831</v>
      </c>
      <c r="G342" s="368">
        <f t="shared" si="141"/>
        <v>157808831</v>
      </c>
      <c r="H342" s="368">
        <v>0</v>
      </c>
      <c r="I342" s="368">
        <v>87748395</v>
      </c>
      <c r="J342" s="368">
        <f t="shared" si="161"/>
        <v>70060436</v>
      </c>
      <c r="K342" s="368">
        <v>70000000</v>
      </c>
      <c r="L342" s="368">
        <v>84666750</v>
      </c>
      <c r="M342" s="368">
        <f t="shared" si="158"/>
        <v>3081645</v>
      </c>
      <c r="N342" s="368">
        <v>87748395</v>
      </c>
      <c r="O342" s="368">
        <f t="shared" si="159"/>
        <v>0</v>
      </c>
      <c r="P342" s="368">
        <f t="shared" si="162"/>
        <v>70060436</v>
      </c>
      <c r="Q342" s="368">
        <f t="shared" si="146"/>
        <v>84666750</v>
      </c>
    </row>
    <row r="343" spans="1:21" s="100" customFormat="1" x14ac:dyDescent="0.25">
      <c r="A343" s="364">
        <v>2350107</v>
      </c>
      <c r="B343" s="342" t="s">
        <v>166</v>
      </c>
      <c r="C343" s="368">
        <v>0</v>
      </c>
      <c r="D343" s="368">
        <v>0</v>
      </c>
      <c r="E343" s="368">
        <v>0</v>
      </c>
      <c r="F343" s="368">
        <v>30000027</v>
      </c>
      <c r="G343" s="368">
        <f t="shared" si="141"/>
        <v>30000027</v>
      </c>
      <c r="H343" s="368">
        <v>0</v>
      </c>
      <c r="I343" s="368">
        <v>0</v>
      </c>
      <c r="J343" s="368">
        <f t="shared" si="161"/>
        <v>30000027</v>
      </c>
      <c r="K343" s="368">
        <v>0</v>
      </c>
      <c r="L343" s="368">
        <v>0</v>
      </c>
      <c r="M343" s="368">
        <f t="shared" si="158"/>
        <v>0</v>
      </c>
      <c r="N343" s="368">
        <v>707350</v>
      </c>
      <c r="O343" s="368">
        <f t="shared" si="159"/>
        <v>707350</v>
      </c>
      <c r="P343" s="368">
        <f t="shared" si="162"/>
        <v>29292677</v>
      </c>
      <c r="Q343" s="368">
        <f t="shared" si="146"/>
        <v>0</v>
      </c>
      <c r="R343" s="84"/>
      <c r="S343" s="84"/>
      <c r="T343" s="84"/>
      <c r="U343" s="84"/>
    </row>
    <row r="344" spans="1:21" x14ac:dyDescent="0.25">
      <c r="A344" s="364">
        <v>2350108</v>
      </c>
      <c r="B344" s="342" t="s">
        <v>167</v>
      </c>
      <c r="C344" s="368">
        <v>0</v>
      </c>
      <c r="D344" s="368">
        <v>0</v>
      </c>
      <c r="E344" s="368">
        <v>0</v>
      </c>
      <c r="F344" s="368">
        <v>102393735</v>
      </c>
      <c r="G344" s="368">
        <f t="shared" si="141"/>
        <v>102393735</v>
      </c>
      <c r="H344" s="368">
        <v>0</v>
      </c>
      <c r="I344" s="368">
        <v>0</v>
      </c>
      <c r="J344" s="368">
        <f t="shared" si="161"/>
        <v>102393735</v>
      </c>
      <c r="K344" s="368">
        <v>0</v>
      </c>
      <c r="L344" s="368">
        <v>0</v>
      </c>
      <c r="M344" s="368">
        <f t="shared" si="158"/>
        <v>0</v>
      </c>
      <c r="N344" s="368">
        <v>102393735</v>
      </c>
      <c r="O344" s="368">
        <f t="shared" si="159"/>
        <v>102393735</v>
      </c>
      <c r="P344" s="368">
        <f t="shared" si="162"/>
        <v>0</v>
      </c>
      <c r="Q344" s="368">
        <f t="shared" si="146"/>
        <v>0</v>
      </c>
    </row>
    <row r="345" spans="1:21" x14ac:dyDescent="0.25">
      <c r="A345" s="341">
        <v>2350109</v>
      </c>
      <c r="B345" s="342" t="s">
        <v>168</v>
      </c>
      <c r="C345" s="368">
        <v>0</v>
      </c>
      <c r="D345" s="368">
        <v>0</v>
      </c>
      <c r="E345" s="368">
        <v>493400002</v>
      </c>
      <c r="F345" s="368">
        <v>493400002</v>
      </c>
      <c r="G345" s="368">
        <f t="shared" si="141"/>
        <v>0</v>
      </c>
      <c r="H345" s="368">
        <v>0</v>
      </c>
      <c r="I345" s="368">
        <v>0</v>
      </c>
      <c r="J345" s="368">
        <f t="shared" si="161"/>
        <v>0</v>
      </c>
      <c r="K345" s="368">
        <v>0</v>
      </c>
      <c r="L345" s="368">
        <v>0</v>
      </c>
      <c r="M345" s="368">
        <f t="shared" si="158"/>
        <v>0</v>
      </c>
      <c r="N345" s="368">
        <v>0</v>
      </c>
      <c r="O345" s="368">
        <f t="shared" si="159"/>
        <v>0</v>
      </c>
      <c r="P345" s="368">
        <f t="shared" si="162"/>
        <v>0</v>
      </c>
      <c r="Q345" s="368">
        <f t="shared" si="146"/>
        <v>0</v>
      </c>
      <c r="R345" s="100"/>
      <c r="S345" s="100"/>
      <c r="T345" s="100"/>
      <c r="U345" s="100"/>
    </row>
    <row r="346" spans="1:21" ht="30" x14ac:dyDescent="0.25">
      <c r="A346" s="341">
        <v>2350110</v>
      </c>
      <c r="B346" s="342" t="s">
        <v>901</v>
      </c>
      <c r="C346" s="368"/>
      <c r="D346" s="368">
        <v>237229972</v>
      </c>
      <c r="E346" s="368"/>
      <c r="F346" s="368"/>
      <c r="G346" s="368">
        <f t="shared" ref="G346:G347" si="165">+C346+D346-E346+F346</f>
        <v>237229972</v>
      </c>
      <c r="H346" s="368">
        <v>0</v>
      </c>
      <c r="I346" s="368">
        <v>237229972</v>
      </c>
      <c r="J346" s="368"/>
      <c r="K346" s="368">
        <v>237229972</v>
      </c>
      <c r="L346" s="368">
        <v>237229972</v>
      </c>
      <c r="M346" s="368">
        <f t="shared" si="158"/>
        <v>0</v>
      </c>
      <c r="N346" s="368">
        <v>237229972</v>
      </c>
      <c r="O346" s="368">
        <f t="shared" si="159"/>
        <v>0</v>
      </c>
      <c r="P346" s="368"/>
      <c r="Q346" s="368"/>
      <c r="R346" s="100"/>
      <c r="S346" s="100"/>
      <c r="T346" s="100"/>
    </row>
    <row r="347" spans="1:21" ht="30" x14ac:dyDescent="0.25">
      <c r="A347" s="341">
        <v>2350111</v>
      </c>
      <c r="B347" s="342" t="s">
        <v>902</v>
      </c>
      <c r="C347" s="368"/>
      <c r="D347" s="368">
        <v>493400002</v>
      </c>
      <c r="E347" s="368"/>
      <c r="F347" s="368"/>
      <c r="G347" s="368">
        <f t="shared" si="165"/>
        <v>493400002</v>
      </c>
      <c r="H347" s="368">
        <v>0</v>
      </c>
      <c r="I347" s="368">
        <v>337283123.95999998</v>
      </c>
      <c r="J347" s="368"/>
      <c r="K347" s="368">
        <v>0</v>
      </c>
      <c r="L347" s="368">
        <v>337283123.95999998</v>
      </c>
      <c r="M347" s="368">
        <f t="shared" si="158"/>
        <v>0</v>
      </c>
      <c r="N347" s="368">
        <v>493400002</v>
      </c>
      <c r="O347" s="368">
        <f t="shared" si="159"/>
        <v>156116878.04000002</v>
      </c>
      <c r="P347" s="368"/>
      <c r="Q347" s="368"/>
      <c r="R347" s="100"/>
      <c r="S347" s="100"/>
      <c r="T347" s="100"/>
    </row>
    <row r="348" spans="1:21" x14ac:dyDescent="0.25">
      <c r="A348" s="339">
        <v>23502</v>
      </c>
      <c r="B348" s="340" t="s">
        <v>173</v>
      </c>
      <c r="C348" s="367">
        <f>SUM(C349:C352)</f>
        <v>0</v>
      </c>
      <c r="D348" s="367">
        <f t="shared" ref="D348:Q348" si="166">SUM(D349:D352)</f>
        <v>0</v>
      </c>
      <c r="E348" s="367">
        <f t="shared" si="166"/>
        <v>2684152425</v>
      </c>
      <c r="F348" s="367">
        <f t="shared" si="166"/>
        <v>4899180514</v>
      </c>
      <c r="G348" s="367">
        <f t="shared" si="166"/>
        <v>2215028089</v>
      </c>
      <c r="H348" s="367">
        <v>0</v>
      </c>
      <c r="I348" s="367">
        <v>27500000</v>
      </c>
      <c r="J348" s="367">
        <f t="shared" si="166"/>
        <v>2187528089</v>
      </c>
      <c r="K348" s="367">
        <v>0</v>
      </c>
      <c r="L348" s="367">
        <v>5500000</v>
      </c>
      <c r="M348" s="367">
        <f t="shared" si="166"/>
        <v>22000000</v>
      </c>
      <c r="N348" s="367">
        <v>153036330</v>
      </c>
      <c r="O348" s="367">
        <f t="shared" si="166"/>
        <v>125536330</v>
      </c>
      <c r="P348" s="367">
        <f t="shared" si="166"/>
        <v>2061991759</v>
      </c>
      <c r="Q348" s="367">
        <f t="shared" si="166"/>
        <v>5500000</v>
      </c>
    </row>
    <row r="349" spans="1:21" x14ac:dyDescent="0.25">
      <c r="A349" s="341">
        <v>2350201</v>
      </c>
      <c r="B349" s="342" t="s">
        <v>169</v>
      </c>
      <c r="C349" s="368">
        <v>0</v>
      </c>
      <c r="D349" s="368">
        <v>0</v>
      </c>
      <c r="E349" s="368">
        <v>0</v>
      </c>
      <c r="F349" s="368">
        <v>60001</v>
      </c>
      <c r="G349" s="368">
        <f t="shared" ref="G349:G412" si="167">+C349+D349-E349+F349</f>
        <v>60001</v>
      </c>
      <c r="H349" s="368">
        <v>0</v>
      </c>
      <c r="I349" s="368">
        <v>0</v>
      </c>
      <c r="J349" s="368">
        <f t="shared" si="161"/>
        <v>60001</v>
      </c>
      <c r="K349" s="368">
        <v>0</v>
      </c>
      <c r="L349" s="368">
        <v>0</v>
      </c>
      <c r="M349" s="368">
        <f t="shared" si="158"/>
        <v>0</v>
      </c>
      <c r="N349" s="368">
        <v>0</v>
      </c>
      <c r="O349" s="368">
        <f t="shared" si="159"/>
        <v>0</v>
      </c>
      <c r="P349" s="368">
        <f t="shared" si="162"/>
        <v>60001</v>
      </c>
      <c r="Q349" s="368">
        <f t="shared" si="146"/>
        <v>0</v>
      </c>
    </row>
    <row r="350" spans="1:21" x14ac:dyDescent="0.25">
      <c r="A350" s="341">
        <v>2350202</v>
      </c>
      <c r="B350" s="342" t="s">
        <v>170</v>
      </c>
      <c r="C350" s="368">
        <v>0</v>
      </c>
      <c r="D350" s="368">
        <v>0</v>
      </c>
      <c r="E350" s="368">
        <v>0</v>
      </c>
      <c r="F350" s="368">
        <v>1301315</v>
      </c>
      <c r="G350" s="368">
        <f t="shared" si="167"/>
        <v>1301315</v>
      </c>
      <c r="H350" s="368">
        <v>0</v>
      </c>
      <c r="I350" s="368">
        <v>0</v>
      </c>
      <c r="J350" s="368">
        <f t="shared" si="161"/>
        <v>1301315</v>
      </c>
      <c r="K350" s="368">
        <v>0</v>
      </c>
      <c r="L350" s="368">
        <v>0</v>
      </c>
      <c r="M350" s="368">
        <f t="shared" si="158"/>
        <v>0</v>
      </c>
      <c r="N350" s="368">
        <v>0</v>
      </c>
      <c r="O350" s="368">
        <f t="shared" si="159"/>
        <v>0</v>
      </c>
      <c r="P350" s="368">
        <f t="shared" si="162"/>
        <v>1301315</v>
      </c>
      <c r="Q350" s="368">
        <f t="shared" si="146"/>
        <v>0</v>
      </c>
    </row>
    <row r="351" spans="1:21" ht="30" x14ac:dyDescent="0.25">
      <c r="A351" s="341">
        <v>2350203</v>
      </c>
      <c r="B351" s="342" t="s">
        <v>171</v>
      </c>
      <c r="C351" s="368">
        <v>0</v>
      </c>
      <c r="D351" s="368">
        <v>0</v>
      </c>
      <c r="E351" s="368">
        <v>2684152425</v>
      </c>
      <c r="F351" s="368">
        <v>2684152425</v>
      </c>
      <c r="G351" s="368">
        <f t="shared" si="167"/>
        <v>0</v>
      </c>
      <c r="H351" s="368">
        <v>0</v>
      </c>
      <c r="I351" s="368">
        <v>0</v>
      </c>
      <c r="J351" s="368">
        <f t="shared" si="161"/>
        <v>0</v>
      </c>
      <c r="K351" s="368">
        <v>0</v>
      </c>
      <c r="L351" s="368">
        <v>0</v>
      </c>
      <c r="M351" s="368">
        <f t="shared" si="158"/>
        <v>0</v>
      </c>
      <c r="N351" s="368">
        <v>0</v>
      </c>
      <c r="O351" s="368">
        <f t="shared" si="159"/>
        <v>0</v>
      </c>
      <c r="P351" s="368">
        <f t="shared" si="162"/>
        <v>0</v>
      </c>
      <c r="Q351" s="368">
        <f t="shared" si="146"/>
        <v>0</v>
      </c>
    </row>
    <row r="352" spans="1:21" x14ac:dyDescent="0.25">
      <c r="A352" s="341">
        <v>2350204</v>
      </c>
      <c r="B352" s="342" t="s">
        <v>172</v>
      </c>
      <c r="C352" s="368">
        <v>0</v>
      </c>
      <c r="D352" s="368">
        <v>0</v>
      </c>
      <c r="E352" s="368">
        <v>0</v>
      </c>
      <c r="F352" s="368">
        <v>2213666773</v>
      </c>
      <c r="G352" s="368">
        <f t="shared" si="167"/>
        <v>2213666773</v>
      </c>
      <c r="H352" s="368">
        <v>0</v>
      </c>
      <c r="I352" s="368">
        <v>27500000</v>
      </c>
      <c r="J352" s="368">
        <f t="shared" si="161"/>
        <v>2186166773</v>
      </c>
      <c r="K352" s="368">
        <v>0</v>
      </c>
      <c r="L352" s="368">
        <v>5500000</v>
      </c>
      <c r="M352" s="368">
        <f t="shared" si="158"/>
        <v>22000000</v>
      </c>
      <c r="N352" s="368">
        <v>153036330</v>
      </c>
      <c r="O352" s="368">
        <f t="shared" si="159"/>
        <v>125536330</v>
      </c>
      <c r="P352" s="368">
        <f t="shared" si="162"/>
        <v>2060630443</v>
      </c>
      <c r="Q352" s="368">
        <f t="shared" si="146"/>
        <v>5500000</v>
      </c>
    </row>
    <row r="353" spans="1:21" x14ac:dyDescent="0.25">
      <c r="A353" s="339">
        <v>23503</v>
      </c>
      <c r="B353" s="340" t="s">
        <v>795</v>
      </c>
      <c r="C353" s="367">
        <f>SUM(C354:C364)</f>
        <v>0</v>
      </c>
      <c r="D353" s="367">
        <f t="shared" ref="D353:Q353" si="168">SUM(D354:D364)</f>
        <v>0</v>
      </c>
      <c r="E353" s="367">
        <f t="shared" si="168"/>
        <v>2182569021</v>
      </c>
      <c r="F353" s="367">
        <f t="shared" si="168"/>
        <v>3325715838</v>
      </c>
      <c r="G353" s="367">
        <f t="shared" si="168"/>
        <v>1143146817</v>
      </c>
      <c r="H353" s="367">
        <v>0</v>
      </c>
      <c r="I353" s="367">
        <v>46214203.5</v>
      </c>
      <c r="J353" s="367">
        <f t="shared" si="168"/>
        <v>1096932613.5</v>
      </c>
      <c r="K353" s="367">
        <v>4000000</v>
      </c>
      <c r="L353" s="367">
        <v>45917893.5</v>
      </c>
      <c r="M353" s="367">
        <f t="shared" si="168"/>
        <v>296310</v>
      </c>
      <c r="N353" s="367">
        <v>54501402.5</v>
      </c>
      <c r="O353" s="367">
        <f t="shared" si="168"/>
        <v>8287199</v>
      </c>
      <c r="P353" s="367">
        <f t="shared" si="168"/>
        <v>1088645414.5</v>
      </c>
      <c r="Q353" s="367">
        <f t="shared" si="168"/>
        <v>45917893.5</v>
      </c>
    </row>
    <row r="354" spans="1:21" x14ac:dyDescent="0.25">
      <c r="A354" s="341">
        <v>2350301</v>
      </c>
      <c r="B354" s="342" t="s">
        <v>174</v>
      </c>
      <c r="C354" s="368">
        <v>0</v>
      </c>
      <c r="D354" s="368">
        <v>0</v>
      </c>
      <c r="E354" s="368">
        <v>0</v>
      </c>
      <c r="F354" s="368">
        <v>35022827</v>
      </c>
      <c r="G354" s="368">
        <f t="shared" si="167"/>
        <v>35022827</v>
      </c>
      <c r="H354" s="368">
        <v>0</v>
      </c>
      <c r="I354" s="368">
        <v>26447193.5</v>
      </c>
      <c r="J354" s="368">
        <f t="shared" si="161"/>
        <v>8575633.5</v>
      </c>
      <c r="K354" s="368">
        <v>4000000</v>
      </c>
      <c r="L354" s="368">
        <v>26447193.5</v>
      </c>
      <c r="M354" s="368">
        <f t="shared" si="158"/>
        <v>0</v>
      </c>
      <c r="N354" s="368">
        <v>34734392.5</v>
      </c>
      <c r="O354" s="368">
        <f t="shared" si="159"/>
        <v>8287199</v>
      </c>
      <c r="P354" s="368">
        <f t="shared" si="162"/>
        <v>288434.5</v>
      </c>
      <c r="Q354" s="368">
        <f t="shared" si="146"/>
        <v>26447193.5</v>
      </c>
    </row>
    <row r="355" spans="1:21" s="100" customFormat="1" x14ac:dyDescent="0.25">
      <c r="A355" s="341">
        <v>2350302</v>
      </c>
      <c r="B355" s="342" t="s">
        <v>175</v>
      </c>
      <c r="C355" s="368">
        <v>0</v>
      </c>
      <c r="D355" s="368">
        <v>0</v>
      </c>
      <c r="E355" s="368">
        <v>0</v>
      </c>
      <c r="F355" s="368">
        <v>70423765</v>
      </c>
      <c r="G355" s="368">
        <f t="shared" si="167"/>
        <v>70423765</v>
      </c>
      <c r="H355" s="368">
        <v>0</v>
      </c>
      <c r="I355" s="368">
        <v>0</v>
      </c>
      <c r="J355" s="368">
        <f t="shared" si="161"/>
        <v>70423765</v>
      </c>
      <c r="K355" s="368">
        <v>0</v>
      </c>
      <c r="L355" s="368">
        <v>0</v>
      </c>
      <c r="M355" s="368">
        <f t="shared" si="158"/>
        <v>0</v>
      </c>
      <c r="N355" s="368">
        <v>0</v>
      </c>
      <c r="O355" s="368">
        <f t="shared" si="159"/>
        <v>0</v>
      </c>
      <c r="P355" s="368">
        <f t="shared" si="162"/>
        <v>70423765</v>
      </c>
      <c r="Q355" s="368">
        <f t="shared" si="146"/>
        <v>0</v>
      </c>
      <c r="R355" s="84"/>
      <c r="S355" s="84"/>
      <c r="T355" s="84"/>
      <c r="U355" s="84"/>
    </row>
    <row r="356" spans="1:21" x14ac:dyDescent="0.25">
      <c r="A356" s="341">
        <v>2350303</v>
      </c>
      <c r="B356" s="342" t="s">
        <v>176</v>
      </c>
      <c r="C356" s="368">
        <v>0</v>
      </c>
      <c r="D356" s="368">
        <v>0</v>
      </c>
      <c r="E356" s="368">
        <v>0</v>
      </c>
      <c r="F356" s="368">
        <v>749700000</v>
      </c>
      <c r="G356" s="368">
        <f t="shared" si="167"/>
        <v>749700000</v>
      </c>
      <c r="H356" s="368">
        <v>0</v>
      </c>
      <c r="I356" s="368">
        <v>0</v>
      </c>
      <c r="J356" s="368">
        <f t="shared" si="161"/>
        <v>749700000</v>
      </c>
      <c r="K356" s="368">
        <v>0</v>
      </c>
      <c r="L356" s="368">
        <v>0</v>
      </c>
      <c r="M356" s="368">
        <f t="shared" si="158"/>
        <v>0</v>
      </c>
      <c r="N356" s="368">
        <v>0</v>
      </c>
      <c r="O356" s="368">
        <f t="shared" si="159"/>
        <v>0</v>
      </c>
      <c r="P356" s="368">
        <f t="shared" si="162"/>
        <v>749700000</v>
      </c>
      <c r="Q356" s="368">
        <f t="shared" si="146"/>
        <v>0</v>
      </c>
    </row>
    <row r="357" spans="1:21" ht="30" x14ac:dyDescent="0.25">
      <c r="A357" s="341">
        <v>2350309</v>
      </c>
      <c r="B357" s="342" t="s">
        <v>177</v>
      </c>
      <c r="C357" s="368">
        <v>0</v>
      </c>
      <c r="D357" s="368">
        <v>0</v>
      </c>
      <c r="E357" s="368">
        <v>0</v>
      </c>
      <c r="F357" s="368">
        <v>31916686</v>
      </c>
      <c r="G357" s="368">
        <f t="shared" si="167"/>
        <v>31916686</v>
      </c>
      <c r="H357" s="368">
        <v>0</v>
      </c>
      <c r="I357" s="368">
        <v>0</v>
      </c>
      <c r="J357" s="368">
        <f t="shared" si="161"/>
        <v>31916686</v>
      </c>
      <c r="K357" s="368">
        <v>0</v>
      </c>
      <c r="L357" s="368">
        <v>0</v>
      </c>
      <c r="M357" s="368">
        <f t="shared" si="158"/>
        <v>0</v>
      </c>
      <c r="N357" s="368">
        <v>0</v>
      </c>
      <c r="O357" s="368">
        <f t="shared" si="159"/>
        <v>0</v>
      </c>
      <c r="P357" s="368">
        <f t="shared" si="162"/>
        <v>31916686</v>
      </c>
      <c r="Q357" s="368">
        <f t="shared" si="146"/>
        <v>0</v>
      </c>
    </row>
    <row r="358" spans="1:21" x14ac:dyDescent="0.25">
      <c r="A358" s="364">
        <v>2350315</v>
      </c>
      <c r="B358" s="342" t="s">
        <v>178</v>
      </c>
      <c r="C358" s="368">
        <v>0</v>
      </c>
      <c r="D358" s="368">
        <v>0</v>
      </c>
      <c r="E358" s="368">
        <v>0</v>
      </c>
      <c r="F358" s="368">
        <v>2892728</v>
      </c>
      <c r="G358" s="368">
        <f t="shared" si="167"/>
        <v>2892728</v>
      </c>
      <c r="H358" s="368">
        <v>0</v>
      </c>
      <c r="I358" s="368">
        <v>296310</v>
      </c>
      <c r="J358" s="368">
        <f t="shared" si="161"/>
        <v>2596418</v>
      </c>
      <c r="K358" s="368">
        <v>0</v>
      </c>
      <c r="L358" s="368">
        <v>0</v>
      </c>
      <c r="M358" s="368">
        <f t="shared" si="158"/>
        <v>296310</v>
      </c>
      <c r="N358" s="368">
        <v>296310</v>
      </c>
      <c r="O358" s="368">
        <f t="shared" si="159"/>
        <v>0</v>
      </c>
      <c r="P358" s="368">
        <f t="shared" si="162"/>
        <v>2596418</v>
      </c>
      <c r="Q358" s="368">
        <f t="shared" si="146"/>
        <v>0</v>
      </c>
      <c r="U358" s="100"/>
    </row>
    <row r="359" spans="1:21" x14ac:dyDescent="0.25">
      <c r="A359" s="341">
        <v>2350321</v>
      </c>
      <c r="B359" s="342" t="s">
        <v>179</v>
      </c>
      <c r="C359" s="368">
        <v>0</v>
      </c>
      <c r="D359" s="368">
        <v>0</v>
      </c>
      <c r="E359" s="368">
        <v>0</v>
      </c>
      <c r="F359" s="368">
        <v>19873160</v>
      </c>
      <c r="G359" s="368">
        <f t="shared" si="167"/>
        <v>19873160</v>
      </c>
      <c r="H359" s="368">
        <v>0</v>
      </c>
      <c r="I359" s="368">
        <v>0</v>
      </c>
      <c r="J359" s="368">
        <f t="shared" si="161"/>
        <v>19873160</v>
      </c>
      <c r="K359" s="368">
        <v>0</v>
      </c>
      <c r="L359" s="368">
        <v>0</v>
      </c>
      <c r="M359" s="368">
        <f t="shared" si="158"/>
        <v>0</v>
      </c>
      <c r="N359" s="368">
        <v>0</v>
      </c>
      <c r="O359" s="368">
        <f t="shared" si="159"/>
        <v>0</v>
      </c>
      <c r="P359" s="368">
        <f t="shared" si="162"/>
        <v>19873160</v>
      </c>
      <c r="Q359" s="368">
        <f t="shared" ref="Q359:Q401" si="169">+L359</f>
        <v>0</v>
      </c>
      <c r="R359" s="100"/>
      <c r="S359" s="100"/>
      <c r="T359" s="100"/>
    </row>
    <row r="360" spans="1:21" x14ac:dyDescent="0.25">
      <c r="A360" s="341">
        <v>2350324</v>
      </c>
      <c r="B360" s="342" t="s">
        <v>180</v>
      </c>
      <c r="C360" s="368">
        <v>0</v>
      </c>
      <c r="D360" s="368">
        <v>0</v>
      </c>
      <c r="E360" s="368">
        <v>0</v>
      </c>
      <c r="F360" s="368">
        <v>40398042</v>
      </c>
      <c r="G360" s="368">
        <f t="shared" si="167"/>
        <v>40398042</v>
      </c>
      <c r="H360" s="368">
        <v>0</v>
      </c>
      <c r="I360" s="368">
        <v>0</v>
      </c>
      <c r="J360" s="368">
        <f t="shared" si="161"/>
        <v>40398042</v>
      </c>
      <c r="K360" s="368">
        <v>0</v>
      </c>
      <c r="L360" s="368">
        <v>0</v>
      </c>
      <c r="M360" s="368">
        <f t="shared" si="158"/>
        <v>0</v>
      </c>
      <c r="N360" s="368">
        <v>0</v>
      </c>
      <c r="O360" s="368">
        <f t="shared" si="159"/>
        <v>0</v>
      </c>
      <c r="P360" s="368">
        <f t="shared" si="162"/>
        <v>40398042</v>
      </c>
      <c r="Q360" s="368">
        <f t="shared" si="169"/>
        <v>0</v>
      </c>
    </row>
    <row r="361" spans="1:21" x14ac:dyDescent="0.25">
      <c r="A361" s="341">
        <v>2350325</v>
      </c>
      <c r="B361" s="342" t="s">
        <v>181</v>
      </c>
      <c r="C361" s="368">
        <v>0</v>
      </c>
      <c r="D361" s="368">
        <v>0</v>
      </c>
      <c r="E361" s="368">
        <v>2182569021</v>
      </c>
      <c r="F361" s="368">
        <v>2182569021</v>
      </c>
      <c r="G361" s="368">
        <f t="shared" si="167"/>
        <v>0</v>
      </c>
      <c r="H361" s="368">
        <v>0</v>
      </c>
      <c r="I361" s="368">
        <v>0</v>
      </c>
      <c r="J361" s="368">
        <f t="shared" si="161"/>
        <v>0</v>
      </c>
      <c r="K361" s="368">
        <v>0</v>
      </c>
      <c r="L361" s="368">
        <v>0</v>
      </c>
      <c r="M361" s="368">
        <f t="shared" si="158"/>
        <v>0</v>
      </c>
      <c r="N361" s="368">
        <v>0</v>
      </c>
      <c r="O361" s="368">
        <f t="shared" si="159"/>
        <v>0</v>
      </c>
      <c r="P361" s="368">
        <f t="shared" si="162"/>
        <v>0</v>
      </c>
      <c r="Q361" s="368">
        <f t="shared" si="169"/>
        <v>0</v>
      </c>
    </row>
    <row r="362" spans="1:21" x14ac:dyDescent="0.25">
      <c r="A362" s="341">
        <v>2350326</v>
      </c>
      <c r="B362" s="342" t="s">
        <v>182</v>
      </c>
      <c r="C362" s="368">
        <v>0</v>
      </c>
      <c r="D362" s="368">
        <v>0</v>
      </c>
      <c r="E362" s="368">
        <v>0</v>
      </c>
      <c r="F362" s="368">
        <v>19470700</v>
      </c>
      <c r="G362" s="368">
        <f t="shared" si="167"/>
        <v>19470700</v>
      </c>
      <c r="H362" s="368">
        <v>0</v>
      </c>
      <c r="I362" s="368">
        <v>19470700</v>
      </c>
      <c r="J362" s="368">
        <f t="shared" si="161"/>
        <v>0</v>
      </c>
      <c r="K362" s="368">
        <v>0</v>
      </c>
      <c r="L362" s="368">
        <v>19470700</v>
      </c>
      <c r="M362" s="368">
        <f t="shared" si="158"/>
        <v>0</v>
      </c>
      <c r="N362" s="368">
        <v>19470700</v>
      </c>
      <c r="O362" s="368">
        <f t="shared" si="159"/>
        <v>0</v>
      </c>
      <c r="P362" s="368">
        <f t="shared" si="162"/>
        <v>0</v>
      </c>
      <c r="Q362" s="368">
        <f t="shared" si="169"/>
        <v>19470700</v>
      </c>
    </row>
    <row r="363" spans="1:21" ht="30" x14ac:dyDescent="0.25">
      <c r="A363" s="341">
        <v>2350328</v>
      </c>
      <c r="B363" s="342" t="s">
        <v>183</v>
      </c>
      <c r="C363" s="368">
        <v>0</v>
      </c>
      <c r="D363" s="368">
        <v>0</v>
      </c>
      <c r="E363" s="368">
        <v>0</v>
      </c>
      <c r="F363" s="368">
        <v>91883149</v>
      </c>
      <c r="G363" s="368">
        <f t="shared" si="167"/>
        <v>91883149</v>
      </c>
      <c r="H363" s="368">
        <v>0</v>
      </c>
      <c r="I363" s="368">
        <v>0</v>
      </c>
      <c r="J363" s="368">
        <f t="shared" si="161"/>
        <v>91883149</v>
      </c>
      <c r="K363" s="368">
        <v>0</v>
      </c>
      <c r="L363" s="368">
        <v>0</v>
      </c>
      <c r="M363" s="368">
        <f t="shared" si="158"/>
        <v>0</v>
      </c>
      <c r="N363" s="368">
        <v>0</v>
      </c>
      <c r="O363" s="368">
        <f t="shared" si="159"/>
        <v>0</v>
      </c>
      <c r="P363" s="368">
        <f t="shared" si="162"/>
        <v>91883149</v>
      </c>
      <c r="Q363" s="368">
        <f t="shared" si="169"/>
        <v>0</v>
      </c>
    </row>
    <row r="364" spans="1:21" ht="30" x14ac:dyDescent="0.25">
      <c r="A364" s="341">
        <v>2350330</v>
      </c>
      <c r="B364" s="342" t="s">
        <v>184</v>
      </c>
      <c r="C364" s="368">
        <v>0</v>
      </c>
      <c r="D364" s="368">
        <v>0</v>
      </c>
      <c r="E364" s="368">
        <v>0</v>
      </c>
      <c r="F364" s="368">
        <v>81565760</v>
      </c>
      <c r="G364" s="368">
        <f t="shared" si="167"/>
        <v>81565760</v>
      </c>
      <c r="H364" s="368">
        <v>0</v>
      </c>
      <c r="I364" s="368">
        <v>0</v>
      </c>
      <c r="J364" s="368">
        <f t="shared" si="161"/>
        <v>81565760</v>
      </c>
      <c r="K364" s="368">
        <v>0</v>
      </c>
      <c r="L364" s="368">
        <v>0</v>
      </c>
      <c r="M364" s="368">
        <f t="shared" si="158"/>
        <v>0</v>
      </c>
      <c r="N364" s="368">
        <v>0</v>
      </c>
      <c r="O364" s="368">
        <f t="shared" si="159"/>
        <v>0</v>
      </c>
      <c r="P364" s="368">
        <f t="shared" si="162"/>
        <v>81565760</v>
      </c>
      <c r="Q364" s="368">
        <f t="shared" si="169"/>
        <v>0</v>
      </c>
    </row>
    <row r="365" spans="1:21" x14ac:dyDescent="0.25">
      <c r="A365" s="339">
        <v>23504</v>
      </c>
      <c r="B365" s="340" t="s">
        <v>185</v>
      </c>
      <c r="C365" s="367">
        <f>SUM(C366:C376)</f>
        <v>0</v>
      </c>
      <c r="D365" s="367">
        <f t="shared" ref="D365:Q365" si="170">SUM(D366:D376)</f>
        <v>0</v>
      </c>
      <c r="E365" s="367">
        <f t="shared" si="170"/>
        <v>0</v>
      </c>
      <c r="F365" s="367">
        <f t="shared" si="170"/>
        <v>161960107</v>
      </c>
      <c r="G365" s="367">
        <f t="shared" si="170"/>
        <v>161960107</v>
      </c>
      <c r="H365" s="367">
        <v>0</v>
      </c>
      <c r="I365" s="367">
        <v>65845522</v>
      </c>
      <c r="J365" s="367">
        <f t="shared" si="170"/>
        <v>96114585</v>
      </c>
      <c r="K365" s="367">
        <v>0</v>
      </c>
      <c r="L365" s="367">
        <v>65845522</v>
      </c>
      <c r="M365" s="367">
        <f t="shared" si="170"/>
        <v>0</v>
      </c>
      <c r="N365" s="367">
        <v>78222122</v>
      </c>
      <c r="O365" s="367">
        <f t="shared" si="170"/>
        <v>12376600</v>
      </c>
      <c r="P365" s="367">
        <f t="shared" si="170"/>
        <v>83737985</v>
      </c>
      <c r="Q365" s="367">
        <f t="shared" si="170"/>
        <v>65845522</v>
      </c>
    </row>
    <row r="366" spans="1:21" x14ac:dyDescent="0.25">
      <c r="A366" s="364">
        <v>2350401</v>
      </c>
      <c r="B366" s="342" t="s">
        <v>186</v>
      </c>
      <c r="C366" s="368">
        <v>0</v>
      </c>
      <c r="D366" s="368">
        <v>0</v>
      </c>
      <c r="E366" s="368">
        <v>0</v>
      </c>
      <c r="F366" s="368">
        <v>8521352</v>
      </c>
      <c r="G366" s="368">
        <f t="shared" si="167"/>
        <v>8521352</v>
      </c>
      <c r="H366" s="368">
        <v>0</v>
      </c>
      <c r="I366" s="368">
        <v>0</v>
      </c>
      <c r="J366" s="368">
        <f t="shared" si="161"/>
        <v>8521352</v>
      </c>
      <c r="K366" s="368">
        <v>0</v>
      </c>
      <c r="L366" s="368">
        <v>0</v>
      </c>
      <c r="M366" s="368">
        <f t="shared" si="158"/>
        <v>0</v>
      </c>
      <c r="N366" s="368">
        <v>0</v>
      </c>
      <c r="O366" s="368">
        <f t="shared" si="159"/>
        <v>0</v>
      </c>
      <c r="P366" s="368">
        <f t="shared" si="162"/>
        <v>8521352</v>
      </c>
      <c r="Q366" s="368">
        <f t="shared" si="169"/>
        <v>0</v>
      </c>
    </row>
    <row r="367" spans="1:21" s="100" customFormat="1" ht="30" x14ac:dyDescent="0.25">
      <c r="A367" s="341">
        <v>2350402</v>
      </c>
      <c r="B367" s="342" t="s">
        <v>187</v>
      </c>
      <c r="C367" s="368">
        <v>0</v>
      </c>
      <c r="D367" s="368">
        <v>0</v>
      </c>
      <c r="E367" s="368">
        <v>0</v>
      </c>
      <c r="F367" s="368">
        <v>1126955</v>
      </c>
      <c r="G367" s="368">
        <f t="shared" si="167"/>
        <v>1126955</v>
      </c>
      <c r="H367" s="368">
        <v>0</v>
      </c>
      <c r="I367" s="368">
        <v>1126955</v>
      </c>
      <c r="J367" s="368">
        <f t="shared" si="161"/>
        <v>0</v>
      </c>
      <c r="K367" s="368">
        <v>0</v>
      </c>
      <c r="L367" s="368">
        <v>1126955</v>
      </c>
      <c r="M367" s="368">
        <f t="shared" si="158"/>
        <v>0</v>
      </c>
      <c r="N367" s="368">
        <v>1126955</v>
      </c>
      <c r="O367" s="368">
        <f t="shared" si="159"/>
        <v>0</v>
      </c>
      <c r="P367" s="368">
        <f t="shared" si="162"/>
        <v>0</v>
      </c>
      <c r="Q367" s="368">
        <f t="shared" si="169"/>
        <v>1126955</v>
      </c>
      <c r="R367" s="84"/>
      <c r="S367" s="84"/>
      <c r="T367" s="84"/>
      <c r="U367" s="84"/>
    </row>
    <row r="368" spans="1:21" x14ac:dyDescent="0.25">
      <c r="A368" s="341">
        <v>2350403</v>
      </c>
      <c r="B368" s="342" t="s">
        <v>188</v>
      </c>
      <c r="C368" s="368">
        <v>0</v>
      </c>
      <c r="D368" s="368">
        <v>0</v>
      </c>
      <c r="E368" s="368">
        <v>0</v>
      </c>
      <c r="F368" s="368">
        <v>4977319</v>
      </c>
      <c r="G368" s="368">
        <f t="shared" si="167"/>
        <v>4977319</v>
      </c>
      <c r="H368" s="368">
        <v>0</v>
      </c>
      <c r="I368" s="368">
        <v>4977319</v>
      </c>
      <c r="J368" s="368">
        <f t="shared" si="161"/>
        <v>0</v>
      </c>
      <c r="K368" s="368">
        <v>0</v>
      </c>
      <c r="L368" s="368">
        <v>4977319</v>
      </c>
      <c r="M368" s="368">
        <f t="shared" si="158"/>
        <v>0</v>
      </c>
      <c r="N368" s="368">
        <v>4977319</v>
      </c>
      <c r="O368" s="368">
        <f t="shared" si="159"/>
        <v>0</v>
      </c>
      <c r="P368" s="368">
        <f t="shared" si="162"/>
        <v>0</v>
      </c>
      <c r="Q368" s="368">
        <f t="shared" si="169"/>
        <v>4977319</v>
      </c>
    </row>
    <row r="369" spans="1:21" x14ac:dyDescent="0.25">
      <c r="A369" s="364">
        <v>2350404</v>
      </c>
      <c r="B369" s="342" t="s">
        <v>189</v>
      </c>
      <c r="C369" s="368">
        <v>0</v>
      </c>
      <c r="D369" s="368">
        <v>0</v>
      </c>
      <c r="E369" s="368">
        <v>0</v>
      </c>
      <c r="F369" s="368">
        <v>5000</v>
      </c>
      <c r="G369" s="368">
        <f t="shared" si="167"/>
        <v>5000</v>
      </c>
      <c r="H369" s="368">
        <v>0</v>
      </c>
      <c r="I369" s="368">
        <v>0</v>
      </c>
      <c r="J369" s="368">
        <f t="shared" si="161"/>
        <v>5000</v>
      </c>
      <c r="K369" s="368">
        <v>0</v>
      </c>
      <c r="L369" s="368">
        <v>0</v>
      </c>
      <c r="M369" s="368">
        <f t="shared" si="158"/>
        <v>0</v>
      </c>
      <c r="N369" s="368">
        <v>0</v>
      </c>
      <c r="O369" s="368">
        <f t="shared" si="159"/>
        <v>0</v>
      </c>
      <c r="P369" s="368">
        <f t="shared" si="162"/>
        <v>5000</v>
      </c>
      <c r="Q369" s="368">
        <f t="shared" si="169"/>
        <v>0</v>
      </c>
    </row>
    <row r="370" spans="1:21" x14ac:dyDescent="0.25">
      <c r="A370" s="364">
        <v>2350405</v>
      </c>
      <c r="B370" s="342" t="s">
        <v>190</v>
      </c>
      <c r="C370" s="368">
        <v>0</v>
      </c>
      <c r="D370" s="368">
        <v>0</v>
      </c>
      <c r="E370" s="368">
        <v>0</v>
      </c>
      <c r="F370" s="368">
        <v>1462335</v>
      </c>
      <c r="G370" s="368">
        <f t="shared" si="167"/>
        <v>1462335</v>
      </c>
      <c r="H370" s="368">
        <v>0</v>
      </c>
      <c r="I370" s="368">
        <v>0</v>
      </c>
      <c r="J370" s="368">
        <f t="shared" si="161"/>
        <v>1462335</v>
      </c>
      <c r="K370" s="368">
        <v>0</v>
      </c>
      <c r="L370" s="368">
        <v>0</v>
      </c>
      <c r="M370" s="368">
        <f t="shared" si="158"/>
        <v>0</v>
      </c>
      <c r="N370" s="368">
        <v>0</v>
      </c>
      <c r="O370" s="368">
        <f t="shared" si="159"/>
        <v>0</v>
      </c>
      <c r="P370" s="368">
        <f t="shared" si="162"/>
        <v>1462335</v>
      </c>
      <c r="Q370" s="368">
        <f t="shared" si="169"/>
        <v>0</v>
      </c>
      <c r="U370" s="100"/>
    </row>
    <row r="371" spans="1:21" ht="30" x14ac:dyDescent="0.25">
      <c r="A371" s="341">
        <v>2350406</v>
      </c>
      <c r="B371" s="342" t="s">
        <v>191</v>
      </c>
      <c r="C371" s="368">
        <v>0</v>
      </c>
      <c r="D371" s="368">
        <v>0</v>
      </c>
      <c r="E371" s="368">
        <v>0</v>
      </c>
      <c r="F371" s="368">
        <v>60139189</v>
      </c>
      <c r="G371" s="368">
        <f t="shared" si="167"/>
        <v>60139189</v>
      </c>
      <c r="H371" s="368">
        <v>0</v>
      </c>
      <c r="I371" s="368">
        <v>59741248</v>
      </c>
      <c r="J371" s="368">
        <f t="shared" si="161"/>
        <v>397941</v>
      </c>
      <c r="K371" s="368">
        <v>0</v>
      </c>
      <c r="L371" s="368">
        <v>59741248</v>
      </c>
      <c r="M371" s="368">
        <f t="shared" si="158"/>
        <v>0</v>
      </c>
      <c r="N371" s="368">
        <v>59741848</v>
      </c>
      <c r="O371" s="368">
        <f t="shared" si="159"/>
        <v>600</v>
      </c>
      <c r="P371" s="368">
        <f t="shared" si="162"/>
        <v>397341</v>
      </c>
      <c r="Q371" s="368">
        <f t="shared" si="169"/>
        <v>59741248</v>
      </c>
      <c r="R371" s="100"/>
      <c r="S371" s="100"/>
      <c r="T371" s="100"/>
    </row>
    <row r="372" spans="1:21" ht="30" x14ac:dyDescent="0.25">
      <c r="A372" s="341">
        <v>2350407</v>
      </c>
      <c r="B372" s="342" t="s">
        <v>192</v>
      </c>
      <c r="C372" s="368">
        <v>0</v>
      </c>
      <c r="D372" s="368">
        <v>0</v>
      </c>
      <c r="E372" s="368">
        <v>0</v>
      </c>
      <c r="F372" s="368">
        <v>282815</v>
      </c>
      <c r="G372" s="368">
        <f t="shared" si="167"/>
        <v>282815</v>
      </c>
      <c r="H372" s="368">
        <v>0</v>
      </c>
      <c r="I372" s="368">
        <v>0</v>
      </c>
      <c r="J372" s="368">
        <f t="shared" si="161"/>
        <v>282815</v>
      </c>
      <c r="K372" s="368">
        <v>0</v>
      </c>
      <c r="L372" s="368">
        <v>0</v>
      </c>
      <c r="M372" s="368">
        <f t="shared" si="158"/>
        <v>0</v>
      </c>
      <c r="N372" s="368">
        <v>0</v>
      </c>
      <c r="O372" s="368">
        <f t="shared" si="159"/>
        <v>0</v>
      </c>
      <c r="P372" s="368">
        <f t="shared" si="162"/>
        <v>282815</v>
      </c>
      <c r="Q372" s="368">
        <f t="shared" si="169"/>
        <v>0</v>
      </c>
    </row>
    <row r="373" spans="1:21" ht="30" x14ac:dyDescent="0.25">
      <c r="A373" s="341">
        <v>2350408</v>
      </c>
      <c r="B373" s="342" t="s">
        <v>193</v>
      </c>
      <c r="C373" s="368">
        <v>0</v>
      </c>
      <c r="D373" s="368">
        <v>0</v>
      </c>
      <c r="E373" s="368">
        <v>0</v>
      </c>
      <c r="F373" s="368">
        <v>3015215</v>
      </c>
      <c r="G373" s="368">
        <f t="shared" si="167"/>
        <v>3015215</v>
      </c>
      <c r="H373" s="368">
        <v>0</v>
      </c>
      <c r="I373" s="368">
        <v>0</v>
      </c>
      <c r="J373" s="368">
        <f t="shared" si="161"/>
        <v>3015215</v>
      </c>
      <c r="K373" s="368">
        <v>0</v>
      </c>
      <c r="L373" s="368">
        <v>0</v>
      </c>
      <c r="M373" s="368">
        <f t="shared" si="158"/>
        <v>0</v>
      </c>
      <c r="N373" s="368">
        <v>3000000</v>
      </c>
      <c r="O373" s="368">
        <f t="shared" si="159"/>
        <v>3000000</v>
      </c>
      <c r="P373" s="368">
        <f t="shared" si="162"/>
        <v>15215</v>
      </c>
      <c r="Q373" s="368">
        <f t="shared" si="169"/>
        <v>0</v>
      </c>
    </row>
    <row r="374" spans="1:21" ht="30" x14ac:dyDescent="0.25">
      <c r="A374" s="341">
        <v>2350409</v>
      </c>
      <c r="B374" s="342" t="s">
        <v>194</v>
      </c>
      <c r="C374" s="368">
        <v>0</v>
      </c>
      <c r="D374" s="368">
        <v>0</v>
      </c>
      <c r="E374" s="368">
        <v>0</v>
      </c>
      <c r="F374" s="368">
        <v>9705246</v>
      </c>
      <c r="G374" s="368">
        <f t="shared" si="167"/>
        <v>9705246</v>
      </c>
      <c r="H374" s="368">
        <v>0</v>
      </c>
      <c r="I374" s="368">
        <v>0</v>
      </c>
      <c r="J374" s="368">
        <f t="shared" si="161"/>
        <v>9705246</v>
      </c>
      <c r="K374" s="368">
        <v>0</v>
      </c>
      <c r="L374" s="368">
        <v>0</v>
      </c>
      <c r="M374" s="368">
        <f t="shared" si="158"/>
        <v>0</v>
      </c>
      <c r="N374" s="368">
        <v>9376000</v>
      </c>
      <c r="O374" s="368">
        <f t="shared" si="159"/>
        <v>9376000</v>
      </c>
      <c r="P374" s="368">
        <f t="shared" si="162"/>
        <v>329246</v>
      </c>
      <c r="Q374" s="368">
        <f t="shared" si="169"/>
        <v>0</v>
      </c>
    </row>
    <row r="375" spans="1:21" s="100" customFormat="1" x14ac:dyDescent="0.25">
      <c r="A375" s="341">
        <v>2350410</v>
      </c>
      <c r="B375" s="342" t="s">
        <v>195</v>
      </c>
      <c r="C375" s="368">
        <v>0</v>
      </c>
      <c r="D375" s="368">
        <v>0</v>
      </c>
      <c r="E375" s="368">
        <v>0</v>
      </c>
      <c r="F375" s="368">
        <v>3691380</v>
      </c>
      <c r="G375" s="368">
        <f t="shared" si="167"/>
        <v>3691380</v>
      </c>
      <c r="H375" s="368">
        <v>0</v>
      </c>
      <c r="I375" s="368">
        <v>0</v>
      </c>
      <c r="J375" s="368">
        <f t="shared" si="161"/>
        <v>3691380</v>
      </c>
      <c r="K375" s="368">
        <v>0</v>
      </c>
      <c r="L375" s="368">
        <v>0</v>
      </c>
      <c r="M375" s="368">
        <f t="shared" si="158"/>
        <v>0</v>
      </c>
      <c r="N375" s="368">
        <v>0</v>
      </c>
      <c r="O375" s="368">
        <f t="shared" si="159"/>
        <v>0</v>
      </c>
      <c r="P375" s="368">
        <f t="shared" si="162"/>
        <v>3691380</v>
      </c>
      <c r="Q375" s="368">
        <f t="shared" si="169"/>
        <v>0</v>
      </c>
      <c r="R375" s="84"/>
      <c r="S375" s="84"/>
      <c r="T375" s="84"/>
      <c r="U375" s="84"/>
    </row>
    <row r="376" spans="1:21" x14ac:dyDescent="0.25">
      <c r="A376" s="341">
        <v>2350411</v>
      </c>
      <c r="B376" s="342" t="s">
        <v>185</v>
      </c>
      <c r="C376" s="368">
        <v>0</v>
      </c>
      <c r="D376" s="368">
        <v>0</v>
      </c>
      <c r="E376" s="368">
        <v>0</v>
      </c>
      <c r="F376" s="368">
        <v>69033301</v>
      </c>
      <c r="G376" s="368">
        <f t="shared" si="167"/>
        <v>69033301</v>
      </c>
      <c r="H376" s="368">
        <v>0</v>
      </c>
      <c r="I376" s="368">
        <v>0</v>
      </c>
      <c r="J376" s="368">
        <f t="shared" si="161"/>
        <v>69033301</v>
      </c>
      <c r="K376" s="368">
        <v>0</v>
      </c>
      <c r="L376" s="368">
        <v>0</v>
      </c>
      <c r="M376" s="368">
        <f t="shared" si="158"/>
        <v>0</v>
      </c>
      <c r="N376" s="368">
        <v>0</v>
      </c>
      <c r="O376" s="368">
        <f t="shared" si="159"/>
        <v>0</v>
      </c>
      <c r="P376" s="368">
        <f t="shared" si="162"/>
        <v>69033301</v>
      </c>
      <c r="Q376" s="368">
        <f t="shared" si="169"/>
        <v>0</v>
      </c>
    </row>
    <row r="377" spans="1:21" x14ac:dyDescent="0.25">
      <c r="A377" s="339">
        <v>23505</v>
      </c>
      <c r="B377" s="340" t="s">
        <v>196</v>
      </c>
      <c r="C377" s="367">
        <f>SUM(C378:C384)</f>
        <v>0</v>
      </c>
      <c r="D377" s="367">
        <f t="shared" ref="D377:Q377" si="171">SUM(D378:D384)</f>
        <v>0</v>
      </c>
      <c r="E377" s="367">
        <f t="shared" si="171"/>
        <v>0</v>
      </c>
      <c r="F377" s="367">
        <f t="shared" si="171"/>
        <v>87402263</v>
      </c>
      <c r="G377" s="367">
        <f t="shared" si="171"/>
        <v>87402263</v>
      </c>
      <c r="H377" s="367">
        <v>0</v>
      </c>
      <c r="I377" s="367">
        <v>59960290</v>
      </c>
      <c r="J377" s="367">
        <f t="shared" si="171"/>
        <v>27441973</v>
      </c>
      <c r="K377" s="367">
        <v>0</v>
      </c>
      <c r="L377" s="367">
        <v>53460290</v>
      </c>
      <c r="M377" s="367">
        <f t="shared" si="171"/>
        <v>6500000</v>
      </c>
      <c r="N377" s="367">
        <v>62335017</v>
      </c>
      <c r="O377" s="367">
        <f t="shared" si="171"/>
        <v>2374727</v>
      </c>
      <c r="P377" s="367">
        <f t="shared" si="171"/>
        <v>25067246</v>
      </c>
      <c r="Q377" s="367">
        <f t="shared" si="171"/>
        <v>53460290</v>
      </c>
    </row>
    <row r="378" spans="1:21" ht="30" x14ac:dyDescent="0.25">
      <c r="A378" s="364">
        <v>2350501</v>
      </c>
      <c r="B378" s="342" t="s">
        <v>197</v>
      </c>
      <c r="C378" s="368">
        <v>0</v>
      </c>
      <c r="D378" s="368">
        <v>0</v>
      </c>
      <c r="E378" s="368">
        <v>0</v>
      </c>
      <c r="F378" s="368">
        <v>3375956</v>
      </c>
      <c r="G378" s="368">
        <f t="shared" si="167"/>
        <v>3375956</v>
      </c>
      <c r="H378" s="368">
        <v>0</v>
      </c>
      <c r="I378" s="368">
        <v>0</v>
      </c>
      <c r="J378" s="368">
        <f t="shared" si="161"/>
        <v>3375956</v>
      </c>
      <c r="K378" s="368">
        <v>0</v>
      </c>
      <c r="L378" s="368">
        <v>0</v>
      </c>
      <c r="M378" s="368">
        <f t="shared" si="158"/>
        <v>0</v>
      </c>
      <c r="N378" s="368">
        <v>0</v>
      </c>
      <c r="O378" s="368">
        <f t="shared" si="159"/>
        <v>0</v>
      </c>
      <c r="P378" s="368">
        <f t="shared" si="162"/>
        <v>3375956</v>
      </c>
      <c r="Q378" s="368">
        <f t="shared" si="169"/>
        <v>0</v>
      </c>
      <c r="U378" s="100"/>
    </row>
    <row r="379" spans="1:21" x14ac:dyDescent="0.25">
      <c r="A379" s="341">
        <v>2350502</v>
      </c>
      <c r="B379" s="342" t="s">
        <v>198</v>
      </c>
      <c r="C379" s="368">
        <v>0</v>
      </c>
      <c r="D379" s="368">
        <v>0</v>
      </c>
      <c r="E379" s="368">
        <v>0</v>
      </c>
      <c r="F379" s="368">
        <v>898908</v>
      </c>
      <c r="G379" s="368">
        <f t="shared" si="167"/>
        <v>898908</v>
      </c>
      <c r="H379" s="368">
        <v>0</v>
      </c>
      <c r="I379" s="368">
        <v>0</v>
      </c>
      <c r="J379" s="368">
        <f t="shared" si="161"/>
        <v>898908</v>
      </c>
      <c r="K379" s="368">
        <v>0</v>
      </c>
      <c r="L379" s="368">
        <v>0</v>
      </c>
      <c r="M379" s="368">
        <f t="shared" si="158"/>
        <v>0</v>
      </c>
      <c r="N379" s="368">
        <v>0</v>
      </c>
      <c r="O379" s="368">
        <f t="shared" si="159"/>
        <v>0</v>
      </c>
      <c r="P379" s="368">
        <f t="shared" si="162"/>
        <v>898908</v>
      </c>
      <c r="Q379" s="368">
        <f t="shared" si="169"/>
        <v>0</v>
      </c>
      <c r="R379" s="100"/>
      <c r="S379" s="100"/>
      <c r="T379" s="100"/>
    </row>
    <row r="380" spans="1:21" ht="30" x14ac:dyDescent="0.25">
      <c r="A380" s="341">
        <v>2350503</v>
      </c>
      <c r="B380" s="342" t="s">
        <v>199</v>
      </c>
      <c r="C380" s="368">
        <v>0</v>
      </c>
      <c r="D380" s="368">
        <v>0</v>
      </c>
      <c r="E380" s="368">
        <v>0</v>
      </c>
      <c r="F380" s="368">
        <v>1181670</v>
      </c>
      <c r="G380" s="368">
        <f t="shared" si="167"/>
        <v>1181670</v>
      </c>
      <c r="H380" s="368">
        <v>0</v>
      </c>
      <c r="I380" s="368">
        <v>0</v>
      </c>
      <c r="J380" s="368">
        <f t="shared" si="161"/>
        <v>1181670</v>
      </c>
      <c r="K380" s="368">
        <v>0</v>
      </c>
      <c r="L380" s="368">
        <v>0</v>
      </c>
      <c r="M380" s="368">
        <f t="shared" si="158"/>
        <v>0</v>
      </c>
      <c r="N380" s="368">
        <v>0</v>
      </c>
      <c r="O380" s="368">
        <f t="shared" si="159"/>
        <v>0</v>
      </c>
      <c r="P380" s="368">
        <f t="shared" si="162"/>
        <v>1181670</v>
      </c>
      <c r="Q380" s="368">
        <f t="shared" si="169"/>
        <v>0</v>
      </c>
    </row>
    <row r="381" spans="1:21" ht="30" x14ac:dyDescent="0.25">
      <c r="A381" s="341">
        <v>2350504</v>
      </c>
      <c r="B381" s="342" t="s">
        <v>200</v>
      </c>
      <c r="C381" s="368">
        <v>0</v>
      </c>
      <c r="D381" s="368">
        <v>0</v>
      </c>
      <c r="E381" s="368">
        <v>0</v>
      </c>
      <c r="F381" s="368">
        <v>4180583</v>
      </c>
      <c r="G381" s="368">
        <f t="shared" si="167"/>
        <v>4180583</v>
      </c>
      <c r="H381" s="368">
        <v>0</v>
      </c>
      <c r="I381" s="368">
        <v>2082083</v>
      </c>
      <c r="J381" s="368">
        <f t="shared" si="161"/>
        <v>2098500</v>
      </c>
      <c r="K381" s="368">
        <v>0</v>
      </c>
      <c r="L381" s="368">
        <v>2082083</v>
      </c>
      <c r="M381" s="368">
        <f t="shared" si="158"/>
        <v>0</v>
      </c>
      <c r="N381" s="368">
        <v>2082083</v>
      </c>
      <c r="O381" s="368">
        <f t="shared" si="159"/>
        <v>0</v>
      </c>
      <c r="P381" s="368">
        <f t="shared" si="162"/>
        <v>2098500</v>
      </c>
      <c r="Q381" s="368">
        <f t="shared" si="169"/>
        <v>2082083</v>
      </c>
    </row>
    <row r="382" spans="1:21" x14ac:dyDescent="0.25">
      <c r="A382" s="341">
        <v>2350505</v>
      </c>
      <c r="B382" s="342" t="s">
        <v>201</v>
      </c>
      <c r="C382" s="368">
        <v>0</v>
      </c>
      <c r="D382" s="368">
        <v>0</v>
      </c>
      <c r="E382" s="368">
        <v>0</v>
      </c>
      <c r="F382" s="368">
        <v>2074727</v>
      </c>
      <c r="G382" s="368">
        <f t="shared" si="167"/>
        <v>2074727</v>
      </c>
      <c r="H382" s="368">
        <v>0</v>
      </c>
      <c r="I382" s="368">
        <v>1500000</v>
      </c>
      <c r="J382" s="368">
        <f t="shared" si="161"/>
        <v>574727</v>
      </c>
      <c r="K382" s="368">
        <v>0</v>
      </c>
      <c r="L382" s="368">
        <v>1500000</v>
      </c>
      <c r="M382" s="368">
        <f t="shared" si="158"/>
        <v>0</v>
      </c>
      <c r="N382" s="368">
        <v>2074727</v>
      </c>
      <c r="O382" s="368">
        <f t="shared" si="159"/>
        <v>574727</v>
      </c>
      <c r="P382" s="368">
        <f t="shared" si="162"/>
        <v>0</v>
      </c>
      <c r="Q382" s="368">
        <f t="shared" si="169"/>
        <v>1500000</v>
      </c>
    </row>
    <row r="383" spans="1:21" ht="30" x14ac:dyDescent="0.25">
      <c r="A383" s="341">
        <v>2350506</v>
      </c>
      <c r="B383" s="342" t="s">
        <v>202</v>
      </c>
      <c r="C383" s="368">
        <v>0</v>
      </c>
      <c r="D383" s="368">
        <v>0</v>
      </c>
      <c r="E383" s="368">
        <v>0</v>
      </c>
      <c r="F383" s="368">
        <v>49878207</v>
      </c>
      <c r="G383" s="368">
        <f t="shared" si="167"/>
        <v>49878207</v>
      </c>
      <c r="H383" s="368">
        <v>0</v>
      </c>
      <c r="I383" s="368">
        <v>49878207</v>
      </c>
      <c r="J383" s="368">
        <f t="shared" si="161"/>
        <v>0</v>
      </c>
      <c r="K383" s="368">
        <v>0</v>
      </c>
      <c r="L383" s="368">
        <v>49878207</v>
      </c>
      <c r="M383" s="368">
        <f t="shared" si="158"/>
        <v>0</v>
      </c>
      <c r="N383" s="368">
        <v>49878207</v>
      </c>
      <c r="O383" s="368">
        <f t="shared" si="159"/>
        <v>0</v>
      </c>
      <c r="P383" s="368">
        <f t="shared" si="162"/>
        <v>0</v>
      </c>
      <c r="Q383" s="368">
        <f t="shared" si="169"/>
        <v>49878207</v>
      </c>
    </row>
    <row r="384" spans="1:21" ht="30" x14ac:dyDescent="0.25">
      <c r="A384" s="341">
        <v>2350507</v>
      </c>
      <c r="B384" s="342" t="s">
        <v>203</v>
      </c>
      <c r="C384" s="368">
        <v>0</v>
      </c>
      <c r="D384" s="368">
        <v>0</v>
      </c>
      <c r="E384" s="368">
        <v>0</v>
      </c>
      <c r="F384" s="368">
        <v>25812212</v>
      </c>
      <c r="G384" s="368">
        <f t="shared" si="167"/>
        <v>25812212</v>
      </c>
      <c r="H384" s="368">
        <v>0</v>
      </c>
      <c r="I384" s="368">
        <v>6500000</v>
      </c>
      <c r="J384" s="368">
        <f t="shared" si="161"/>
        <v>19312212</v>
      </c>
      <c r="K384" s="368">
        <v>0</v>
      </c>
      <c r="L384" s="368">
        <v>0</v>
      </c>
      <c r="M384" s="368">
        <f t="shared" si="158"/>
        <v>6500000</v>
      </c>
      <c r="N384" s="368">
        <v>8300000</v>
      </c>
      <c r="O384" s="368">
        <f t="shared" si="159"/>
        <v>1800000</v>
      </c>
      <c r="P384" s="368">
        <f t="shared" si="162"/>
        <v>17512212</v>
      </c>
      <c r="Q384" s="368">
        <f t="shared" si="169"/>
        <v>0</v>
      </c>
    </row>
    <row r="385" spans="1:17" x14ac:dyDescent="0.25">
      <c r="A385" s="339">
        <v>23506</v>
      </c>
      <c r="B385" s="340" t="s">
        <v>204</v>
      </c>
      <c r="C385" s="367">
        <f>+C386</f>
        <v>0</v>
      </c>
      <c r="D385" s="367">
        <f t="shared" ref="D385:Q385" si="172">+D386</f>
        <v>0</v>
      </c>
      <c r="E385" s="367">
        <f t="shared" si="172"/>
        <v>0</v>
      </c>
      <c r="F385" s="367">
        <f t="shared" si="172"/>
        <v>81175164</v>
      </c>
      <c r="G385" s="367">
        <f t="shared" si="172"/>
        <v>81175164</v>
      </c>
      <c r="H385" s="367">
        <v>16422000</v>
      </c>
      <c r="I385" s="367">
        <v>81078443</v>
      </c>
      <c r="J385" s="367">
        <f t="shared" si="172"/>
        <v>96721</v>
      </c>
      <c r="K385" s="367">
        <v>963623</v>
      </c>
      <c r="L385" s="367">
        <v>64656443</v>
      </c>
      <c r="M385" s="367">
        <f t="shared" si="172"/>
        <v>16422000</v>
      </c>
      <c r="N385" s="367">
        <v>81175164</v>
      </c>
      <c r="O385" s="367">
        <f t="shared" si="172"/>
        <v>96721</v>
      </c>
      <c r="P385" s="367">
        <f t="shared" si="172"/>
        <v>0</v>
      </c>
      <c r="Q385" s="367">
        <f t="shared" si="172"/>
        <v>64656443</v>
      </c>
    </row>
    <row r="386" spans="1:17" ht="30" x14ac:dyDescent="0.25">
      <c r="A386" s="341">
        <v>2350601</v>
      </c>
      <c r="B386" s="342" t="s">
        <v>205</v>
      </c>
      <c r="C386" s="368">
        <v>0</v>
      </c>
      <c r="D386" s="368">
        <v>0</v>
      </c>
      <c r="E386" s="368">
        <v>0</v>
      </c>
      <c r="F386" s="368">
        <v>81175164</v>
      </c>
      <c r="G386" s="368">
        <f t="shared" si="167"/>
        <v>81175164</v>
      </c>
      <c r="H386" s="368">
        <v>16422000</v>
      </c>
      <c r="I386" s="368">
        <v>81078443</v>
      </c>
      <c r="J386" s="368">
        <f t="shared" si="161"/>
        <v>96721</v>
      </c>
      <c r="K386" s="368">
        <v>963623</v>
      </c>
      <c r="L386" s="368">
        <v>64656443</v>
      </c>
      <c r="M386" s="368">
        <f t="shared" si="158"/>
        <v>16422000</v>
      </c>
      <c r="N386" s="368">
        <v>81175164</v>
      </c>
      <c r="O386" s="368">
        <f t="shared" si="159"/>
        <v>96721</v>
      </c>
      <c r="P386" s="368">
        <f t="shared" si="162"/>
        <v>0</v>
      </c>
      <c r="Q386" s="368">
        <f t="shared" si="169"/>
        <v>64656443</v>
      </c>
    </row>
    <row r="387" spans="1:17" ht="30" x14ac:dyDescent="0.25">
      <c r="A387" s="341">
        <v>23507</v>
      </c>
      <c r="B387" s="342" t="s">
        <v>206</v>
      </c>
      <c r="C387" s="368">
        <v>0</v>
      </c>
      <c r="D387" s="368">
        <v>0</v>
      </c>
      <c r="E387" s="368">
        <v>0</v>
      </c>
      <c r="F387" s="368">
        <v>605226612</v>
      </c>
      <c r="G387" s="368">
        <f t="shared" si="167"/>
        <v>605226612</v>
      </c>
      <c r="H387" s="368">
        <v>0</v>
      </c>
      <c r="I387" s="368">
        <v>174313541</v>
      </c>
      <c r="J387" s="368">
        <f t="shared" si="161"/>
        <v>430913071</v>
      </c>
      <c r="K387" s="368">
        <v>0</v>
      </c>
      <c r="L387" s="368">
        <v>40716000</v>
      </c>
      <c r="M387" s="368">
        <f t="shared" si="158"/>
        <v>133597541</v>
      </c>
      <c r="N387" s="368">
        <v>177013541</v>
      </c>
      <c r="O387" s="368">
        <f t="shared" si="159"/>
        <v>2700000</v>
      </c>
      <c r="P387" s="368">
        <f t="shared" si="162"/>
        <v>428213071</v>
      </c>
      <c r="Q387" s="368">
        <f t="shared" si="169"/>
        <v>40716000</v>
      </c>
    </row>
    <row r="388" spans="1:17" ht="30" x14ac:dyDescent="0.25">
      <c r="A388" s="341">
        <v>23508</v>
      </c>
      <c r="B388" s="342" t="s">
        <v>207</v>
      </c>
      <c r="C388" s="368">
        <v>0</v>
      </c>
      <c r="D388" s="368">
        <v>0</v>
      </c>
      <c r="E388" s="368">
        <v>0</v>
      </c>
      <c r="F388" s="368">
        <v>658324932</v>
      </c>
      <c r="G388" s="368">
        <f t="shared" si="167"/>
        <v>658324932</v>
      </c>
      <c r="H388" s="368">
        <v>0</v>
      </c>
      <c r="I388" s="368">
        <v>119812595</v>
      </c>
      <c r="J388" s="368">
        <f t="shared" si="161"/>
        <v>538512337</v>
      </c>
      <c r="K388" s="368">
        <v>10800000</v>
      </c>
      <c r="L388" s="368">
        <v>47106357</v>
      </c>
      <c r="M388" s="368">
        <f t="shared" si="158"/>
        <v>72706238</v>
      </c>
      <c r="N388" s="368">
        <v>147043195</v>
      </c>
      <c r="O388" s="368">
        <f t="shared" si="159"/>
        <v>27230600</v>
      </c>
      <c r="P388" s="368">
        <f t="shared" si="162"/>
        <v>511281737</v>
      </c>
      <c r="Q388" s="368">
        <f t="shared" si="169"/>
        <v>47106357</v>
      </c>
    </row>
    <row r="389" spans="1:17" x14ac:dyDescent="0.25">
      <c r="A389" s="341">
        <v>23509</v>
      </c>
      <c r="B389" s="342" t="s">
        <v>208</v>
      </c>
      <c r="C389" s="368">
        <v>0</v>
      </c>
      <c r="D389" s="368">
        <v>0</v>
      </c>
      <c r="E389" s="368">
        <v>0</v>
      </c>
      <c r="F389" s="368">
        <v>29204681</v>
      </c>
      <c r="G389" s="368">
        <f t="shared" si="167"/>
        <v>29204681</v>
      </c>
      <c r="H389" s="368">
        <v>0</v>
      </c>
      <c r="I389" s="368">
        <v>25652211</v>
      </c>
      <c r="J389" s="368">
        <f t="shared" si="161"/>
        <v>3552470</v>
      </c>
      <c r="K389" s="368">
        <v>0</v>
      </c>
      <c r="L389" s="368">
        <v>25652211</v>
      </c>
      <c r="M389" s="368">
        <f t="shared" si="158"/>
        <v>0</v>
      </c>
      <c r="N389" s="368">
        <v>25652215</v>
      </c>
      <c r="O389" s="368">
        <f t="shared" si="159"/>
        <v>4</v>
      </c>
      <c r="P389" s="368">
        <f t="shared" si="162"/>
        <v>3552466</v>
      </c>
      <c r="Q389" s="368">
        <f t="shared" si="169"/>
        <v>25652211</v>
      </c>
    </row>
    <row r="390" spans="1:17" ht="30" x14ac:dyDescent="0.25">
      <c r="A390" s="341">
        <v>23510</v>
      </c>
      <c r="B390" s="342" t="s">
        <v>209</v>
      </c>
      <c r="C390" s="368">
        <v>0</v>
      </c>
      <c r="D390" s="368">
        <v>0</v>
      </c>
      <c r="E390" s="368">
        <v>0</v>
      </c>
      <c r="F390" s="368">
        <v>66900000</v>
      </c>
      <c r="G390" s="368">
        <f t="shared" si="167"/>
        <v>66900000</v>
      </c>
      <c r="H390" s="368">
        <v>0</v>
      </c>
      <c r="I390" s="368">
        <v>30527191</v>
      </c>
      <c r="J390" s="368">
        <f t="shared" si="161"/>
        <v>36372809</v>
      </c>
      <c r="K390" s="368">
        <v>0</v>
      </c>
      <c r="L390" s="368">
        <v>30527191</v>
      </c>
      <c r="M390" s="368">
        <f t="shared" si="158"/>
        <v>0</v>
      </c>
      <c r="N390" s="368">
        <v>58527191</v>
      </c>
      <c r="O390" s="368">
        <f t="shared" si="159"/>
        <v>28000000</v>
      </c>
      <c r="P390" s="368">
        <f t="shared" si="162"/>
        <v>8372809</v>
      </c>
      <c r="Q390" s="368">
        <f t="shared" si="169"/>
        <v>30527191</v>
      </c>
    </row>
    <row r="391" spans="1:17" x14ac:dyDescent="0.25">
      <c r="A391" s="341">
        <v>23511</v>
      </c>
      <c r="B391" s="342" t="s">
        <v>210</v>
      </c>
      <c r="C391" s="368">
        <v>0</v>
      </c>
      <c r="D391" s="368">
        <v>0</v>
      </c>
      <c r="E391" s="368">
        <v>0</v>
      </c>
      <c r="F391" s="368">
        <v>264556855</v>
      </c>
      <c r="G391" s="368">
        <f t="shared" si="167"/>
        <v>264556855</v>
      </c>
      <c r="H391" s="368">
        <v>1603207</v>
      </c>
      <c r="I391" s="368">
        <v>264061791</v>
      </c>
      <c r="J391" s="368">
        <f t="shared" si="161"/>
        <v>495064</v>
      </c>
      <c r="K391" s="368">
        <v>8856689</v>
      </c>
      <c r="L391" s="368">
        <v>227452573</v>
      </c>
      <c r="M391" s="368">
        <f t="shared" si="158"/>
        <v>36609218</v>
      </c>
      <c r="N391" s="368">
        <v>264556855</v>
      </c>
      <c r="O391" s="368">
        <f t="shared" si="159"/>
        <v>495064</v>
      </c>
      <c r="P391" s="368">
        <f t="shared" si="162"/>
        <v>0</v>
      </c>
      <c r="Q391" s="368">
        <f t="shared" si="169"/>
        <v>227452573</v>
      </c>
    </row>
    <row r="392" spans="1:17" ht="30" x14ac:dyDescent="0.25">
      <c r="A392" s="341">
        <v>23512</v>
      </c>
      <c r="B392" s="342" t="s">
        <v>211</v>
      </c>
      <c r="C392" s="368">
        <v>0</v>
      </c>
      <c r="D392" s="368">
        <v>0</v>
      </c>
      <c r="E392" s="368">
        <v>0</v>
      </c>
      <c r="F392" s="368">
        <v>33500000</v>
      </c>
      <c r="G392" s="368">
        <f t="shared" si="167"/>
        <v>33500000</v>
      </c>
      <c r="H392" s="368">
        <v>0</v>
      </c>
      <c r="I392" s="368">
        <v>0</v>
      </c>
      <c r="J392" s="368">
        <f t="shared" si="161"/>
        <v>33500000</v>
      </c>
      <c r="K392" s="368">
        <v>0</v>
      </c>
      <c r="L392" s="368">
        <v>0</v>
      </c>
      <c r="M392" s="368">
        <f t="shared" si="158"/>
        <v>0</v>
      </c>
      <c r="N392" s="368">
        <v>0</v>
      </c>
      <c r="O392" s="368">
        <f t="shared" si="159"/>
        <v>0</v>
      </c>
      <c r="P392" s="368">
        <f t="shared" si="162"/>
        <v>33500000</v>
      </c>
      <c r="Q392" s="368">
        <f t="shared" si="169"/>
        <v>0</v>
      </c>
    </row>
    <row r="393" spans="1:17" x14ac:dyDescent="0.25">
      <c r="A393" s="341">
        <v>23513</v>
      </c>
      <c r="B393" s="342" t="s">
        <v>212</v>
      </c>
      <c r="C393" s="368">
        <v>0</v>
      </c>
      <c r="D393" s="368">
        <v>0</v>
      </c>
      <c r="E393" s="368">
        <v>0</v>
      </c>
      <c r="F393" s="368">
        <v>26965898</v>
      </c>
      <c r="G393" s="368">
        <f t="shared" si="167"/>
        <v>26965898</v>
      </c>
      <c r="H393" s="368">
        <v>0</v>
      </c>
      <c r="I393" s="368">
        <v>10465248</v>
      </c>
      <c r="J393" s="368">
        <f t="shared" si="161"/>
        <v>16500650</v>
      </c>
      <c r="K393" s="368">
        <v>0</v>
      </c>
      <c r="L393" s="368">
        <v>0</v>
      </c>
      <c r="M393" s="368">
        <f t="shared" si="158"/>
        <v>10465248</v>
      </c>
      <c r="N393" s="368">
        <v>10465248</v>
      </c>
      <c r="O393" s="368">
        <f t="shared" si="159"/>
        <v>0</v>
      </c>
      <c r="P393" s="368">
        <f t="shared" si="162"/>
        <v>16500650</v>
      </c>
      <c r="Q393" s="368">
        <f t="shared" si="169"/>
        <v>0</v>
      </c>
    </row>
    <row r="394" spans="1:17" x14ac:dyDescent="0.25">
      <c r="A394" s="341">
        <v>23514</v>
      </c>
      <c r="B394" s="342" t="s">
        <v>831</v>
      </c>
      <c r="C394" s="368"/>
      <c r="D394" s="368">
        <v>0</v>
      </c>
      <c r="E394" s="368">
        <v>0</v>
      </c>
      <c r="F394" s="368">
        <v>21144451</v>
      </c>
      <c r="G394" s="368">
        <f t="shared" si="167"/>
        <v>21144451</v>
      </c>
      <c r="H394" s="368">
        <v>0</v>
      </c>
      <c r="I394" s="368">
        <v>0</v>
      </c>
      <c r="J394" s="368">
        <f t="shared" si="161"/>
        <v>21144451</v>
      </c>
      <c r="K394" s="368">
        <v>0</v>
      </c>
      <c r="L394" s="368">
        <v>0</v>
      </c>
      <c r="M394" s="368">
        <f t="shared" ref="M394:M409" si="173">+I394-L394</f>
        <v>0</v>
      </c>
      <c r="N394" s="368">
        <v>0</v>
      </c>
      <c r="O394" s="368">
        <f t="shared" ref="O394:O409" si="174">+N394-I394</f>
        <v>0</v>
      </c>
      <c r="P394" s="368">
        <f t="shared" si="162"/>
        <v>21144451</v>
      </c>
      <c r="Q394" s="368"/>
    </row>
    <row r="395" spans="1:17" x14ac:dyDescent="0.25">
      <c r="A395" s="341">
        <v>23517</v>
      </c>
      <c r="B395" s="342" t="s">
        <v>841</v>
      </c>
      <c r="C395" s="368">
        <v>0</v>
      </c>
      <c r="D395" s="368">
        <v>821400131</v>
      </c>
      <c r="E395" s="368">
        <v>0</v>
      </c>
      <c r="F395" s="368">
        <v>0</v>
      </c>
      <c r="G395" s="368">
        <f t="shared" si="167"/>
        <v>821400131</v>
      </c>
      <c r="H395" s="368">
        <v>0</v>
      </c>
      <c r="I395" s="368">
        <v>0</v>
      </c>
      <c r="J395" s="368">
        <f t="shared" si="161"/>
        <v>821400131</v>
      </c>
      <c r="K395" s="368">
        <v>0</v>
      </c>
      <c r="L395" s="368">
        <v>0</v>
      </c>
      <c r="M395" s="368">
        <f t="shared" si="173"/>
        <v>0</v>
      </c>
      <c r="N395" s="368">
        <v>0</v>
      </c>
      <c r="O395" s="368">
        <f t="shared" si="174"/>
        <v>0</v>
      </c>
      <c r="P395" s="368">
        <f t="shared" si="162"/>
        <v>821400131</v>
      </c>
      <c r="Q395" s="368">
        <f t="shared" si="169"/>
        <v>0</v>
      </c>
    </row>
    <row r="396" spans="1:17" x14ac:dyDescent="0.25">
      <c r="A396" s="341">
        <v>23518</v>
      </c>
      <c r="B396" s="342" t="s">
        <v>840</v>
      </c>
      <c r="C396" s="368">
        <v>0</v>
      </c>
      <c r="D396" s="368">
        <v>712412336.89999998</v>
      </c>
      <c r="E396" s="368">
        <v>0</v>
      </c>
      <c r="F396" s="368">
        <v>0</v>
      </c>
      <c r="G396" s="368">
        <f t="shared" si="167"/>
        <v>712412336.89999998</v>
      </c>
      <c r="H396" s="368">
        <v>0</v>
      </c>
      <c r="I396" s="368">
        <v>703757378</v>
      </c>
      <c r="J396" s="368">
        <f t="shared" si="161"/>
        <v>8654958.8999999762</v>
      </c>
      <c r="K396" s="368">
        <v>8306200</v>
      </c>
      <c r="L396" s="368">
        <v>668763622.29999995</v>
      </c>
      <c r="M396" s="368">
        <f t="shared" si="173"/>
        <v>34993755.700000048</v>
      </c>
      <c r="N396" s="368">
        <v>712412336.89999998</v>
      </c>
      <c r="O396" s="368">
        <f t="shared" si="174"/>
        <v>8654958.8999999762</v>
      </c>
      <c r="P396" s="368">
        <f t="shared" si="162"/>
        <v>0</v>
      </c>
      <c r="Q396" s="368">
        <f t="shared" si="169"/>
        <v>668763622.29999995</v>
      </c>
    </row>
    <row r="397" spans="1:17" x14ac:dyDescent="0.25">
      <c r="A397" s="341">
        <v>23519</v>
      </c>
      <c r="B397" s="342" t="s">
        <v>842</v>
      </c>
      <c r="C397" s="368">
        <v>0</v>
      </c>
      <c r="D397" s="368">
        <v>200000000</v>
      </c>
      <c r="E397" s="368">
        <v>0</v>
      </c>
      <c r="F397" s="368">
        <v>0</v>
      </c>
      <c r="G397" s="368">
        <f t="shared" si="167"/>
        <v>200000000</v>
      </c>
      <c r="H397" s="368">
        <v>0</v>
      </c>
      <c r="I397" s="368">
        <v>200000000</v>
      </c>
      <c r="J397" s="368">
        <f t="shared" si="161"/>
        <v>0</v>
      </c>
      <c r="K397" s="368">
        <v>0</v>
      </c>
      <c r="L397" s="368">
        <v>192800500</v>
      </c>
      <c r="M397" s="368">
        <f t="shared" si="173"/>
        <v>7199500</v>
      </c>
      <c r="N397" s="368">
        <v>200000000</v>
      </c>
      <c r="O397" s="368">
        <f t="shared" si="174"/>
        <v>0</v>
      </c>
      <c r="P397" s="368">
        <f t="shared" si="162"/>
        <v>0</v>
      </c>
      <c r="Q397" s="368">
        <f t="shared" si="169"/>
        <v>192800500</v>
      </c>
    </row>
    <row r="398" spans="1:17" x14ac:dyDescent="0.25">
      <c r="A398" s="341">
        <v>23520</v>
      </c>
      <c r="B398" s="342" t="s">
        <v>843</v>
      </c>
      <c r="C398" s="368">
        <v>0</v>
      </c>
      <c r="D398" s="368">
        <v>48756553.100000001</v>
      </c>
      <c r="E398" s="368">
        <v>0</v>
      </c>
      <c r="F398" s="368">
        <v>0</v>
      </c>
      <c r="G398" s="368">
        <f t="shared" si="167"/>
        <v>48756553.100000001</v>
      </c>
      <c r="H398" s="368">
        <v>0</v>
      </c>
      <c r="I398" s="368">
        <v>48756553.100000001</v>
      </c>
      <c r="J398" s="368">
        <f t="shared" si="161"/>
        <v>0</v>
      </c>
      <c r="K398" s="368">
        <v>0</v>
      </c>
      <c r="L398" s="368">
        <v>48756553.100000001</v>
      </c>
      <c r="M398" s="368">
        <f t="shared" si="173"/>
        <v>0</v>
      </c>
      <c r="N398" s="368">
        <v>48756553.100000001</v>
      </c>
      <c r="O398" s="368">
        <f t="shared" si="174"/>
        <v>0</v>
      </c>
      <c r="P398" s="368">
        <f t="shared" si="162"/>
        <v>0</v>
      </c>
      <c r="Q398" s="368">
        <f t="shared" si="169"/>
        <v>48756553.100000001</v>
      </c>
    </row>
    <row r="399" spans="1:17" x14ac:dyDescent="0.25">
      <c r="A399" s="341">
        <v>23521</v>
      </c>
      <c r="B399" s="342" t="s">
        <v>844</v>
      </c>
      <c r="C399" s="368">
        <v>0</v>
      </c>
      <c r="D399" s="368">
        <v>400000000</v>
      </c>
      <c r="E399" s="368">
        <v>0</v>
      </c>
      <c r="F399" s="368">
        <v>0</v>
      </c>
      <c r="G399" s="368">
        <f t="shared" si="167"/>
        <v>400000000</v>
      </c>
      <c r="H399" s="368">
        <v>0</v>
      </c>
      <c r="I399" s="368">
        <v>318998061.83999997</v>
      </c>
      <c r="J399" s="368">
        <f t="shared" si="161"/>
        <v>81001938.160000026</v>
      </c>
      <c r="K399" s="368">
        <v>0</v>
      </c>
      <c r="L399" s="368">
        <v>318998061.83999997</v>
      </c>
      <c r="M399" s="368">
        <f t="shared" si="173"/>
        <v>0</v>
      </c>
      <c r="N399" s="368">
        <v>400000000</v>
      </c>
      <c r="O399" s="368">
        <f t="shared" si="174"/>
        <v>81001938.160000026</v>
      </c>
      <c r="P399" s="368">
        <f t="shared" si="162"/>
        <v>0</v>
      </c>
      <c r="Q399" s="368">
        <f t="shared" si="169"/>
        <v>318998061.83999997</v>
      </c>
    </row>
    <row r="400" spans="1:17" ht="30" x14ac:dyDescent="0.25">
      <c r="A400" s="341">
        <v>23522</v>
      </c>
      <c r="B400" s="342" t="s">
        <v>845</v>
      </c>
      <c r="C400" s="368">
        <v>0</v>
      </c>
      <c r="D400" s="368">
        <v>2505552556</v>
      </c>
      <c r="E400" s="368">
        <v>0</v>
      </c>
      <c r="F400" s="368">
        <v>0</v>
      </c>
      <c r="G400" s="368">
        <f t="shared" si="167"/>
        <v>2505552556</v>
      </c>
      <c r="H400" s="368">
        <v>0</v>
      </c>
      <c r="I400" s="368">
        <v>0</v>
      </c>
      <c r="J400" s="368">
        <f t="shared" si="161"/>
        <v>2505552556</v>
      </c>
      <c r="K400" s="368">
        <v>0</v>
      </c>
      <c r="L400" s="368">
        <v>0</v>
      </c>
      <c r="M400" s="368">
        <f t="shared" si="173"/>
        <v>0</v>
      </c>
      <c r="N400" s="368">
        <v>0</v>
      </c>
      <c r="O400" s="368">
        <f t="shared" si="174"/>
        <v>0</v>
      </c>
      <c r="P400" s="368">
        <f t="shared" si="162"/>
        <v>2505552556</v>
      </c>
      <c r="Q400" s="368">
        <f t="shared" si="169"/>
        <v>0</v>
      </c>
    </row>
    <row r="401" spans="1:21" x14ac:dyDescent="0.25">
      <c r="A401" s="341">
        <v>23523</v>
      </c>
      <c r="B401" s="342" t="s">
        <v>846</v>
      </c>
      <c r="C401" s="368">
        <v>0</v>
      </c>
      <c r="D401" s="368">
        <v>178599869</v>
      </c>
      <c r="E401" s="368">
        <v>0</v>
      </c>
      <c r="F401" s="368">
        <v>0</v>
      </c>
      <c r="G401" s="368">
        <f t="shared" si="167"/>
        <v>178599869</v>
      </c>
      <c r="H401" s="368">
        <v>0</v>
      </c>
      <c r="I401" s="368">
        <v>0</v>
      </c>
      <c r="J401" s="368">
        <f t="shared" si="161"/>
        <v>178599869</v>
      </c>
      <c r="K401" s="368">
        <v>0</v>
      </c>
      <c r="L401" s="368">
        <v>0</v>
      </c>
      <c r="M401" s="368">
        <f t="shared" si="173"/>
        <v>0</v>
      </c>
      <c r="N401" s="368">
        <v>0</v>
      </c>
      <c r="O401" s="368">
        <f t="shared" si="174"/>
        <v>0</v>
      </c>
      <c r="P401" s="368">
        <f t="shared" si="162"/>
        <v>178599869</v>
      </c>
      <c r="Q401" s="368">
        <f t="shared" si="169"/>
        <v>0</v>
      </c>
    </row>
    <row r="402" spans="1:21" ht="30" x14ac:dyDescent="0.25">
      <c r="A402" s="341">
        <v>23524</v>
      </c>
      <c r="B402" s="342" t="s">
        <v>832</v>
      </c>
      <c r="C402" s="368"/>
      <c r="D402" s="368">
        <v>0</v>
      </c>
      <c r="E402" s="368">
        <v>0</v>
      </c>
      <c r="F402" s="368">
        <v>38594282.009999998</v>
      </c>
      <c r="G402" s="368">
        <f t="shared" si="167"/>
        <v>38594282.009999998</v>
      </c>
      <c r="H402" s="368">
        <v>0</v>
      </c>
      <c r="I402" s="368">
        <v>15000000</v>
      </c>
      <c r="J402" s="368">
        <f t="shared" si="161"/>
        <v>23594282.009999998</v>
      </c>
      <c r="K402" s="368">
        <v>0</v>
      </c>
      <c r="L402" s="368">
        <v>15000000</v>
      </c>
      <c r="M402" s="368">
        <f t="shared" si="173"/>
        <v>0</v>
      </c>
      <c r="N402" s="368">
        <v>25500000</v>
      </c>
      <c r="O402" s="368">
        <f t="shared" si="174"/>
        <v>10500000</v>
      </c>
      <c r="P402" s="368">
        <f t="shared" si="162"/>
        <v>13094282.009999998</v>
      </c>
      <c r="Q402" s="368"/>
    </row>
    <row r="403" spans="1:21" x14ac:dyDescent="0.25">
      <c r="A403" s="341">
        <v>23525</v>
      </c>
      <c r="B403" s="342" t="s">
        <v>833</v>
      </c>
      <c r="C403" s="368"/>
      <c r="D403" s="368">
        <v>0</v>
      </c>
      <c r="E403" s="368">
        <v>0</v>
      </c>
      <c r="F403" s="368">
        <v>118102197.2</v>
      </c>
      <c r="G403" s="368">
        <f t="shared" si="167"/>
        <v>118102197.2</v>
      </c>
      <c r="H403" s="368">
        <v>0</v>
      </c>
      <c r="I403" s="368">
        <v>7313050</v>
      </c>
      <c r="J403" s="368">
        <f t="shared" ref="J403:J409" si="175">+G403-I403</f>
        <v>110789147.2</v>
      </c>
      <c r="K403" s="368">
        <v>0</v>
      </c>
      <c r="L403" s="368">
        <v>3511000</v>
      </c>
      <c r="M403" s="368">
        <f t="shared" si="173"/>
        <v>3802050</v>
      </c>
      <c r="N403" s="368">
        <v>9011000</v>
      </c>
      <c r="O403" s="368">
        <f t="shared" si="174"/>
        <v>1697950</v>
      </c>
      <c r="P403" s="368">
        <f t="shared" ref="P403:P409" si="176">+G403-N403</f>
        <v>109091197.2</v>
      </c>
      <c r="Q403" s="368"/>
    </row>
    <row r="404" spans="1:21" x14ac:dyDescent="0.25">
      <c r="A404" s="341">
        <v>23526</v>
      </c>
      <c r="B404" s="342" t="s">
        <v>834</v>
      </c>
      <c r="C404" s="368"/>
      <c r="D404" s="368">
        <v>0</v>
      </c>
      <c r="E404" s="368">
        <v>0</v>
      </c>
      <c r="F404" s="368">
        <v>41560320.609999999</v>
      </c>
      <c r="G404" s="368">
        <f t="shared" si="167"/>
        <v>41560320.609999999</v>
      </c>
      <c r="H404" s="368">
        <v>0</v>
      </c>
      <c r="I404" s="368">
        <v>36276158</v>
      </c>
      <c r="J404" s="368">
        <f t="shared" si="175"/>
        <v>5284162.6099999994</v>
      </c>
      <c r="K404" s="368">
        <v>2250000</v>
      </c>
      <c r="L404" s="368">
        <v>24526158</v>
      </c>
      <c r="M404" s="368">
        <f t="shared" si="173"/>
        <v>11750000</v>
      </c>
      <c r="N404" s="368">
        <v>40869240</v>
      </c>
      <c r="O404" s="368">
        <f t="shared" si="174"/>
        <v>4593082</v>
      </c>
      <c r="P404" s="368">
        <f t="shared" si="176"/>
        <v>691080.6099999994</v>
      </c>
      <c r="Q404" s="368"/>
    </row>
    <row r="405" spans="1:21" x14ac:dyDescent="0.25">
      <c r="A405" s="341">
        <v>23527</v>
      </c>
      <c r="B405" s="342" t="s">
        <v>835</v>
      </c>
      <c r="C405" s="368"/>
      <c r="D405" s="368">
        <v>0</v>
      </c>
      <c r="E405" s="368">
        <v>0</v>
      </c>
      <c r="F405" s="368">
        <v>114572114.70999999</v>
      </c>
      <c r="G405" s="368">
        <f t="shared" si="167"/>
        <v>114572114.70999999</v>
      </c>
      <c r="H405" s="368">
        <v>66504252</v>
      </c>
      <c r="I405" s="368">
        <v>68029802</v>
      </c>
      <c r="J405" s="368">
        <f t="shared" si="175"/>
        <v>46542312.709999993</v>
      </c>
      <c r="K405" s="368">
        <v>0</v>
      </c>
      <c r="L405" s="368">
        <v>1525550</v>
      </c>
      <c r="M405" s="368">
        <f t="shared" si="173"/>
        <v>66504252</v>
      </c>
      <c r="N405" s="368">
        <v>96179650</v>
      </c>
      <c r="O405" s="368">
        <f t="shared" si="174"/>
        <v>28149848</v>
      </c>
      <c r="P405" s="368">
        <f t="shared" si="176"/>
        <v>18392464.709999993</v>
      </c>
      <c r="Q405" s="368"/>
    </row>
    <row r="406" spans="1:21" x14ac:dyDescent="0.25">
      <c r="A406" s="341">
        <v>23528</v>
      </c>
      <c r="B406" s="342" t="s">
        <v>836</v>
      </c>
      <c r="C406" s="368"/>
      <c r="D406" s="368">
        <v>0</v>
      </c>
      <c r="E406" s="368">
        <v>0</v>
      </c>
      <c r="F406" s="368">
        <v>132802785.45</v>
      </c>
      <c r="G406" s="368">
        <f t="shared" si="167"/>
        <v>132802785.45</v>
      </c>
      <c r="H406" s="368">
        <v>2259800</v>
      </c>
      <c r="I406" s="368">
        <v>104961937</v>
      </c>
      <c r="J406" s="368">
        <f t="shared" si="175"/>
        <v>27840848.450000003</v>
      </c>
      <c r="K406" s="368">
        <v>24132070</v>
      </c>
      <c r="L406" s="368">
        <v>69959049</v>
      </c>
      <c r="M406" s="368">
        <f t="shared" si="173"/>
        <v>35002888</v>
      </c>
      <c r="N406" s="368">
        <v>136771560</v>
      </c>
      <c r="O406" s="368">
        <f t="shared" si="174"/>
        <v>31809623</v>
      </c>
      <c r="P406" s="368">
        <f t="shared" si="176"/>
        <v>-3968774.549999997</v>
      </c>
      <c r="Q406" s="368"/>
    </row>
    <row r="407" spans="1:21" s="100" customFormat="1" x14ac:dyDescent="0.25">
      <c r="A407" s="341">
        <v>23529</v>
      </c>
      <c r="B407" s="342" t="s">
        <v>837</v>
      </c>
      <c r="C407" s="368"/>
      <c r="D407" s="368">
        <v>0</v>
      </c>
      <c r="E407" s="368">
        <v>0</v>
      </c>
      <c r="F407" s="368">
        <v>430578182.44</v>
      </c>
      <c r="G407" s="368">
        <f t="shared" si="167"/>
        <v>430578182.44</v>
      </c>
      <c r="H407" s="368">
        <v>50157192</v>
      </c>
      <c r="I407" s="368">
        <v>309776780.70999998</v>
      </c>
      <c r="J407" s="368">
        <f t="shared" si="175"/>
        <v>120801401.73000002</v>
      </c>
      <c r="K407" s="368">
        <v>55992303</v>
      </c>
      <c r="L407" s="368">
        <v>179225338.99000001</v>
      </c>
      <c r="M407" s="368">
        <f t="shared" si="173"/>
        <v>130551441.71999997</v>
      </c>
      <c r="N407" s="368">
        <v>397029967</v>
      </c>
      <c r="O407" s="368">
        <f t="shared" si="174"/>
        <v>87253186.290000021</v>
      </c>
      <c r="P407" s="368">
        <f t="shared" si="176"/>
        <v>33548215.439999998</v>
      </c>
      <c r="Q407" s="368"/>
      <c r="R407" s="84"/>
      <c r="S407" s="84"/>
      <c r="T407" s="84"/>
      <c r="U407" s="84"/>
    </row>
    <row r="408" spans="1:21" x14ac:dyDescent="0.25">
      <c r="A408" s="341">
        <v>23530</v>
      </c>
      <c r="B408" s="342" t="s">
        <v>838</v>
      </c>
      <c r="C408" s="368"/>
      <c r="D408" s="368">
        <v>0</v>
      </c>
      <c r="E408" s="368">
        <v>0</v>
      </c>
      <c r="F408" s="368">
        <v>177269391.56999999</v>
      </c>
      <c r="G408" s="368">
        <f t="shared" si="167"/>
        <v>177269391.56999999</v>
      </c>
      <c r="H408" s="368">
        <v>6198507</v>
      </c>
      <c r="I408" s="368">
        <v>10096922</v>
      </c>
      <c r="J408" s="368">
        <f t="shared" si="175"/>
        <v>167172469.56999999</v>
      </c>
      <c r="K408" s="368">
        <v>0</v>
      </c>
      <c r="L408" s="368">
        <v>3898415</v>
      </c>
      <c r="M408" s="368">
        <f t="shared" si="173"/>
        <v>6198507</v>
      </c>
      <c r="N408" s="368">
        <v>104552561</v>
      </c>
      <c r="O408" s="368">
        <f t="shared" si="174"/>
        <v>94455639</v>
      </c>
      <c r="P408" s="368">
        <f t="shared" si="176"/>
        <v>72716830.569999993</v>
      </c>
      <c r="Q408" s="368"/>
    </row>
    <row r="409" spans="1:21" ht="30" x14ac:dyDescent="0.25">
      <c r="A409" s="341">
        <v>23531</v>
      </c>
      <c r="B409" s="342" t="s">
        <v>839</v>
      </c>
      <c r="C409" s="368"/>
      <c r="D409" s="368">
        <v>0</v>
      </c>
      <c r="E409" s="368">
        <v>0</v>
      </c>
      <c r="F409" s="368">
        <v>215142209.47999999</v>
      </c>
      <c r="G409" s="368">
        <f t="shared" si="167"/>
        <v>215142209.47999999</v>
      </c>
      <c r="H409" s="368">
        <v>14353462</v>
      </c>
      <c r="I409" s="368">
        <v>47230573</v>
      </c>
      <c r="J409" s="368">
        <f t="shared" si="175"/>
        <v>167911636.47999999</v>
      </c>
      <c r="K409" s="368">
        <v>0</v>
      </c>
      <c r="L409" s="368">
        <v>30811334.059999999</v>
      </c>
      <c r="M409" s="368">
        <f t="shared" si="173"/>
        <v>16419238.940000001</v>
      </c>
      <c r="N409" s="368">
        <v>75541907.040000007</v>
      </c>
      <c r="O409" s="368">
        <f t="shared" si="174"/>
        <v>28311334.040000007</v>
      </c>
      <c r="P409" s="368">
        <f t="shared" si="176"/>
        <v>139600302.44</v>
      </c>
      <c r="Q409" s="368"/>
    </row>
    <row r="410" spans="1:21" x14ac:dyDescent="0.25">
      <c r="A410" s="341">
        <v>23532</v>
      </c>
      <c r="B410" s="342" t="s">
        <v>1018</v>
      </c>
      <c r="C410" s="368"/>
      <c r="D410" s="368"/>
      <c r="E410" s="368"/>
      <c r="F410" s="368">
        <v>543246923</v>
      </c>
      <c r="G410" s="368">
        <f t="shared" si="167"/>
        <v>543246923</v>
      </c>
      <c r="H410" s="368">
        <v>0</v>
      </c>
      <c r="I410" s="368">
        <v>0</v>
      </c>
      <c r="J410" s="368"/>
      <c r="K410" s="368">
        <v>0</v>
      </c>
      <c r="L410" s="368">
        <v>0</v>
      </c>
      <c r="M410" s="368"/>
      <c r="N410" s="368">
        <v>46000000</v>
      </c>
      <c r="O410" s="368"/>
      <c r="P410" s="368"/>
      <c r="Q410" s="368"/>
    </row>
    <row r="411" spans="1:21" x14ac:dyDescent="0.25">
      <c r="A411" s="335">
        <v>236</v>
      </c>
      <c r="B411" s="336" t="s">
        <v>1019</v>
      </c>
      <c r="C411" s="365">
        <f>SUM(C412:C416)</f>
        <v>0</v>
      </c>
      <c r="D411" s="365">
        <f t="shared" ref="D411:Q411" si="177">SUM(D412:D416)</f>
        <v>794000000</v>
      </c>
      <c r="E411" s="365">
        <f t="shared" si="177"/>
        <v>0</v>
      </c>
      <c r="F411" s="365">
        <f t="shared" si="177"/>
        <v>492942109</v>
      </c>
      <c r="G411" s="365">
        <f t="shared" si="177"/>
        <v>1286942109</v>
      </c>
      <c r="H411" s="365">
        <f t="shared" si="177"/>
        <v>587738388.39999998</v>
      </c>
      <c r="I411" s="365">
        <f t="shared" si="177"/>
        <v>587738388.39999998</v>
      </c>
      <c r="J411" s="365">
        <f t="shared" si="177"/>
        <v>0</v>
      </c>
      <c r="K411" s="365">
        <f t="shared" si="177"/>
        <v>0</v>
      </c>
      <c r="L411" s="365">
        <f t="shared" si="177"/>
        <v>0</v>
      </c>
      <c r="M411" s="365">
        <f t="shared" si="177"/>
        <v>0</v>
      </c>
      <c r="N411" s="365">
        <f t="shared" si="177"/>
        <v>704517024.39999998</v>
      </c>
      <c r="O411" s="365">
        <f t="shared" si="177"/>
        <v>0</v>
      </c>
      <c r="P411" s="365">
        <f t="shared" si="177"/>
        <v>0</v>
      </c>
      <c r="Q411" s="365">
        <f t="shared" si="177"/>
        <v>0</v>
      </c>
    </row>
    <row r="412" spans="1:21" x14ac:dyDescent="0.25">
      <c r="A412" s="341">
        <v>23601</v>
      </c>
      <c r="B412" s="342" t="s">
        <v>1020</v>
      </c>
      <c r="C412" s="368"/>
      <c r="D412" s="368"/>
      <c r="E412" s="368"/>
      <c r="F412" s="368">
        <v>100000000</v>
      </c>
      <c r="G412" s="368">
        <f t="shared" si="167"/>
        <v>100000000</v>
      </c>
      <c r="H412" s="368">
        <v>0</v>
      </c>
      <c r="I412" s="368">
        <v>0</v>
      </c>
      <c r="J412" s="368"/>
      <c r="K412" s="368">
        <v>0</v>
      </c>
      <c r="L412" s="368">
        <v>0</v>
      </c>
      <c r="M412" s="368"/>
      <c r="N412" s="368">
        <v>56081536</v>
      </c>
      <c r="O412" s="368"/>
      <c r="P412" s="368"/>
      <c r="Q412" s="368"/>
    </row>
    <row r="413" spans="1:21" x14ac:dyDescent="0.25">
      <c r="A413" s="341">
        <v>23602</v>
      </c>
      <c r="B413" s="342" t="s">
        <v>1021</v>
      </c>
      <c r="C413" s="368"/>
      <c r="D413" s="368"/>
      <c r="E413" s="368"/>
      <c r="F413" s="368">
        <v>30000000</v>
      </c>
      <c r="G413" s="368">
        <f t="shared" ref="G413:G416" si="178">+C413+D413-E413+F413</f>
        <v>30000000</v>
      </c>
      <c r="H413" s="368">
        <v>0</v>
      </c>
      <c r="I413" s="368">
        <v>0</v>
      </c>
      <c r="J413" s="368"/>
      <c r="K413" s="368">
        <v>0</v>
      </c>
      <c r="L413" s="368">
        <v>0</v>
      </c>
      <c r="M413" s="368"/>
      <c r="N413" s="368">
        <v>0</v>
      </c>
      <c r="O413" s="368"/>
      <c r="P413" s="368"/>
      <c r="Q413" s="368"/>
    </row>
    <row r="414" spans="1:21" ht="30" x14ac:dyDescent="0.25">
      <c r="A414" s="341">
        <v>23603</v>
      </c>
      <c r="B414" s="342" t="s">
        <v>1022</v>
      </c>
      <c r="C414" s="368"/>
      <c r="D414" s="368">
        <v>400000000</v>
      </c>
      <c r="E414" s="368"/>
      <c r="F414" s="368">
        <v>99142109</v>
      </c>
      <c r="G414" s="368">
        <f t="shared" si="178"/>
        <v>499142109</v>
      </c>
      <c r="H414" s="368">
        <v>0</v>
      </c>
      <c r="I414" s="368">
        <v>0</v>
      </c>
      <c r="J414" s="368"/>
      <c r="K414" s="368">
        <v>0</v>
      </c>
      <c r="L414" s="368">
        <v>0</v>
      </c>
      <c r="M414" s="368"/>
      <c r="N414" s="368">
        <v>60697100</v>
      </c>
      <c r="O414" s="368"/>
      <c r="P414" s="368"/>
      <c r="Q414" s="368"/>
    </row>
    <row r="415" spans="1:21" x14ac:dyDescent="0.25">
      <c r="A415" s="341">
        <v>23604</v>
      </c>
      <c r="B415" s="342" t="s">
        <v>1023</v>
      </c>
      <c r="C415" s="368"/>
      <c r="D415" s="368">
        <v>394000000</v>
      </c>
      <c r="E415" s="368"/>
      <c r="F415" s="368">
        <v>193800000</v>
      </c>
      <c r="G415" s="368">
        <f t="shared" si="178"/>
        <v>587800000</v>
      </c>
      <c r="H415" s="368">
        <v>587738388.39999998</v>
      </c>
      <c r="I415" s="368">
        <v>587738388.39999998</v>
      </c>
      <c r="J415" s="368"/>
      <c r="K415" s="368">
        <v>0</v>
      </c>
      <c r="L415" s="368">
        <v>0</v>
      </c>
      <c r="M415" s="368"/>
      <c r="N415" s="368">
        <v>587738388.39999998</v>
      </c>
      <c r="O415" s="368"/>
      <c r="P415" s="368"/>
      <c r="Q415" s="368"/>
    </row>
    <row r="416" spans="1:21" x14ac:dyDescent="0.25">
      <c r="A416" s="341">
        <v>23605</v>
      </c>
      <c r="B416" s="342" t="s">
        <v>1024</v>
      </c>
      <c r="C416" s="368"/>
      <c r="D416" s="368"/>
      <c r="E416" s="368"/>
      <c r="F416" s="368">
        <v>70000000</v>
      </c>
      <c r="G416" s="368">
        <f t="shared" si="178"/>
        <v>70000000</v>
      </c>
      <c r="H416" s="368">
        <v>0</v>
      </c>
      <c r="I416" s="368">
        <v>0</v>
      </c>
      <c r="J416" s="368"/>
      <c r="K416" s="368">
        <v>0</v>
      </c>
      <c r="L416" s="368">
        <v>0</v>
      </c>
      <c r="M416" s="368"/>
      <c r="N416" s="368">
        <v>0</v>
      </c>
      <c r="O416" s="368"/>
      <c r="P416" s="368"/>
      <c r="Q416" s="368"/>
    </row>
    <row r="418" spans="4:5" x14ac:dyDescent="0.25">
      <c r="D418" s="89">
        <f>+D6</f>
        <v>12758079262</v>
      </c>
      <c r="E418" s="89">
        <f>+E6</f>
        <v>12758079262</v>
      </c>
    </row>
    <row r="419" spans="4:5" x14ac:dyDescent="0.25">
      <c r="E419" s="89">
        <f>+E418-D418</f>
        <v>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1"/>
  <sheetViews>
    <sheetView showGridLines="0" workbookViewId="0">
      <pane xSplit="2" ySplit="1" topLeftCell="AF180" activePane="bottomRight" state="frozen"/>
      <selection pane="topRight" activeCell="C1" sqref="C1"/>
      <selection pane="bottomLeft" activeCell="A2" sqref="A2"/>
      <selection pane="bottomRight" activeCell="T187" sqref="T187"/>
    </sheetView>
  </sheetViews>
  <sheetFormatPr baseColWidth="10" defaultColWidth="11.42578125" defaultRowHeight="15" x14ac:dyDescent="0.25"/>
  <cols>
    <col min="1" max="1" width="11.42578125" style="46"/>
    <col min="2" max="2" width="42.5703125" style="46" customWidth="1"/>
    <col min="3" max="3" width="18.42578125" style="46" bestFit="1" customWidth="1"/>
    <col min="4" max="4" width="17.85546875" style="46" bestFit="1" customWidth="1"/>
    <col min="5" max="5" width="23.5703125" style="46" hidden="1" customWidth="1"/>
    <col min="6" max="6" width="18.85546875" style="46" bestFit="1" customWidth="1"/>
    <col min="7" max="7" width="18.42578125" style="80" hidden="1" customWidth="1"/>
    <col min="8" max="11" width="17.42578125" style="80" bestFit="1" customWidth="1"/>
    <col min="12" max="12" width="16.42578125" style="80" bestFit="1" customWidth="1"/>
    <col min="13" max="13" width="17.42578125" style="80" bestFit="1" customWidth="1"/>
    <col min="14" max="14" width="16.42578125" style="80" bestFit="1" customWidth="1"/>
    <col min="15" max="17" width="17.85546875" style="80" customWidth="1"/>
    <col min="18" max="18" width="16.140625" style="46" hidden="1" customWidth="1"/>
    <col min="19" max="19" width="17.42578125" style="46" hidden="1" customWidth="1"/>
    <col min="20" max="21" width="18.85546875" style="80" bestFit="1" customWidth="1"/>
    <col min="22" max="23" width="18.42578125" style="80" hidden="1" customWidth="1"/>
    <col min="24" max="24" width="3.5703125" style="46" customWidth="1"/>
    <col min="25" max="25" width="19.85546875" style="80" bestFit="1" customWidth="1"/>
    <col min="26" max="26" width="17.42578125" style="80" bestFit="1" customWidth="1"/>
    <col min="27" max="27" width="20.5703125" style="80" bestFit="1" customWidth="1"/>
    <col min="28" max="28" width="18.85546875" style="80" bestFit="1" customWidth="1"/>
    <col min="29" max="29" width="19.42578125" style="80" bestFit="1" customWidth="1"/>
    <col min="30" max="30" width="19.140625" style="80" bestFit="1" customWidth="1"/>
    <col min="31" max="31" width="18.5703125" style="80" bestFit="1" customWidth="1"/>
    <col min="32" max="32" width="16.42578125" style="80" bestFit="1" customWidth="1"/>
    <col min="33" max="34" width="17.85546875" style="80" bestFit="1" customWidth="1"/>
    <col min="35" max="35" width="16.85546875" style="80" hidden="1" customWidth="1"/>
    <col min="36" max="36" width="18.85546875" style="80" bestFit="1" customWidth="1"/>
    <col min="37" max="37" width="17.85546875" style="80" hidden="1" customWidth="1"/>
    <col min="38" max="38" width="5.140625" style="46" bestFit="1" customWidth="1"/>
    <col min="39" max="39" width="15.5703125" style="80" bestFit="1" customWidth="1"/>
    <col min="40" max="40" width="14.42578125" style="80" bestFit="1" customWidth="1"/>
    <col min="41" max="41" width="16.140625" style="80" bestFit="1" customWidth="1"/>
    <col min="42" max="42" width="14.5703125" style="80" bestFit="1" customWidth="1"/>
    <col min="43" max="43" width="15.42578125" style="80" bestFit="1" customWidth="1"/>
    <col min="44" max="45" width="11.85546875" style="80" bestFit="1" customWidth="1"/>
    <col min="46" max="47" width="11.85546875" style="80" customWidth="1"/>
    <col min="48" max="49" width="11.85546875" style="80" bestFit="1" customWidth="1"/>
    <col min="50" max="50" width="6" style="46" customWidth="1"/>
    <col min="51" max="51" width="11.42578125" style="46"/>
    <col min="52" max="52" width="36.5703125" style="46" customWidth="1"/>
    <col min="53" max="16384" width="11.42578125" style="46"/>
  </cols>
  <sheetData>
    <row r="1" spans="1:60" ht="63" x14ac:dyDescent="0.25">
      <c r="A1" s="9" t="s">
        <v>0</v>
      </c>
      <c r="B1" s="10" t="s">
        <v>1</v>
      </c>
      <c r="C1" s="10" t="s">
        <v>221</v>
      </c>
      <c r="D1" s="10" t="s">
        <v>5</v>
      </c>
      <c r="E1" s="10" t="s">
        <v>222</v>
      </c>
      <c r="F1" s="10" t="s">
        <v>223</v>
      </c>
      <c r="G1" s="179">
        <v>11681480662.810001</v>
      </c>
      <c r="H1" s="73" t="s">
        <v>654</v>
      </c>
      <c r="I1" s="73" t="s">
        <v>655</v>
      </c>
      <c r="J1" s="73" t="s">
        <v>656</v>
      </c>
      <c r="K1" s="73" t="s">
        <v>657</v>
      </c>
      <c r="L1" s="73" t="s">
        <v>658</v>
      </c>
      <c r="M1" s="73" t="s">
        <v>659</v>
      </c>
      <c r="N1" s="73" t="s">
        <v>660</v>
      </c>
      <c r="O1" s="73" t="s">
        <v>661</v>
      </c>
      <c r="P1" s="73" t="s">
        <v>662</v>
      </c>
      <c r="Q1" s="73" t="s">
        <v>663</v>
      </c>
      <c r="R1" s="74" t="s">
        <v>664</v>
      </c>
      <c r="S1" s="74" t="s">
        <v>665</v>
      </c>
      <c r="T1" s="73" t="s">
        <v>1033</v>
      </c>
      <c r="U1" s="73" t="s">
        <v>1017</v>
      </c>
      <c r="V1" s="73"/>
      <c r="W1" s="73"/>
      <c r="X1" s="75"/>
      <c r="Y1" s="73" t="s">
        <v>911</v>
      </c>
      <c r="Z1" s="73" t="s">
        <v>912</v>
      </c>
      <c r="AA1" s="73" t="s">
        <v>913</v>
      </c>
      <c r="AB1" s="73" t="s">
        <v>914</v>
      </c>
      <c r="AC1" s="73" t="s">
        <v>915</v>
      </c>
      <c r="AD1" s="73" t="s">
        <v>916</v>
      </c>
      <c r="AE1" s="73" t="s">
        <v>917</v>
      </c>
      <c r="AF1" s="73" t="s">
        <v>1003</v>
      </c>
      <c r="AG1" s="73" t="s">
        <v>1004</v>
      </c>
      <c r="AH1" s="73" t="s">
        <v>1034</v>
      </c>
      <c r="AI1" s="73"/>
      <c r="AJ1" s="73" t="s">
        <v>1035</v>
      </c>
      <c r="AK1" s="73" t="s">
        <v>911</v>
      </c>
      <c r="AL1" s="75"/>
      <c r="AM1" s="73" t="s">
        <v>904</v>
      </c>
      <c r="AN1" s="73" t="s">
        <v>905</v>
      </c>
      <c r="AO1" s="73" t="s">
        <v>906</v>
      </c>
      <c r="AP1" s="73" t="s">
        <v>907</v>
      </c>
      <c r="AQ1" s="73" t="s">
        <v>908</v>
      </c>
      <c r="AR1" s="73" t="s">
        <v>909</v>
      </c>
      <c r="AS1" s="73" t="s">
        <v>910</v>
      </c>
      <c r="AT1" s="73" t="s">
        <v>1009</v>
      </c>
      <c r="AU1" s="73" t="s">
        <v>1010</v>
      </c>
      <c r="AV1" s="73" t="s">
        <v>1036</v>
      </c>
      <c r="AW1" s="73" t="s">
        <v>1036</v>
      </c>
      <c r="AX1" s="75"/>
      <c r="AY1" s="9" t="s">
        <v>0</v>
      </c>
      <c r="AZ1" s="10" t="s">
        <v>1</v>
      </c>
      <c r="BA1" s="75"/>
      <c r="BB1" s="75"/>
      <c r="BC1" s="75"/>
      <c r="BD1" s="75"/>
      <c r="BE1" s="75"/>
      <c r="BF1" s="75"/>
      <c r="BG1" s="75"/>
      <c r="BH1" s="75"/>
    </row>
    <row r="2" spans="1:60" s="49" customFormat="1" x14ac:dyDescent="0.25">
      <c r="A2" s="345">
        <v>1</v>
      </c>
      <c r="B2" s="346" t="s">
        <v>229</v>
      </c>
      <c r="C2" s="354">
        <f t="shared" ref="C2:V2" si="0">+C3+C162</f>
        <v>128545687388</v>
      </c>
      <c r="D2" s="354">
        <f t="shared" si="0"/>
        <v>27215530991.77</v>
      </c>
      <c r="E2" s="354">
        <f t="shared" si="0"/>
        <v>0</v>
      </c>
      <c r="F2" s="354">
        <f t="shared" si="0"/>
        <v>155761218379.76999</v>
      </c>
      <c r="G2" s="354" t="e">
        <f t="shared" si="0"/>
        <v>#REF!</v>
      </c>
      <c r="H2" s="354">
        <f t="shared" si="0"/>
        <v>29994277287.897503</v>
      </c>
      <c r="I2" s="354">
        <f t="shared" si="0"/>
        <v>22251453743.08083</v>
      </c>
      <c r="J2" s="354">
        <f t="shared" si="0"/>
        <v>16971764187.4575</v>
      </c>
      <c r="K2" s="354">
        <f t="shared" si="0"/>
        <v>12165205585.187498</v>
      </c>
      <c r="L2" s="354">
        <f t="shared" si="0"/>
        <v>5506673941.4875011</v>
      </c>
      <c r="M2" s="354">
        <f t="shared" si="0"/>
        <v>9943748871.3208351</v>
      </c>
      <c r="N2" s="354">
        <f t="shared" si="0"/>
        <v>6488928525.0075016</v>
      </c>
      <c r="O2" s="354">
        <f t="shared" si="0"/>
        <v>22851773612.977501</v>
      </c>
      <c r="P2" s="354">
        <f t="shared" si="0"/>
        <v>6879769564.8075008</v>
      </c>
      <c r="Q2" s="354">
        <f t="shared" si="0"/>
        <v>6236503108.1275005</v>
      </c>
      <c r="R2" s="354">
        <f t="shared" si="0"/>
        <v>6139027838.647501</v>
      </c>
      <c r="S2" s="354">
        <f t="shared" si="0"/>
        <v>10332092102.670834</v>
      </c>
      <c r="T2" s="354">
        <f t="shared" si="0"/>
        <v>139290098427.35165</v>
      </c>
      <c r="U2" s="354">
        <f t="shared" si="0"/>
        <v>155761218368.67001</v>
      </c>
      <c r="V2" s="354">
        <f t="shared" si="0"/>
        <v>155761218379.76999</v>
      </c>
      <c r="W2" s="391">
        <f>+V2-F2</f>
        <v>0</v>
      </c>
      <c r="X2" s="48">
        <f t="shared" ref="X2:AG2" si="1">+X3+X162</f>
        <v>0</v>
      </c>
      <c r="Y2" s="48">
        <f t="shared" si="1"/>
        <v>26127444886.259998</v>
      </c>
      <c r="Z2" s="48">
        <f t="shared" si="1"/>
        <v>19473754629.389999</v>
      </c>
      <c r="AA2" s="48">
        <f t="shared" si="1"/>
        <v>9269082981.3299999</v>
      </c>
      <c r="AB2" s="48">
        <f t="shared" si="1"/>
        <v>10081510142.99</v>
      </c>
      <c r="AC2" s="48">
        <f t="shared" si="1"/>
        <v>8725634148.6800022</v>
      </c>
      <c r="AD2" s="48">
        <f t="shared" si="1"/>
        <v>8748311181.7900009</v>
      </c>
      <c r="AE2" s="48">
        <f t="shared" si="1"/>
        <v>8203344902.9800005</v>
      </c>
      <c r="AF2" s="48">
        <f t="shared" si="1"/>
        <v>7111334475.5099993</v>
      </c>
      <c r="AG2" s="48">
        <f t="shared" si="1"/>
        <v>15680504201.18</v>
      </c>
      <c r="AH2" s="48">
        <v>11021975226.709999</v>
      </c>
      <c r="AI2" s="48"/>
      <c r="AJ2" s="48">
        <f>+AJ3+AJ162</f>
        <v>117948374696.81999</v>
      </c>
      <c r="AK2" s="48">
        <f>+AK3+AK162</f>
        <v>87591741389.919998</v>
      </c>
      <c r="AM2" s="79">
        <f t="shared" ref="AM2:AM33" si="2">(Y2-H2)/H2</f>
        <v>-0.12891900559970307</v>
      </c>
      <c r="AN2" s="79">
        <f t="shared" ref="AN2:AN33" si="3">(Z2-I2)/I2</f>
        <v>-0.12483225346813873</v>
      </c>
      <c r="AO2" s="79">
        <f t="shared" ref="AO2:AO33" si="4">(AA2-J2)/J2</f>
        <v>-0.45385271213112588</v>
      </c>
      <c r="AP2" s="79">
        <f t="shared" ref="AP2:AP33" si="5">(AB2-K2)/K2</f>
        <v>-0.17128320829486279</v>
      </c>
      <c r="AQ2" s="79">
        <f t="shared" ref="AQ2:AQ33" si="6">(AC2-L2)/L2</f>
        <v>0.58455616609887262</v>
      </c>
      <c r="AR2" s="79">
        <f t="shared" ref="AR2:AR33" si="7">(AD2-M2)/M2</f>
        <v>-0.12022002013532783</v>
      </c>
      <c r="AS2" s="79">
        <f t="shared" ref="AS2:AS33" si="8">(AE2-N2)/N2</f>
        <v>0.26420638960120413</v>
      </c>
      <c r="AT2" s="79">
        <f t="shared" ref="AT2:AT33" si="9">(AF2-O2)/O2</f>
        <v>-0.68880601585027612</v>
      </c>
      <c r="AU2" s="79">
        <f t="shared" ref="AU2:AU33" si="10">(AG2-P2)/P2</f>
        <v>1.279219391502795</v>
      </c>
      <c r="AV2" s="79">
        <f t="shared" ref="AV2:AV33" si="11">(AH2-Q2)/Q2</f>
        <v>0.76733259578528912</v>
      </c>
      <c r="AW2" s="79">
        <f t="shared" ref="AW2:AW9" si="12">(AJ2-T2)/T2</f>
        <v>-0.15321780924480202</v>
      </c>
      <c r="AY2" s="345">
        <v>1</v>
      </c>
      <c r="AZ2" s="346" t="s">
        <v>229</v>
      </c>
    </row>
    <row r="3" spans="1:60" s="49" customFormat="1" x14ac:dyDescent="0.25">
      <c r="A3" s="345" t="s">
        <v>230</v>
      </c>
      <c r="B3" s="346" t="s">
        <v>231</v>
      </c>
      <c r="C3" s="354">
        <f>+C4</f>
        <v>128185121191</v>
      </c>
      <c r="D3" s="354">
        <f t="shared" ref="D3:F3" si="13">+D4</f>
        <v>4134710808</v>
      </c>
      <c r="E3" s="354">
        <f t="shared" si="13"/>
        <v>0</v>
      </c>
      <c r="F3" s="354">
        <f t="shared" si="13"/>
        <v>132319831999</v>
      </c>
      <c r="G3" s="354" t="e">
        <f t="shared" ref="G3:S3" si="14">+G4</f>
        <v>#REF!</v>
      </c>
      <c r="H3" s="354">
        <f t="shared" si="14"/>
        <v>8850440422.793335</v>
      </c>
      <c r="I3" s="354">
        <f t="shared" si="14"/>
        <v>20582809810.556664</v>
      </c>
      <c r="J3" s="354">
        <f t="shared" si="14"/>
        <v>16908873629.143333</v>
      </c>
      <c r="K3" s="354">
        <f t="shared" si="14"/>
        <v>12102315026.873331</v>
      </c>
      <c r="L3" s="354">
        <f t="shared" si="14"/>
        <v>5443783383.1733341</v>
      </c>
      <c r="M3" s="354">
        <f t="shared" si="14"/>
        <v>9880858313.0066681</v>
      </c>
      <c r="N3" s="354">
        <f t="shared" si="14"/>
        <v>6426037966.6933346</v>
      </c>
      <c r="O3" s="354">
        <f t="shared" si="14"/>
        <v>22788883054.663334</v>
      </c>
      <c r="P3" s="354">
        <f t="shared" si="14"/>
        <v>6816879006.4933338</v>
      </c>
      <c r="Q3" s="354">
        <f t="shared" si="14"/>
        <v>6173612549.8133335</v>
      </c>
      <c r="R3" s="354">
        <f t="shared" si="14"/>
        <v>6076137280.333334</v>
      </c>
      <c r="S3" s="354">
        <f t="shared" si="14"/>
        <v>10269201544.356667</v>
      </c>
      <c r="T3" s="354">
        <f t="shared" ref="T3" si="15">+T4</f>
        <v>115974493163.20999</v>
      </c>
      <c r="U3" s="354">
        <f t="shared" ref="U3" si="16">+U4</f>
        <v>132319831987.90001</v>
      </c>
      <c r="V3" s="354">
        <f t="shared" ref="V3" si="17">+V4</f>
        <v>132319831999</v>
      </c>
      <c r="W3" s="391">
        <f t="shared" ref="W3:W66" si="18">+V3-F3</f>
        <v>0</v>
      </c>
      <c r="Y3" s="48">
        <f t="shared" ref="Y3:AK3" si="19">+Y4</f>
        <v>5965363308.6100006</v>
      </c>
      <c r="Z3" s="48">
        <f t="shared" si="19"/>
        <v>16872311055.360001</v>
      </c>
      <c r="AA3" s="48">
        <f t="shared" si="19"/>
        <v>9168043471.7000008</v>
      </c>
      <c r="AB3" s="48">
        <f t="shared" si="19"/>
        <v>9711329931</v>
      </c>
      <c r="AC3" s="48">
        <f t="shared" si="19"/>
        <v>8629238987.0600014</v>
      </c>
      <c r="AD3" s="48">
        <f t="shared" si="19"/>
        <v>8672940822.7800007</v>
      </c>
      <c r="AE3" s="48">
        <f t="shared" si="19"/>
        <v>8138587010.8400002</v>
      </c>
      <c r="AF3" s="48">
        <f t="shared" si="19"/>
        <v>7088877046.3999996</v>
      </c>
      <c r="AG3" s="48">
        <f t="shared" si="19"/>
        <v>15605861566.5</v>
      </c>
      <c r="AH3" s="48">
        <v>11021975226.709999</v>
      </c>
      <c r="AI3" s="48"/>
      <c r="AJ3" s="48">
        <f t="shared" si="19"/>
        <v>94380006346.959991</v>
      </c>
      <c r="AK3" s="48">
        <f t="shared" si="19"/>
        <v>64120473103.849998</v>
      </c>
      <c r="AM3" s="79">
        <f t="shared" si="2"/>
        <v>-0.32598119148433968</v>
      </c>
      <c r="AN3" s="79">
        <f t="shared" si="3"/>
        <v>-0.18027173108763775</v>
      </c>
      <c r="AO3" s="79">
        <f t="shared" si="4"/>
        <v>-0.4577969134562343</v>
      </c>
      <c r="AP3" s="79">
        <f t="shared" si="5"/>
        <v>-0.1975642751460461</v>
      </c>
      <c r="AQ3" s="79">
        <f t="shared" si="6"/>
        <v>0.58515473149296693</v>
      </c>
      <c r="AR3" s="79">
        <f t="shared" si="7"/>
        <v>-0.1222482351190711</v>
      </c>
      <c r="AS3" s="79">
        <f t="shared" si="8"/>
        <v>0.26650154465674547</v>
      </c>
      <c r="AT3" s="79">
        <f t="shared" si="9"/>
        <v>-0.6889326682051059</v>
      </c>
      <c r="AU3" s="79">
        <f t="shared" si="10"/>
        <v>1.2892971331359746</v>
      </c>
      <c r="AV3" s="79">
        <f t="shared" si="11"/>
        <v>0.78533640356864665</v>
      </c>
      <c r="AW3" s="79">
        <f t="shared" si="12"/>
        <v>-0.18620031204499637</v>
      </c>
      <c r="AY3" s="345" t="s">
        <v>230</v>
      </c>
      <c r="AZ3" s="346" t="s">
        <v>231</v>
      </c>
    </row>
    <row r="4" spans="1:60" s="49" customFormat="1" x14ac:dyDescent="0.25">
      <c r="A4" s="345" t="s">
        <v>232</v>
      </c>
      <c r="B4" s="346" t="s">
        <v>233</v>
      </c>
      <c r="C4" s="354">
        <f>+C5+C124</f>
        <v>128185121191</v>
      </c>
      <c r="D4" s="354">
        <f t="shared" ref="D4:F4" si="20">+D5+D124</f>
        <v>4134710808</v>
      </c>
      <c r="E4" s="354">
        <f t="shared" si="20"/>
        <v>0</v>
      </c>
      <c r="F4" s="354">
        <f t="shared" si="20"/>
        <v>132319831999</v>
      </c>
      <c r="G4" s="354" t="e">
        <f t="shared" ref="G4:S4" si="21">+G5+G124</f>
        <v>#REF!</v>
      </c>
      <c r="H4" s="354">
        <f t="shared" si="21"/>
        <v>8850440422.793335</v>
      </c>
      <c r="I4" s="354">
        <f t="shared" si="21"/>
        <v>20582809810.556664</v>
      </c>
      <c r="J4" s="354">
        <f t="shared" si="21"/>
        <v>16908873629.143333</v>
      </c>
      <c r="K4" s="354">
        <f t="shared" si="21"/>
        <v>12102315026.873331</v>
      </c>
      <c r="L4" s="354">
        <f t="shared" si="21"/>
        <v>5443783383.1733341</v>
      </c>
      <c r="M4" s="354">
        <f t="shared" si="21"/>
        <v>9880858313.0066681</v>
      </c>
      <c r="N4" s="354">
        <f t="shared" si="21"/>
        <v>6426037966.6933346</v>
      </c>
      <c r="O4" s="354">
        <f t="shared" si="21"/>
        <v>22788883054.663334</v>
      </c>
      <c r="P4" s="354">
        <f t="shared" si="21"/>
        <v>6816879006.4933338</v>
      </c>
      <c r="Q4" s="354">
        <f t="shared" si="21"/>
        <v>6173612549.8133335</v>
      </c>
      <c r="R4" s="354">
        <f t="shared" si="21"/>
        <v>6076137280.333334</v>
      </c>
      <c r="S4" s="354">
        <f t="shared" si="21"/>
        <v>10269201544.356667</v>
      </c>
      <c r="T4" s="354">
        <f t="shared" ref="T4" si="22">+T5+T124</f>
        <v>115974493163.20999</v>
      </c>
      <c r="U4" s="354">
        <f t="shared" ref="U4" si="23">+U5+U124</f>
        <v>132319831987.90001</v>
      </c>
      <c r="V4" s="354">
        <f t="shared" ref="V4" si="24">+V5+V124</f>
        <v>132319831999</v>
      </c>
      <c r="W4" s="391">
        <f t="shared" si="18"/>
        <v>0</v>
      </c>
      <c r="Y4" s="48">
        <f t="shared" ref="Y4:AK4" si="25">+Y5+Y124</f>
        <v>5965363308.6100006</v>
      </c>
      <c r="Z4" s="48">
        <f t="shared" si="25"/>
        <v>16872311055.360001</v>
      </c>
      <c r="AA4" s="48">
        <f t="shared" si="25"/>
        <v>9168043471.7000008</v>
      </c>
      <c r="AB4" s="48">
        <f t="shared" si="25"/>
        <v>9711329931</v>
      </c>
      <c r="AC4" s="48">
        <f t="shared" si="25"/>
        <v>8629238987.0600014</v>
      </c>
      <c r="AD4" s="48">
        <f t="shared" si="25"/>
        <v>8672940822.7800007</v>
      </c>
      <c r="AE4" s="48">
        <f t="shared" si="25"/>
        <v>8138587010.8400002</v>
      </c>
      <c r="AF4" s="48">
        <f t="shared" si="25"/>
        <v>7088877046.3999996</v>
      </c>
      <c r="AG4" s="48">
        <f t="shared" si="25"/>
        <v>15605861566.5</v>
      </c>
      <c r="AH4" s="48">
        <v>11021975226.709999</v>
      </c>
      <c r="AI4" s="48"/>
      <c r="AJ4" s="48">
        <f t="shared" si="25"/>
        <v>94380006346.959991</v>
      </c>
      <c r="AK4" s="48">
        <f t="shared" si="25"/>
        <v>64120473103.849998</v>
      </c>
      <c r="AM4" s="79">
        <f t="shared" si="2"/>
        <v>-0.32598119148433968</v>
      </c>
      <c r="AN4" s="79">
        <f t="shared" si="3"/>
        <v>-0.18027173108763775</v>
      </c>
      <c r="AO4" s="79">
        <f t="shared" si="4"/>
        <v>-0.4577969134562343</v>
      </c>
      <c r="AP4" s="79">
        <f t="shared" si="5"/>
        <v>-0.1975642751460461</v>
      </c>
      <c r="AQ4" s="79">
        <f t="shared" si="6"/>
        <v>0.58515473149296693</v>
      </c>
      <c r="AR4" s="79">
        <f t="shared" si="7"/>
        <v>-0.1222482351190711</v>
      </c>
      <c r="AS4" s="79">
        <f t="shared" si="8"/>
        <v>0.26650154465674547</v>
      </c>
      <c r="AT4" s="79">
        <f t="shared" si="9"/>
        <v>-0.6889326682051059</v>
      </c>
      <c r="AU4" s="79">
        <f t="shared" si="10"/>
        <v>1.2892971331359746</v>
      </c>
      <c r="AV4" s="79">
        <f t="shared" si="11"/>
        <v>0.78533640356864665</v>
      </c>
      <c r="AW4" s="79">
        <f t="shared" si="12"/>
        <v>-0.18620031204499637</v>
      </c>
      <c r="AY4" s="345" t="s">
        <v>232</v>
      </c>
      <c r="AZ4" s="346" t="s">
        <v>233</v>
      </c>
    </row>
    <row r="5" spans="1:60" s="49" customFormat="1" x14ac:dyDescent="0.25">
      <c r="A5" s="345" t="s">
        <v>234</v>
      </c>
      <c r="B5" s="346" t="s">
        <v>235</v>
      </c>
      <c r="C5" s="354">
        <f>+C6+C81</f>
        <v>46439868581</v>
      </c>
      <c r="D5" s="354">
        <f t="shared" ref="D5:F5" si="26">+D6+D81</f>
        <v>0</v>
      </c>
      <c r="E5" s="354">
        <f t="shared" si="26"/>
        <v>0</v>
      </c>
      <c r="F5" s="354">
        <f t="shared" si="26"/>
        <v>46439868581</v>
      </c>
      <c r="G5" s="354" t="e">
        <f t="shared" ref="G5:S5" si="27">+G6+G81</f>
        <v>#REF!</v>
      </c>
      <c r="H5" s="354">
        <f t="shared" si="27"/>
        <v>4320482844.3266678</v>
      </c>
      <c r="I5" s="354">
        <f t="shared" si="27"/>
        <v>11866998366.956663</v>
      </c>
      <c r="J5" s="354">
        <f t="shared" si="27"/>
        <v>3873856146.6766672</v>
      </c>
      <c r="K5" s="354">
        <f t="shared" si="27"/>
        <v>537974633.40666664</v>
      </c>
      <c r="L5" s="354">
        <f t="shared" si="27"/>
        <v>913825804.70666659</v>
      </c>
      <c r="M5" s="354">
        <f t="shared" si="27"/>
        <v>1085424628.1566668</v>
      </c>
      <c r="N5" s="354">
        <f t="shared" si="27"/>
        <v>1735014639.9766669</v>
      </c>
      <c r="O5" s="354">
        <f t="shared" si="27"/>
        <v>17222433234.946667</v>
      </c>
      <c r="P5" s="354">
        <f t="shared" si="27"/>
        <v>1176822528.7766666</v>
      </c>
      <c r="Q5" s="354">
        <f t="shared" si="27"/>
        <v>607465939.34666669</v>
      </c>
      <c r="R5" s="354">
        <f t="shared" si="27"/>
        <v>1546179701.8666668</v>
      </c>
      <c r="S5" s="354">
        <f t="shared" si="27"/>
        <v>1553390100.7566664</v>
      </c>
      <c r="T5" s="354">
        <f t="shared" ref="T5" si="28">+T6+T81</f>
        <v>43340298767.276657</v>
      </c>
      <c r="U5" s="354">
        <f t="shared" ref="U5" si="29">+U6+U81</f>
        <v>46439868569.899994</v>
      </c>
      <c r="V5" s="354">
        <f t="shared" ref="V5" si="30">+V6+V81</f>
        <v>46439868581</v>
      </c>
      <c r="W5" s="391">
        <f t="shared" si="18"/>
        <v>0</v>
      </c>
      <c r="Y5" s="50">
        <f t="shared" ref="Y5:AG5" si="31">+Y6+Y81</f>
        <v>1689559116.6100001</v>
      </c>
      <c r="Z5" s="50">
        <f t="shared" si="31"/>
        <v>8325206694.3600006</v>
      </c>
      <c r="AA5" s="50">
        <f t="shared" si="31"/>
        <v>4799722637.2800007</v>
      </c>
      <c r="AB5" s="50">
        <f t="shared" si="31"/>
        <v>710340075</v>
      </c>
      <c r="AC5" s="50">
        <f t="shared" si="31"/>
        <v>658812677</v>
      </c>
      <c r="AD5" s="50">
        <f t="shared" si="31"/>
        <v>650968384.77999997</v>
      </c>
      <c r="AE5" s="50">
        <f t="shared" si="31"/>
        <v>2469549123</v>
      </c>
      <c r="AF5" s="50">
        <f t="shared" si="31"/>
        <v>2803467908</v>
      </c>
      <c r="AG5" s="50">
        <f t="shared" si="31"/>
        <v>4134612388.5</v>
      </c>
      <c r="AH5" s="50">
        <v>6494522080</v>
      </c>
      <c r="AI5" s="50"/>
      <c r="AJ5" s="50">
        <f t="shared" ref="AJ5:AJ11" si="32">SUM(Y5:AG5)</f>
        <v>26242239004.530003</v>
      </c>
      <c r="AK5" s="50">
        <f t="shared" ref="AK5" si="33">+AK6+AK81</f>
        <v>19191183067.529999</v>
      </c>
      <c r="AM5" s="79">
        <f t="shared" si="2"/>
        <v>-0.60894206099473314</v>
      </c>
      <c r="AN5" s="79">
        <f t="shared" si="3"/>
        <v>-0.29845724782929828</v>
      </c>
      <c r="AO5" s="79">
        <f t="shared" si="4"/>
        <v>0.23900383895195043</v>
      </c>
      <c r="AP5" s="79">
        <f t="shared" si="5"/>
        <v>0.32039696835117987</v>
      </c>
      <c r="AQ5" s="79">
        <f t="shared" si="6"/>
        <v>-0.27906098338788377</v>
      </c>
      <c r="AR5" s="79">
        <f t="shared" si="7"/>
        <v>-0.40026385260346126</v>
      </c>
      <c r="AS5" s="79">
        <f t="shared" si="8"/>
        <v>0.42335924210599823</v>
      </c>
      <c r="AT5" s="79">
        <f t="shared" si="9"/>
        <v>-0.83721998687668697</v>
      </c>
      <c r="AU5" s="79">
        <f t="shared" si="10"/>
        <v>2.5133695076334255</v>
      </c>
      <c r="AV5" s="79">
        <f t="shared" si="11"/>
        <v>9.6911707461078365</v>
      </c>
      <c r="AW5" s="79">
        <f t="shared" si="12"/>
        <v>-0.3945071965137501</v>
      </c>
      <c r="AY5" s="345" t="s">
        <v>234</v>
      </c>
      <c r="AZ5" s="346" t="s">
        <v>235</v>
      </c>
    </row>
    <row r="6" spans="1:60" s="49" customFormat="1" x14ac:dyDescent="0.25">
      <c r="A6" s="347" t="s">
        <v>236</v>
      </c>
      <c r="B6" s="348" t="s">
        <v>237</v>
      </c>
      <c r="C6" s="355">
        <f>+C7+C78</f>
        <v>44746571785</v>
      </c>
      <c r="D6" s="355">
        <f t="shared" ref="D6:F6" si="34">+D7+D78</f>
        <v>0</v>
      </c>
      <c r="E6" s="355">
        <f t="shared" si="34"/>
        <v>0</v>
      </c>
      <c r="F6" s="355">
        <f t="shared" si="34"/>
        <v>44746571785</v>
      </c>
      <c r="G6" s="355">
        <f t="shared" ref="G6:S6" si="35">+G7+G78</f>
        <v>44746571784.960007</v>
      </c>
      <c r="H6" s="355">
        <f t="shared" si="35"/>
        <v>4211208111.333334</v>
      </c>
      <c r="I6" s="355">
        <f t="shared" si="35"/>
        <v>11708723633.963329</v>
      </c>
      <c r="J6" s="355">
        <f t="shared" si="35"/>
        <v>3755581413.6833339</v>
      </c>
      <c r="K6" s="355">
        <f t="shared" si="35"/>
        <v>428699900.4133333</v>
      </c>
      <c r="L6" s="355">
        <f t="shared" si="35"/>
        <v>702551071.71333325</v>
      </c>
      <c r="M6" s="355">
        <f t="shared" si="35"/>
        <v>970149895.1633333</v>
      </c>
      <c r="N6" s="355">
        <f t="shared" si="35"/>
        <v>1625739906.9833336</v>
      </c>
      <c r="O6" s="355">
        <f t="shared" si="35"/>
        <v>17064158501.953333</v>
      </c>
      <c r="P6" s="355">
        <f t="shared" si="35"/>
        <v>1058547795.7833333</v>
      </c>
      <c r="Q6" s="355">
        <f t="shared" si="35"/>
        <v>498191206.35333335</v>
      </c>
      <c r="R6" s="355">
        <f t="shared" si="35"/>
        <v>1284904968.8733335</v>
      </c>
      <c r="S6" s="355">
        <f t="shared" si="35"/>
        <v>1438115367.6833332</v>
      </c>
      <c r="T6" s="355">
        <f t="shared" ref="T6" si="36">+T7+T78</f>
        <v>42023551437.343323</v>
      </c>
      <c r="U6" s="355">
        <f t="shared" ref="U6" si="37">+U7+U78</f>
        <v>44746571773.899994</v>
      </c>
      <c r="V6" s="355">
        <f t="shared" ref="V6" si="38">+V7+V78</f>
        <v>44746571785</v>
      </c>
      <c r="W6" s="391">
        <f t="shared" si="18"/>
        <v>0</v>
      </c>
      <c r="Y6" s="50">
        <f t="shared" ref="Y6:AG6" si="39">+Y7+Y78</f>
        <v>1481982277.6100001</v>
      </c>
      <c r="Z6" s="50">
        <f t="shared" si="39"/>
        <v>8151382405.3600006</v>
      </c>
      <c r="AA6" s="50">
        <f t="shared" si="39"/>
        <v>4669800603.2800007</v>
      </c>
      <c r="AB6" s="50">
        <f t="shared" si="39"/>
        <v>607154616</v>
      </c>
      <c r="AC6" s="50">
        <f t="shared" si="39"/>
        <v>514948003</v>
      </c>
      <c r="AD6" s="50">
        <f t="shared" si="39"/>
        <v>510483618.77999997</v>
      </c>
      <c r="AE6" s="50">
        <f t="shared" si="39"/>
        <v>2343973006</v>
      </c>
      <c r="AF6" s="50">
        <f t="shared" si="39"/>
        <v>2661768536</v>
      </c>
      <c r="AG6" s="50">
        <f t="shared" si="39"/>
        <v>3938315239.5</v>
      </c>
      <c r="AH6" s="50">
        <v>6460620035</v>
      </c>
      <c r="AI6" s="50"/>
      <c r="AJ6" s="50">
        <f t="shared" si="32"/>
        <v>24879808305.530003</v>
      </c>
      <c r="AK6" s="50">
        <f t="shared" ref="AK6" si="40">+AK7+AK78</f>
        <v>18337865443.529999</v>
      </c>
      <c r="AM6" s="79">
        <f t="shared" si="2"/>
        <v>-0.64808619321813055</v>
      </c>
      <c r="AN6" s="79">
        <f t="shared" si="3"/>
        <v>-0.30381972790651574</v>
      </c>
      <c r="AO6" s="79">
        <f t="shared" si="4"/>
        <v>0.2434294690738803</v>
      </c>
      <c r="AP6" s="79">
        <f t="shared" si="5"/>
        <v>0.41626955223131296</v>
      </c>
      <c r="AQ6" s="79">
        <f t="shared" si="6"/>
        <v>-0.26703121846475841</v>
      </c>
      <c r="AR6" s="79">
        <f t="shared" si="7"/>
        <v>-0.47380954085032856</v>
      </c>
      <c r="AS6" s="79">
        <f t="shared" si="8"/>
        <v>0.44178844102399795</v>
      </c>
      <c r="AT6" s="79">
        <f t="shared" si="9"/>
        <v>-0.844014075719274</v>
      </c>
      <c r="AU6" s="79">
        <f t="shared" si="10"/>
        <v>2.7204888198606252</v>
      </c>
      <c r="AV6" s="79">
        <f t="shared" si="11"/>
        <v>11.968153497309864</v>
      </c>
      <c r="AW6" s="79">
        <f t="shared" si="12"/>
        <v>-0.40795559978728746</v>
      </c>
      <c r="AY6" s="347" t="s">
        <v>236</v>
      </c>
      <c r="AZ6" s="348" t="s">
        <v>237</v>
      </c>
    </row>
    <row r="7" spans="1:60" s="49" customFormat="1" x14ac:dyDescent="0.25">
      <c r="A7" s="347" t="s">
        <v>238</v>
      </c>
      <c r="B7" s="348" t="s">
        <v>239</v>
      </c>
      <c r="C7" s="355">
        <f>+C8</f>
        <v>44516571785</v>
      </c>
      <c r="D7" s="355">
        <f t="shared" ref="D7:F8" si="41">+D8</f>
        <v>0</v>
      </c>
      <c r="E7" s="355">
        <f t="shared" si="41"/>
        <v>0</v>
      </c>
      <c r="F7" s="355">
        <f t="shared" si="41"/>
        <v>44516571785</v>
      </c>
      <c r="G7" s="355">
        <f t="shared" ref="G7:T8" si="42">+G8</f>
        <v>44516571784.960007</v>
      </c>
      <c r="H7" s="355">
        <f t="shared" si="42"/>
        <v>4211208111.333334</v>
      </c>
      <c r="I7" s="355">
        <f t="shared" si="42"/>
        <v>11685723633.963329</v>
      </c>
      <c r="J7" s="355">
        <f t="shared" si="42"/>
        <v>3732581413.6833339</v>
      </c>
      <c r="K7" s="355">
        <f t="shared" si="42"/>
        <v>405699900.4133333</v>
      </c>
      <c r="L7" s="355">
        <f t="shared" si="42"/>
        <v>679551071.71333325</v>
      </c>
      <c r="M7" s="355">
        <f t="shared" si="42"/>
        <v>947149895.1633333</v>
      </c>
      <c r="N7" s="355">
        <f t="shared" si="42"/>
        <v>1602739906.9833336</v>
      </c>
      <c r="O7" s="355">
        <f t="shared" si="42"/>
        <v>17041158501.953333</v>
      </c>
      <c r="P7" s="355">
        <f t="shared" si="42"/>
        <v>1035547795.7833333</v>
      </c>
      <c r="Q7" s="355">
        <f t="shared" si="42"/>
        <v>475191206.35333335</v>
      </c>
      <c r="R7" s="355">
        <f t="shared" si="42"/>
        <v>1261904968.8733335</v>
      </c>
      <c r="S7" s="355">
        <f t="shared" si="42"/>
        <v>1438115367.6833332</v>
      </c>
      <c r="T7" s="355">
        <f t="shared" si="42"/>
        <v>41816551437.343323</v>
      </c>
      <c r="U7" s="355">
        <f t="shared" ref="T7:V8" si="43">+U8</f>
        <v>44516571773.899994</v>
      </c>
      <c r="V7" s="355">
        <f t="shared" si="43"/>
        <v>44516571785</v>
      </c>
      <c r="W7" s="391">
        <f t="shared" si="18"/>
        <v>0</v>
      </c>
      <c r="Y7" s="50">
        <f t="shared" ref="Y7:AA7" si="44">+Y8</f>
        <v>1473846577.6100001</v>
      </c>
      <c r="Z7" s="50">
        <f t="shared" si="44"/>
        <v>8127081045.3600006</v>
      </c>
      <c r="AA7" s="50">
        <f t="shared" si="44"/>
        <v>4662303603.2800007</v>
      </c>
      <c r="AB7" s="50">
        <f t="shared" ref="Y7:AG9" si="45">+AB8</f>
        <v>607154616</v>
      </c>
      <c r="AC7" s="50">
        <f t="shared" si="45"/>
        <v>514948003</v>
      </c>
      <c r="AD7" s="50">
        <f t="shared" si="45"/>
        <v>510483618.77999997</v>
      </c>
      <c r="AE7" s="50">
        <f t="shared" si="45"/>
        <v>2343973006</v>
      </c>
      <c r="AF7" s="50">
        <f t="shared" si="45"/>
        <v>2661768536</v>
      </c>
      <c r="AG7" s="50">
        <f t="shared" si="45"/>
        <v>3938315239.5</v>
      </c>
      <c r="AH7" s="50">
        <v>6460620035</v>
      </c>
      <c r="AI7" s="50"/>
      <c r="AJ7" s="50">
        <f t="shared" si="32"/>
        <v>24839874245.530003</v>
      </c>
      <c r="AK7" s="50">
        <f t="shared" ref="AK7:AK9" si="46">+AK8</f>
        <v>18297931383.529999</v>
      </c>
      <c r="AM7" s="79">
        <f t="shared" si="2"/>
        <v>-0.6500181091398598</v>
      </c>
      <c r="AN7" s="79">
        <f t="shared" si="3"/>
        <v>-0.30452907325828821</v>
      </c>
      <c r="AO7" s="79">
        <f t="shared" si="4"/>
        <v>0.24908289640739847</v>
      </c>
      <c r="AP7" s="79">
        <f t="shared" si="5"/>
        <v>0.49656091949103648</v>
      </c>
      <c r="AQ7" s="79">
        <f t="shared" si="6"/>
        <v>-0.24222324938480944</v>
      </c>
      <c r="AR7" s="79">
        <f t="shared" si="7"/>
        <v>-0.46103185843464772</v>
      </c>
      <c r="AS7" s="79">
        <f t="shared" si="8"/>
        <v>0.4624787189655809</v>
      </c>
      <c r="AT7" s="79">
        <f t="shared" si="9"/>
        <v>-0.84380354565125981</v>
      </c>
      <c r="AU7" s="79">
        <f t="shared" si="10"/>
        <v>2.8031226134964515</v>
      </c>
      <c r="AV7" s="79">
        <f t="shared" si="11"/>
        <v>12.595832474635776</v>
      </c>
      <c r="AW7" s="79">
        <f t="shared" si="12"/>
        <v>-0.40597984788991193</v>
      </c>
      <c r="AY7" s="347" t="s">
        <v>238</v>
      </c>
      <c r="AZ7" s="348" t="s">
        <v>239</v>
      </c>
    </row>
    <row r="8" spans="1:60" s="49" customFormat="1" x14ac:dyDescent="0.25">
      <c r="A8" s="347" t="s">
        <v>240</v>
      </c>
      <c r="B8" s="348" t="s">
        <v>241</v>
      </c>
      <c r="C8" s="355">
        <f>+C9</f>
        <v>44516571785</v>
      </c>
      <c r="D8" s="355">
        <f t="shared" si="41"/>
        <v>0</v>
      </c>
      <c r="E8" s="355">
        <f t="shared" si="41"/>
        <v>0</v>
      </c>
      <c r="F8" s="355">
        <f t="shared" si="41"/>
        <v>44516571785</v>
      </c>
      <c r="G8" s="355">
        <f t="shared" si="42"/>
        <v>44516571784.960007</v>
      </c>
      <c r="H8" s="355">
        <f t="shared" si="42"/>
        <v>4211208111.333334</v>
      </c>
      <c r="I8" s="355">
        <f t="shared" si="42"/>
        <v>11685723633.963329</v>
      </c>
      <c r="J8" s="355">
        <f t="shared" si="42"/>
        <v>3732581413.6833339</v>
      </c>
      <c r="K8" s="355">
        <f t="shared" si="42"/>
        <v>405699900.4133333</v>
      </c>
      <c r="L8" s="355">
        <f t="shared" si="42"/>
        <v>679551071.71333325</v>
      </c>
      <c r="M8" s="355">
        <f t="shared" si="42"/>
        <v>947149895.1633333</v>
      </c>
      <c r="N8" s="355">
        <f t="shared" si="42"/>
        <v>1602739906.9833336</v>
      </c>
      <c r="O8" s="355">
        <f t="shared" si="42"/>
        <v>17041158501.953333</v>
      </c>
      <c r="P8" s="355">
        <f t="shared" si="42"/>
        <v>1035547795.7833333</v>
      </c>
      <c r="Q8" s="355">
        <f t="shared" si="42"/>
        <v>475191206.35333335</v>
      </c>
      <c r="R8" s="355">
        <f t="shared" si="42"/>
        <v>1261904968.8733335</v>
      </c>
      <c r="S8" s="355">
        <f t="shared" si="42"/>
        <v>1438115367.6833332</v>
      </c>
      <c r="T8" s="355">
        <f t="shared" si="43"/>
        <v>41816551437.343323</v>
      </c>
      <c r="U8" s="355">
        <f t="shared" si="43"/>
        <v>44516571773.899994</v>
      </c>
      <c r="V8" s="355">
        <f t="shared" si="43"/>
        <v>44516571785</v>
      </c>
      <c r="W8" s="391">
        <f t="shared" si="18"/>
        <v>0</v>
      </c>
      <c r="Y8" s="50">
        <f t="shared" si="45"/>
        <v>1473846577.6100001</v>
      </c>
      <c r="Z8" s="50">
        <f t="shared" si="45"/>
        <v>8127081045.3600006</v>
      </c>
      <c r="AA8" s="50">
        <f t="shared" si="45"/>
        <v>4662303603.2800007</v>
      </c>
      <c r="AB8" s="50">
        <f t="shared" si="45"/>
        <v>607154616</v>
      </c>
      <c r="AC8" s="50">
        <f t="shared" si="45"/>
        <v>514948003</v>
      </c>
      <c r="AD8" s="50">
        <f t="shared" si="45"/>
        <v>510483618.77999997</v>
      </c>
      <c r="AE8" s="50">
        <f t="shared" si="45"/>
        <v>2343973006</v>
      </c>
      <c r="AF8" s="50">
        <f t="shared" si="45"/>
        <v>2661768536</v>
      </c>
      <c r="AG8" s="50">
        <f t="shared" si="45"/>
        <v>3938315239.5</v>
      </c>
      <c r="AH8" s="50">
        <v>6460620035</v>
      </c>
      <c r="AI8" s="50"/>
      <c r="AJ8" s="50">
        <f t="shared" si="32"/>
        <v>24839874245.530003</v>
      </c>
      <c r="AK8" s="50">
        <f t="shared" si="46"/>
        <v>18297931383.529999</v>
      </c>
      <c r="AM8" s="79">
        <f t="shared" si="2"/>
        <v>-0.6500181091398598</v>
      </c>
      <c r="AN8" s="79">
        <f t="shared" si="3"/>
        <v>-0.30452907325828821</v>
      </c>
      <c r="AO8" s="79">
        <f t="shared" si="4"/>
        <v>0.24908289640739847</v>
      </c>
      <c r="AP8" s="79">
        <f t="shared" si="5"/>
        <v>0.49656091949103648</v>
      </c>
      <c r="AQ8" s="79">
        <f t="shared" si="6"/>
        <v>-0.24222324938480944</v>
      </c>
      <c r="AR8" s="79">
        <f t="shared" si="7"/>
        <v>-0.46103185843464772</v>
      </c>
      <c r="AS8" s="79">
        <f t="shared" si="8"/>
        <v>0.4624787189655809</v>
      </c>
      <c r="AT8" s="79">
        <f t="shared" si="9"/>
        <v>-0.84380354565125981</v>
      </c>
      <c r="AU8" s="79">
        <f t="shared" si="10"/>
        <v>2.8031226134964515</v>
      </c>
      <c r="AV8" s="79">
        <f t="shared" si="11"/>
        <v>12.595832474635776</v>
      </c>
      <c r="AW8" s="79">
        <f t="shared" si="12"/>
        <v>-0.40597984788991193</v>
      </c>
      <c r="AY8" s="347" t="s">
        <v>240</v>
      </c>
      <c r="AZ8" s="348" t="s">
        <v>241</v>
      </c>
    </row>
    <row r="9" spans="1:60" s="49" customFormat="1" x14ac:dyDescent="0.25">
      <c r="A9" s="347" t="s">
        <v>242</v>
      </c>
      <c r="B9" s="348" t="s">
        <v>243</v>
      </c>
      <c r="C9" s="355">
        <f>+C10+C24+C42</f>
        <v>44516571785</v>
      </c>
      <c r="D9" s="355">
        <f t="shared" ref="D9:F9" si="47">+D10+D24+D42</f>
        <v>0</v>
      </c>
      <c r="E9" s="355">
        <f t="shared" si="47"/>
        <v>0</v>
      </c>
      <c r="F9" s="355">
        <f t="shared" si="47"/>
        <v>44516571785</v>
      </c>
      <c r="G9" s="355">
        <f t="shared" ref="G9:S9" si="48">+G10+G24+G42</f>
        <v>44516571784.960007</v>
      </c>
      <c r="H9" s="355">
        <f t="shared" si="48"/>
        <v>4211208111.333334</v>
      </c>
      <c r="I9" s="355">
        <f t="shared" si="48"/>
        <v>11685723633.963329</v>
      </c>
      <c r="J9" s="355">
        <f t="shared" si="48"/>
        <v>3732581413.6833339</v>
      </c>
      <c r="K9" s="355">
        <f t="shared" si="48"/>
        <v>405699900.4133333</v>
      </c>
      <c r="L9" s="355">
        <f t="shared" si="48"/>
        <v>679551071.71333325</v>
      </c>
      <c r="M9" s="355">
        <f t="shared" si="48"/>
        <v>947149895.1633333</v>
      </c>
      <c r="N9" s="355">
        <f t="shared" si="48"/>
        <v>1602739906.9833336</v>
      </c>
      <c r="O9" s="355">
        <f t="shared" si="48"/>
        <v>17041158501.953333</v>
      </c>
      <c r="P9" s="355">
        <f t="shared" si="48"/>
        <v>1035547795.7833333</v>
      </c>
      <c r="Q9" s="355">
        <f t="shared" si="48"/>
        <v>475191206.35333335</v>
      </c>
      <c r="R9" s="355">
        <f t="shared" si="48"/>
        <v>1261904968.8733335</v>
      </c>
      <c r="S9" s="355">
        <f t="shared" si="48"/>
        <v>1438115367.6833332</v>
      </c>
      <c r="T9" s="355">
        <f t="shared" ref="T9" si="49">+T10+T24+T42</f>
        <v>41816551437.343323</v>
      </c>
      <c r="U9" s="355">
        <f t="shared" ref="U9" si="50">+U10+U24+U42</f>
        <v>44516571773.899994</v>
      </c>
      <c r="V9" s="355">
        <f t="shared" ref="V9" si="51">+V10+V24+V42</f>
        <v>44516571785</v>
      </c>
      <c r="W9" s="391">
        <f t="shared" si="18"/>
        <v>0</v>
      </c>
      <c r="Y9" s="50">
        <f t="shared" si="45"/>
        <v>1473846577.6100001</v>
      </c>
      <c r="Z9" s="50">
        <f t="shared" si="45"/>
        <v>8127081045.3600006</v>
      </c>
      <c r="AA9" s="50">
        <f t="shared" si="45"/>
        <v>4662303603.2800007</v>
      </c>
      <c r="AB9" s="50">
        <f t="shared" si="45"/>
        <v>607154616</v>
      </c>
      <c r="AC9" s="50">
        <f t="shared" si="45"/>
        <v>514948003</v>
      </c>
      <c r="AD9" s="50">
        <f t="shared" si="45"/>
        <v>510483618.77999997</v>
      </c>
      <c r="AE9" s="50">
        <f t="shared" si="45"/>
        <v>2343973006</v>
      </c>
      <c r="AF9" s="50">
        <f t="shared" si="45"/>
        <v>2661768536</v>
      </c>
      <c r="AG9" s="50">
        <f t="shared" si="45"/>
        <v>3938315239.5</v>
      </c>
      <c r="AH9" s="50">
        <v>6460620035</v>
      </c>
      <c r="AI9" s="50"/>
      <c r="AJ9" s="50">
        <f t="shared" si="32"/>
        <v>24839874245.530003</v>
      </c>
      <c r="AK9" s="50">
        <f t="shared" si="46"/>
        <v>18297931383.529999</v>
      </c>
      <c r="AM9" s="79">
        <f t="shared" si="2"/>
        <v>-0.6500181091398598</v>
      </c>
      <c r="AN9" s="79">
        <f t="shared" si="3"/>
        <v>-0.30452907325828821</v>
      </c>
      <c r="AO9" s="79">
        <f t="shared" si="4"/>
        <v>0.24908289640739847</v>
      </c>
      <c r="AP9" s="79">
        <f t="shared" si="5"/>
        <v>0.49656091949103648</v>
      </c>
      <c r="AQ9" s="79">
        <f t="shared" si="6"/>
        <v>-0.24222324938480944</v>
      </c>
      <c r="AR9" s="79">
        <f t="shared" si="7"/>
        <v>-0.46103185843464772</v>
      </c>
      <c r="AS9" s="79">
        <f t="shared" si="8"/>
        <v>0.4624787189655809</v>
      </c>
      <c r="AT9" s="79">
        <f t="shared" si="9"/>
        <v>-0.84380354565125981</v>
      </c>
      <c r="AU9" s="79">
        <f t="shared" si="10"/>
        <v>2.8031226134964515</v>
      </c>
      <c r="AV9" s="79">
        <f t="shared" si="11"/>
        <v>12.595832474635776</v>
      </c>
      <c r="AW9" s="79">
        <f t="shared" si="12"/>
        <v>-0.40597984788991193</v>
      </c>
      <c r="AY9" s="347" t="s">
        <v>242</v>
      </c>
      <c r="AZ9" s="348" t="s">
        <v>243</v>
      </c>
    </row>
    <row r="10" spans="1:60" s="49" customFormat="1" x14ac:dyDescent="0.25">
      <c r="A10" s="347" t="s">
        <v>244</v>
      </c>
      <c r="B10" s="348" t="s">
        <v>245</v>
      </c>
      <c r="C10" s="355">
        <f>SUM(C11)</f>
        <v>32250745169</v>
      </c>
      <c r="D10" s="355">
        <f t="shared" ref="D10:F10" si="52">SUM(D11)</f>
        <v>0</v>
      </c>
      <c r="E10" s="355">
        <f t="shared" si="52"/>
        <v>0</v>
      </c>
      <c r="F10" s="355">
        <f t="shared" si="52"/>
        <v>32250745169</v>
      </c>
      <c r="G10" s="355">
        <f t="shared" ref="G10:S10" si="53">SUM(G11)</f>
        <v>32250745168.960003</v>
      </c>
      <c r="H10" s="355">
        <f t="shared" si="53"/>
        <v>3811815066.0000005</v>
      </c>
      <c r="I10" s="355">
        <f t="shared" si="53"/>
        <v>9572333017.9799957</v>
      </c>
      <c r="J10" s="355">
        <f t="shared" si="53"/>
        <v>666914323.98000002</v>
      </c>
      <c r="K10" s="355">
        <f t="shared" si="53"/>
        <v>250749851.73000002</v>
      </c>
      <c r="L10" s="355">
        <f t="shared" si="53"/>
        <v>440528973.92999995</v>
      </c>
      <c r="M10" s="355">
        <f t="shared" si="53"/>
        <v>289553565.43000001</v>
      </c>
      <c r="N10" s="355">
        <f t="shared" si="53"/>
        <v>193335243</v>
      </c>
      <c r="O10" s="355">
        <f t="shared" si="53"/>
        <v>13626543877.690001</v>
      </c>
      <c r="P10" s="355">
        <f t="shared" si="53"/>
        <v>552014097.89999998</v>
      </c>
      <c r="Q10" s="355">
        <f t="shared" si="53"/>
        <v>356537502.67000002</v>
      </c>
      <c r="R10" s="355">
        <f t="shared" si="53"/>
        <v>1101817084.24</v>
      </c>
      <c r="S10" s="355">
        <f t="shared" si="53"/>
        <v>1388602564.3499999</v>
      </c>
      <c r="T10" s="355">
        <f t="shared" ref="T10" si="54">SUM(T11)</f>
        <v>29760325520.309994</v>
      </c>
      <c r="U10" s="355">
        <f t="shared" ref="U10" si="55">SUM(U11)</f>
        <v>32250745168.899994</v>
      </c>
      <c r="V10" s="355">
        <f t="shared" ref="V10" si="56">SUM(V11)</f>
        <v>32250745169</v>
      </c>
      <c r="W10" s="391">
        <f t="shared" si="18"/>
        <v>0</v>
      </c>
      <c r="Y10" s="50">
        <f t="shared" ref="Y10:AG10" si="57">+Y11+Y24+Y42</f>
        <v>1473846577.6100001</v>
      </c>
      <c r="Z10" s="50">
        <f t="shared" si="57"/>
        <v>8127081045.3600006</v>
      </c>
      <c r="AA10" s="50">
        <f t="shared" si="57"/>
        <v>4662303603.2800007</v>
      </c>
      <c r="AB10" s="50">
        <f t="shared" si="57"/>
        <v>607154616</v>
      </c>
      <c r="AC10" s="50">
        <f t="shared" si="57"/>
        <v>514948003</v>
      </c>
      <c r="AD10" s="50">
        <f t="shared" si="57"/>
        <v>510483618.77999997</v>
      </c>
      <c r="AE10" s="50">
        <f t="shared" si="57"/>
        <v>2343973006</v>
      </c>
      <c r="AF10" s="50">
        <f t="shared" si="57"/>
        <v>2661768536</v>
      </c>
      <c r="AG10" s="50">
        <f t="shared" si="57"/>
        <v>3938315239.5</v>
      </c>
      <c r="AH10" s="50">
        <v>5491088717</v>
      </c>
      <c r="AI10" s="50"/>
      <c r="AJ10" s="50">
        <f t="shared" si="32"/>
        <v>24839874245.530003</v>
      </c>
      <c r="AK10" s="50">
        <f t="shared" ref="AK10" si="58">+AK11+AK24+AK42</f>
        <v>18297931383.529999</v>
      </c>
      <c r="AM10" s="79">
        <f t="shared" si="2"/>
        <v>-0.61334782719230696</v>
      </c>
      <c r="AN10" s="79">
        <f t="shared" si="3"/>
        <v>-0.15098220777581972</v>
      </c>
      <c r="AO10" s="79">
        <f t="shared" si="4"/>
        <v>5.9908583991064761</v>
      </c>
      <c r="AP10" s="79">
        <f t="shared" si="5"/>
        <v>1.4213558325600368</v>
      </c>
      <c r="AQ10" s="79">
        <f t="shared" si="6"/>
        <v>0.16893106577327019</v>
      </c>
      <c r="AR10" s="79">
        <f t="shared" si="7"/>
        <v>0.76300235855120258</v>
      </c>
      <c r="AS10" s="79">
        <f t="shared" si="8"/>
        <v>11.12387855224099</v>
      </c>
      <c r="AT10" s="79">
        <f t="shared" si="9"/>
        <v>-0.80466297544765042</v>
      </c>
      <c r="AU10" s="79">
        <f t="shared" si="10"/>
        <v>6.1344468456192303</v>
      </c>
      <c r="AV10" s="79">
        <f t="shared" si="11"/>
        <v>14.401153247215007</v>
      </c>
      <c r="AW10" s="79">
        <f>(AJ10-T10)/T10</f>
        <v>-0.16533593597361759</v>
      </c>
      <c r="AY10" s="347" t="s">
        <v>244</v>
      </c>
      <c r="AZ10" s="348" t="s">
        <v>245</v>
      </c>
    </row>
    <row r="11" spans="1:60" s="49" customFormat="1" x14ac:dyDescent="0.25">
      <c r="A11" s="349" t="s">
        <v>246</v>
      </c>
      <c r="B11" s="350" t="s">
        <v>247</v>
      </c>
      <c r="C11" s="356">
        <f>SUM(C12:C23)</f>
        <v>32250745169</v>
      </c>
      <c r="D11" s="356">
        <f t="shared" ref="D11:F11" si="59">SUM(D12:D23)</f>
        <v>0</v>
      </c>
      <c r="E11" s="356">
        <f t="shared" si="59"/>
        <v>0</v>
      </c>
      <c r="F11" s="356">
        <f t="shared" si="59"/>
        <v>32250745169</v>
      </c>
      <c r="G11" s="356">
        <f t="shared" ref="G11:S11" si="60">SUM(G12:G23)</f>
        <v>32250745168.960003</v>
      </c>
      <c r="H11" s="356">
        <f t="shared" si="60"/>
        <v>3811815066.0000005</v>
      </c>
      <c r="I11" s="356">
        <f t="shared" si="60"/>
        <v>9572333017.9799957</v>
      </c>
      <c r="J11" s="356">
        <f t="shared" si="60"/>
        <v>666914323.98000002</v>
      </c>
      <c r="K11" s="356">
        <f t="shared" si="60"/>
        <v>250749851.73000002</v>
      </c>
      <c r="L11" s="356">
        <f t="shared" si="60"/>
        <v>440528973.92999995</v>
      </c>
      <c r="M11" s="356">
        <f t="shared" si="60"/>
        <v>289553565.43000001</v>
      </c>
      <c r="N11" s="356">
        <f t="shared" si="60"/>
        <v>193335243</v>
      </c>
      <c r="O11" s="356">
        <f t="shared" si="60"/>
        <v>13626543877.690001</v>
      </c>
      <c r="P11" s="356">
        <f t="shared" si="60"/>
        <v>552014097.89999998</v>
      </c>
      <c r="Q11" s="356">
        <f t="shared" si="60"/>
        <v>356537502.67000002</v>
      </c>
      <c r="R11" s="356">
        <f t="shared" si="60"/>
        <v>1101817084.24</v>
      </c>
      <c r="S11" s="356">
        <f t="shared" si="60"/>
        <v>1388602564.3499999</v>
      </c>
      <c r="T11" s="356">
        <f t="shared" ref="T11" si="61">SUM(T12:T23)</f>
        <v>29760325520.309994</v>
      </c>
      <c r="U11" s="356">
        <f t="shared" ref="U11" si="62">SUM(U12:U23)</f>
        <v>32250745168.899994</v>
      </c>
      <c r="V11" s="356">
        <f t="shared" ref="V11" si="63">SUM(V12:V23)</f>
        <v>32250745169</v>
      </c>
      <c r="W11" s="391">
        <f t="shared" si="18"/>
        <v>0</v>
      </c>
      <c r="Y11" s="51">
        <f t="shared" ref="Y11:AG11" si="64">+Y12+Y13+Y14+Y15+Y16+Y17+Y18+Y19+Y20+Y21+Y22+Y23</f>
        <v>1082273920.5500002</v>
      </c>
      <c r="Z11" s="51">
        <f t="shared" si="64"/>
        <v>5500313819.8900003</v>
      </c>
      <c r="AA11" s="51">
        <f t="shared" si="64"/>
        <v>3017325375.2800002</v>
      </c>
      <c r="AB11" s="51">
        <f t="shared" si="64"/>
        <v>386674318</v>
      </c>
      <c r="AC11" s="51">
        <f t="shared" si="64"/>
        <v>365433549</v>
      </c>
      <c r="AD11" s="51">
        <f t="shared" si="64"/>
        <v>149403186</v>
      </c>
      <c r="AE11" s="51">
        <f t="shared" si="64"/>
        <v>1878964503</v>
      </c>
      <c r="AF11" s="51">
        <f t="shared" si="64"/>
        <v>1176734860</v>
      </c>
      <c r="AG11" s="51">
        <f t="shared" si="64"/>
        <v>2154280036.5</v>
      </c>
      <c r="AH11" s="51">
        <v>5491088717</v>
      </c>
      <c r="AI11" s="51"/>
      <c r="AJ11" s="51">
        <f t="shared" si="32"/>
        <v>15711403568.220001</v>
      </c>
      <c r="AK11" s="51">
        <f t="shared" ref="AK11" si="65">+AK12+AK13+AK14+AK15+AK16+AK17+AK18+AK19+AK20+AK21+AK22+AK23</f>
        <v>12380388672.280001</v>
      </c>
      <c r="AM11" s="79">
        <f t="shared" si="2"/>
        <v>-0.71607386459970512</v>
      </c>
      <c r="AN11" s="79">
        <f t="shared" si="3"/>
        <v>-0.42539464417309775</v>
      </c>
      <c r="AO11" s="79">
        <f t="shared" si="4"/>
        <v>3.5243073462169128</v>
      </c>
      <c r="AP11" s="79">
        <f t="shared" si="5"/>
        <v>0.54207197066006407</v>
      </c>
      <c r="AQ11" s="79">
        <f t="shared" si="6"/>
        <v>-0.1704664831919378</v>
      </c>
      <c r="AR11" s="79">
        <f t="shared" si="7"/>
        <v>-0.48402228866313707</v>
      </c>
      <c r="AS11" s="79">
        <f t="shared" si="8"/>
        <v>8.7186859149110241</v>
      </c>
      <c r="AT11" s="79">
        <f t="shared" si="9"/>
        <v>-0.91364392390600202</v>
      </c>
      <c r="AU11" s="79">
        <f t="shared" si="10"/>
        <v>2.9025815548831475</v>
      </c>
      <c r="AV11" s="79">
        <f t="shared" si="11"/>
        <v>14.401153247215007</v>
      </c>
      <c r="AW11" s="79">
        <f t="shared" ref="AW11:AW74" si="66">(AJ11-T11)/T11</f>
        <v>-0.47206882675064415</v>
      </c>
      <c r="AY11" s="349" t="s">
        <v>246</v>
      </c>
      <c r="AZ11" s="350" t="s">
        <v>247</v>
      </c>
    </row>
    <row r="12" spans="1:60" s="49" customFormat="1" x14ac:dyDescent="0.25">
      <c r="A12" s="351" t="s">
        <v>248</v>
      </c>
      <c r="B12" s="352" t="s">
        <v>249</v>
      </c>
      <c r="C12" s="357">
        <v>1755025978</v>
      </c>
      <c r="D12" s="373"/>
      <c r="E12" s="374"/>
      <c r="F12" s="375">
        <f t="shared" ref="F12:F75" si="67">+C12+D12</f>
        <v>1755025978</v>
      </c>
      <c r="G12" s="182">
        <v>1755025978</v>
      </c>
      <c r="H12" s="27">
        <v>165278910</v>
      </c>
      <c r="I12" s="27">
        <v>102286950</v>
      </c>
      <c r="J12" s="27">
        <v>72703516.799999997</v>
      </c>
      <c r="K12" s="27">
        <v>210689461.85000002</v>
      </c>
      <c r="L12" s="27">
        <v>377156623.34999996</v>
      </c>
      <c r="M12" s="27">
        <v>10000000</v>
      </c>
      <c r="N12" s="27">
        <v>156072554</v>
      </c>
      <c r="O12" s="27">
        <v>94108355.599999994</v>
      </c>
      <c r="P12" s="27">
        <v>45390524.75</v>
      </c>
      <c r="Q12" s="27">
        <v>217535746.29000002</v>
      </c>
      <c r="R12" s="183">
        <v>303803335.40000004</v>
      </c>
      <c r="S12" s="183">
        <v>0</v>
      </c>
      <c r="T12" s="27">
        <f t="shared" ref="T12" si="68">SUM(H12:Q12)</f>
        <v>1451222642.6399999</v>
      </c>
      <c r="U12" s="48">
        <f t="shared" ref="U12:U66" si="69">SUM(H12:S12)</f>
        <v>1755025978.04</v>
      </c>
      <c r="V12" s="391">
        <f t="shared" ref="V12:V66" si="70">+F12</f>
        <v>1755025978</v>
      </c>
      <c r="W12" s="391">
        <f t="shared" si="18"/>
        <v>0</v>
      </c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>
        <f t="shared" ref="AJ12" si="71">SUM(Y12:AH12)</f>
        <v>0</v>
      </c>
      <c r="AK12" s="31">
        <v>0</v>
      </c>
      <c r="AM12" s="79">
        <f t="shared" si="2"/>
        <v>-1</v>
      </c>
      <c r="AN12" s="79">
        <f t="shared" si="3"/>
        <v>-1</v>
      </c>
      <c r="AO12" s="79">
        <f t="shared" si="4"/>
        <v>-1</v>
      </c>
      <c r="AP12" s="79">
        <f t="shared" si="5"/>
        <v>-1</v>
      </c>
      <c r="AQ12" s="79">
        <f t="shared" si="6"/>
        <v>-1</v>
      </c>
      <c r="AR12" s="79">
        <f t="shared" si="7"/>
        <v>-1</v>
      </c>
      <c r="AS12" s="79">
        <f t="shared" si="8"/>
        <v>-1</v>
      </c>
      <c r="AT12" s="79">
        <f t="shared" si="9"/>
        <v>-1</v>
      </c>
      <c r="AU12" s="79">
        <f t="shared" si="10"/>
        <v>-1</v>
      </c>
      <c r="AV12" s="79">
        <f t="shared" si="11"/>
        <v>-1</v>
      </c>
      <c r="AW12" s="79">
        <f t="shared" si="66"/>
        <v>-1</v>
      </c>
      <c r="AY12" s="351" t="s">
        <v>248</v>
      </c>
      <c r="AZ12" s="352" t="s">
        <v>249</v>
      </c>
    </row>
    <row r="13" spans="1:60" s="49" customFormat="1" x14ac:dyDescent="0.25">
      <c r="A13" s="351" t="s">
        <v>250</v>
      </c>
      <c r="B13" s="352" t="s">
        <v>251</v>
      </c>
      <c r="C13" s="357">
        <v>27484600657</v>
      </c>
      <c r="D13" s="357"/>
      <c r="E13" s="378"/>
      <c r="F13" s="375">
        <f t="shared" si="67"/>
        <v>27484600657</v>
      </c>
      <c r="G13" s="182">
        <v>27484600657.000004</v>
      </c>
      <c r="H13" s="27">
        <v>3286279744.3900003</v>
      </c>
      <c r="I13" s="27">
        <v>9329699214.279995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f>3967890851.11+9053638947.5</f>
        <v>13021529798.610001</v>
      </c>
      <c r="P13" s="27">
        <v>335405447.26999998</v>
      </c>
      <c r="Q13" s="27">
        <v>95500000</v>
      </c>
      <c r="R13" s="183">
        <v>70500000</v>
      </c>
      <c r="S13" s="183">
        <v>1345686452.3499999</v>
      </c>
      <c r="T13" s="27">
        <f>SUM(H13:Q13)</f>
        <v>26068414204.549995</v>
      </c>
      <c r="U13" s="48">
        <f t="shared" si="69"/>
        <v>27484600656.899994</v>
      </c>
      <c r="V13" s="391">
        <f t="shared" si="70"/>
        <v>27484600657</v>
      </c>
      <c r="W13" s="391">
        <f t="shared" si="18"/>
        <v>0</v>
      </c>
      <c r="Y13" s="27">
        <v>713224763</v>
      </c>
      <c r="Z13" s="27">
        <v>5239574930.8900003</v>
      </c>
      <c r="AA13" s="27">
        <v>2954016946.2800002</v>
      </c>
      <c r="AB13" s="27">
        <v>355507925</v>
      </c>
      <c r="AC13" s="27">
        <v>222502949</v>
      </c>
      <c r="AD13" s="27">
        <v>81450625</v>
      </c>
      <c r="AE13" s="27">
        <v>1570322273</v>
      </c>
      <c r="AF13" s="27">
        <v>139298305</v>
      </c>
      <c r="AG13" s="27">
        <v>1903994334</v>
      </c>
      <c r="AH13" s="27">
        <v>5290389150</v>
      </c>
      <c r="AI13" s="27"/>
      <c r="AJ13" s="27">
        <f>SUM(Y13:AH13)</f>
        <v>18470282201.169998</v>
      </c>
      <c r="AK13" s="31">
        <v>11136600412.280001</v>
      </c>
      <c r="AM13" s="79">
        <f t="shared" si="2"/>
        <v>-0.78296894407192685</v>
      </c>
      <c r="AN13" s="79">
        <f t="shared" si="3"/>
        <v>-0.43839830089373827</v>
      </c>
      <c r="AO13" s="79" t="e">
        <f t="shared" si="4"/>
        <v>#DIV/0!</v>
      </c>
      <c r="AP13" s="79" t="e">
        <f t="shared" si="5"/>
        <v>#DIV/0!</v>
      </c>
      <c r="AQ13" s="79" t="e">
        <f t="shared" si="6"/>
        <v>#DIV/0!</v>
      </c>
      <c r="AR13" s="79" t="e">
        <f t="shared" si="7"/>
        <v>#DIV/0!</v>
      </c>
      <c r="AS13" s="79" t="e">
        <f t="shared" si="8"/>
        <v>#DIV/0!</v>
      </c>
      <c r="AT13" s="79">
        <f t="shared" si="9"/>
        <v>-0.98930246237159714</v>
      </c>
      <c r="AU13" s="79">
        <f t="shared" si="10"/>
        <v>4.6766947272245476</v>
      </c>
      <c r="AV13" s="79">
        <f t="shared" si="11"/>
        <v>54.39674502617801</v>
      </c>
      <c r="AW13" s="79">
        <f t="shared" si="66"/>
        <v>-0.29146889963309758</v>
      </c>
      <c r="AY13" s="351" t="s">
        <v>250</v>
      </c>
      <c r="AZ13" s="352" t="s">
        <v>251</v>
      </c>
    </row>
    <row r="14" spans="1:60" s="49" customFormat="1" x14ac:dyDescent="0.25">
      <c r="A14" s="351" t="s">
        <v>252</v>
      </c>
      <c r="B14" s="352" t="s">
        <v>253</v>
      </c>
      <c r="C14" s="357">
        <v>10000764</v>
      </c>
      <c r="D14" s="357"/>
      <c r="E14" s="378"/>
      <c r="F14" s="375">
        <f t="shared" si="67"/>
        <v>10000764</v>
      </c>
      <c r="G14" s="182">
        <v>10000764</v>
      </c>
      <c r="H14" s="27">
        <v>625000</v>
      </c>
      <c r="I14" s="27">
        <v>4990575.5</v>
      </c>
      <c r="J14" s="27">
        <v>0</v>
      </c>
      <c r="K14" s="27">
        <v>0</v>
      </c>
      <c r="L14" s="27">
        <v>0</v>
      </c>
      <c r="M14" s="27">
        <v>1281676</v>
      </c>
      <c r="N14" s="27">
        <v>2547512.5</v>
      </c>
      <c r="O14" s="27">
        <v>0</v>
      </c>
      <c r="P14" s="27">
        <v>556000</v>
      </c>
      <c r="Q14" s="27">
        <v>0</v>
      </c>
      <c r="R14" s="183">
        <v>0</v>
      </c>
      <c r="S14" s="183">
        <v>0</v>
      </c>
      <c r="T14" s="27">
        <f t="shared" ref="T14:T77" si="72">SUM(H14:Q14)</f>
        <v>10000764</v>
      </c>
      <c r="U14" s="48">
        <f t="shared" si="69"/>
        <v>10000764</v>
      </c>
      <c r="V14" s="391">
        <f t="shared" si="70"/>
        <v>10000764</v>
      </c>
      <c r="W14" s="391">
        <f t="shared" si="18"/>
        <v>0</v>
      </c>
      <c r="Y14" s="27"/>
      <c r="Z14" s="27"/>
      <c r="AA14" s="27"/>
      <c r="AB14" s="27"/>
      <c r="AC14" s="27"/>
      <c r="AD14" s="27"/>
      <c r="AE14" s="27">
        <v>21234271</v>
      </c>
      <c r="AF14" s="27"/>
      <c r="AG14" s="27"/>
      <c r="AH14" s="27">
        <v>45979992</v>
      </c>
      <c r="AI14" s="27"/>
      <c r="AJ14" s="27">
        <f t="shared" ref="AJ14:AJ77" si="73">SUM(Y14:AH14)</f>
        <v>67214263</v>
      </c>
      <c r="AK14" s="31">
        <v>21234271</v>
      </c>
      <c r="AM14" s="79">
        <f t="shared" si="2"/>
        <v>-1</v>
      </c>
      <c r="AN14" s="79">
        <f t="shared" si="3"/>
        <v>-1</v>
      </c>
      <c r="AO14" s="79" t="e">
        <f t="shared" si="4"/>
        <v>#DIV/0!</v>
      </c>
      <c r="AP14" s="79" t="e">
        <f t="shared" si="5"/>
        <v>#DIV/0!</v>
      </c>
      <c r="AQ14" s="79" t="e">
        <f t="shared" si="6"/>
        <v>#DIV/0!</v>
      </c>
      <c r="AR14" s="79">
        <f t="shared" si="7"/>
        <v>-1</v>
      </c>
      <c r="AS14" s="79">
        <f t="shared" si="8"/>
        <v>7.3352960976638979</v>
      </c>
      <c r="AT14" s="79" t="e">
        <f t="shared" si="9"/>
        <v>#DIV/0!</v>
      </c>
      <c r="AU14" s="79">
        <f t="shared" si="10"/>
        <v>-1</v>
      </c>
      <c r="AV14" s="79" t="e">
        <f t="shared" si="11"/>
        <v>#DIV/0!</v>
      </c>
      <c r="AW14" s="79">
        <f t="shared" si="66"/>
        <v>5.7209128222603791</v>
      </c>
      <c r="AY14" s="351" t="s">
        <v>252</v>
      </c>
      <c r="AZ14" s="352" t="s">
        <v>253</v>
      </c>
    </row>
    <row r="15" spans="1:60" s="49" customFormat="1" x14ac:dyDescent="0.25">
      <c r="A15" s="351" t="s">
        <v>254</v>
      </c>
      <c r="B15" s="352" t="s">
        <v>255</v>
      </c>
      <c r="C15" s="357">
        <v>1796956253</v>
      </c>
      <c r="D15" s="357"/>
      <c r="E15" s="378"/>
      <c r="F15" s="375">
        <f t="shared" si="67"/>
        <v>1796956253</v>
      </c>
      <c r="G15" s="182">
        <v>1796956253</v>
      </c>
      <c r="H15" s="27">
        <v>84140000</v>
      </c>
      <c r="I15" s="27">
        <v>107340000</v>
      </c>
      <c r="J15" s="27">
        <v>412443846.75</v>
      </c>
      <c r="K15" s="27"/>
      <c r="L15" s="27"/>
      <c r="M15" s="27"/>
      <c r="N15" s="27"/>
      <c r="O15" s="27">
        <v>344406644.75</v>
      </c>
      <c r="P15" s="27">
        <v>118317575</v>
      </c>
      <c r="Q15" s="27">
        <v>0</v>
      </c>
      <c r="R15" s="183">
        <v>689797074.5</v>
      </c>
      <c r="S15" s="183">
        <v>40511112</v>
      </c>
      <c r="T15" s="27">
        <f t="shared" si="72"/>
        <v>1066648066.5</v>
      </c>
      <c r="U15" s="48">
        <f t="shared" si="69"/>
        <v>1796956253</v>
      </c>
      <c r="V15" s="391">
        <f t="shared" si="70"/>
        <v>1796956253</v>
      </c>
      <c r="W15" s="391">
        <f t="shared" si="18"/>
        <v>0</v>
      </c>
      <c r="Y15" s="27">
        <v>211301558.96000001</v>
      </c>
      <c r="Z15" s="27">
        <v>144485525</v>
      </c>
      <c r="AA15" s="27">
        <v>28331800</v>
      </c>
      <c r="AB15" s="27">
        <v>25265269</v>
      </c>
      <c r="AC15" s="27">
        <v>120428000</v>
      </c>
      <c r="AD15" s="27">
        <v>38102000</v>
      </c>
      <c r="AE15" s="27">
        <v>40847000</v>
      </c>
      <c r="AF15" s="27">
        <v>218507476</v>
      </c>
      <c r="AG15" s="27">
        <v>204269802.5</v>
      </c>
      <c r="AH15" s="27">
        <v>110178736</v>
      </c>
      <c r="AI15" s="27"/>
      <c r="AJ15" s="27">
        <f t="shared" si="73"/>
        <v>1141717167.46</v>
      </c>
      <c r="AK15" s="31">
        <v>608761153</v>
      </c>
      <c r="AM15" s="79">
        <f t="shared" si="2"/>
        <v>1.511309234133587</v>
      </c>
      <c r="AN15" s="79">
        <f t="shared" si="3"/>
        <v>0.34605482578721819</v>
      </c>
      <c r="AO15" s="79">
        <f t="shared" si="4"/>
        <v>-0.93130749743692232</v>
      </c>
      <c r="AP15" s="79" t="e">
        <f t="shared" si="5"/>
        <v>#DIV/0!</v>
      </c>
      <c r="AQ15" s="79" t="e">
        <f t="shared" si="6"/>
        <v>#DIV/0!</v>
      </c>
      <c r="AR15" s="79" t="e">
        <f t="shared" si="7"/>
        <v>#DIV/0!</v>
      </c>
      <c r="AS15" s="79" t="e">
        <f t="shared" si="8"/>
        <v>#DIV/0!</v>
      </c>
      <c r="AT15" s="79">
        <f t="shared" si="9"/>
        <v>-0.3655538319865706</v>
      </c>
      <c r="AU15" s="79">
        <f t="shared" si="10"/>
        <v>0.72645359322146352</v>
      </c>
      <c r="AV15" s="79" t="e">
        <f t="shared" si="11"/>
        <v>#DIV/0!</v>
      </c>
      <c r="AW15" s="79">
        <f t="shared" si="66"/>
        <v>7.0378509386254104E-2</v>
      </c>
      <c r="AY15" s="351" t="s">
        <v>254</v>
      </c>
      <c r="AZ15" s="352" t="s">
        <v>255</v>
      </c>
    </row>
    <row r="16" spans="1:60" s="49" customFormat="1" x14ac:dyDescent="0.25">
      <c r="A16" s="351" t="s">
        <v>256</v>
      </c>
      <c r="B16" s="352" t="s">
        <v>257</v>
      </c>
      <c r="C16" s="357">
        <v>5182800</v>
      </c>
      <c r="D16" s="357"/>
      <c r="E16" s="374"/>
      <c r="F16" s="375">
        <f t="shared" si="67"/>
        <v>5182800</v>
      </c>
      <c r="G16" s="182">
        <v>5182799.96</v>
      </c>
      <c r="H16" s="27">
        <v>279999.96000000002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2497800</v>
      </c>
      <c r="O16" s="27">
        <v>0</v>
      </c>
      <c r="P16" s="27">
        <v>0</v>
      </c>
      <c r="Q16" s="27">
        <v>0</v>
      </c>
      <c r="R16" s="183">
        <v>0</v>
      </c>
      <c r="S16" s="183">
        <v>2405000</v>
      </c>
      <c r="T16" s="27">
        <f t="shared" si="72"/>
        <v>2777799.96</v>
      </c>
      <c r="U16" s="48">
        <f t="shared" si="69"/>
        <v>5182799.96</v>
      </c>
      <c r="V16" s="391">
        <f t="shared" si="70"/>
        <v>5182800</v>
      </c>
      <c r="W16" s="391">
        <f t="shared" si="18"/>
        <v>0</v>
      </c>
      <c r="Y16" s="27">
        <v>180000</v>
      </c>
      <c r="Z16" s="27">
        <v>570000</v>
      </c>
      <c r="AA16" s="27">
        <v>270000</v>
      </c>
      <c r="AB16" s="27"/>
      <c r="AC16" s="27"/>
      <c r="AD16" s="27">
        <v>30000</v>
      </c>
      <c r="AE16" s="27"/>
      <c r="AF16" s="27">
        <v>74811242</v>
      </c>
      <c r="AG16" s="27">
        <v>20430000</v>
      </c>
      <c r="AH16" s="27">
        <v>11021000</v>
      </c>
      <c r="AI16" s="27"/>
      <c r="AJ16" s="27">
        <f t="shared" si="73"/>
        <v>107312242</v>
      </c>
      <c r="AK16" s="31">
        <v>1050000</v>
      </c>
      <c r="AM16" s="79">
        <f t="shared" si="2"/>
        <v>-0.35714276530610939</v>
      </c>
      <c r="AN16" s="79" t="e">
        <f t="shared" si="3"/>
        <v>#DIV/0!</v>
      </c>
      <c r="AO16" s="79" t="e">
        <f t="shared" si="4"/>
        <v>#DIV/0!</v>
      </c>
      <c r="AP16" s="79" t="e">
        <f t="shared" si="5"/>
        <v>#DIV/0!</v>
      </c>
      <c r="AQ16" s="79" t="e">
        <f t="shared" si="6"/>
        <v>#DIV/0!</v>
      </c>
      <c r="AR16" s="79" t="e">
        <f t="shared" si="7"/>
        <v>#DIV/0!</v>
      </c>
      <c r="AS16" s="79">
        <f t="shared" si="8"/>
        <v>-1</v>
      </c>
      <c r="AT16" s="79" t="e">
        <f t="shared" si="9"/>
        <v>#DIV/0!</v>
      </c>
      <c r="AU16" s="79" t="e">
        <f t="shared" si="10"/>
        <v>#DIV/0!</v>
      </c>
      <c r="AV16" s="79" t="e">
        <f t="shared" si="11"/>
        <v>#DIV/0!</v>
      </c>
      <c r="AW16" s="79">
        <f t="shared" si="66"/>
        <v>37.632098619513265</v>
      </c>
      <c r="AY16" s="351" t="s">
        <v>256</v>
      </c>
      <c r="AZ16" s="352" t="s">
        <v>257</v>
      </c>
    </row>
    <row r="17" spans="1:52" s="49" customFormat="1" x14ac:dyDescent="0.25">
      <c r="A17" s="351" t="s">
        <v>258</v>
      </c>
      <c r="B17" s="352" t="s">
        <v>259</v>
      </c>
      <c r="C17" s="357">
        <v>87550000</v>
      </c>
      <c r="D17" s="357"/>
      <c r="E17" s="378"/>
      <c r="F17" s="375">
        <f t="shared" si="67"/>
        <v>87550000</v>
      </c>
      <c r="G17" s="182">
        <v>87550000</v>
      </c>
      <c r="H17" s="27">
        <v>260000</v>
      </c>
      <c r="I17" s="27">
        <v>8911000</v>
      </c>
      <c r="J17" s="27">
        <v>8651000</v>
      </c>
      <c r="K17" s="27">
        <v>8651000</v>
      </c>
      <c r="L17" s="27">
        <v>8651000</v>
      </c>
      <c r="M17" s="27">
        <v>8651000</v>
      </c>
      <c r="N17" s="27">
        <v>9171000</v>
      </c>
      <c r="O17" s="27">
        <v>8651000</v>
      </c>
      <c r="P17" s="27">
        <v>8651000</v>
      </c>
      <c r="Q17" s="27">
        <v>8651000</v>
      </c>
      <c r="R17" s="183">
        <v>8651000</v>
      </c>
      <c r="S17" s="183">
        <v>0</v>
      </c>
      <c r="T17" s="27">
        <f t="shared" si="72"/>
        <v>78899000</v>
      </c>
      <c r="U17" s="48">
        <f t="shared" si="69"/>
        <v>87550000</v>
      </c>
      <c r="V17" s="391">
        <f t="shared" si="70"/>
        <v>87550000</v>
      </c>
      <c r="W17" s="391">
        <f t="shared" si="18"/>
        <v>0</v>
      </c>
      <c r="Y17" s="27">
        <v>16700979.59</v>
      </c>
      <c r="Z17" s="27">
        <v>11037050</v>
      </c>
      <c r="AA17" s="27">
        <v>12264600</v>
      </c>
      <c r="AB17" s="27">
        <v>4243024</v>
      </c>
      <c r="AC17" s="27">
        <v>21083500</v>
      </c>
      <c r="AD17" s="27">
        <v>7115800</v>
      </c>
      <c r="AE17" s="27">
        <v>6541369</v>
      </c>
      <c r="AF17" s="27">
        <v>11160200</v>
      </c>
      <c r="AG17" s="27">
        <v>14822100</v>
      </c>
      <c r="AH17" s="27">
        <v>15750400</v>
      </c>
      <c r="AI17" s="27"/>
      <c r="AJ17" s="27">
        <f t="shared" si="73"/>
        <v>120719022.59</v>
      </c>
      <c r="AK17" s="31">
        <v>78986323</v>
      </c>
      <c r="AM17" s="79">
        <f t="shared" si="2"/>
        <v>63.234536884615387</v>
      </c>
      <c r="AN17" s="79">
        <f t="shared" si="3"/>
        <v>0.23858713949051732</v>
      </c>
      <c r="AO17" s="79">
        <f t="shared" si="4"/>
        <v>0.4177089353831927</v>
      </c>
      <c r="AP17" s="79">
        <f t="shared" si="5"/>
        <v>-0.50953369552652872</v>
      </c>
      <c r="AQ17" s="79">
        <f t="shared" si="6"/>
        <v>1.4371170962894464</v>
      </c>
      <c r="AR17" s="79">
        <f t="shared" si="7"/>
        <v>-0.17745925326551842</v>
      </c>
      <c r="AS17" s="79">
        <f t="shared" si="8"/>
        <v>-0.28673328971758805</v>
      </c>
      <c r="AT17" s="79">
        <f t="shared" si="9"/>
        <v>0.29004739336492891</v>
      </c>
      <c r="AU17" s="79">
        <f t="shared" si="10"/>
        <v>0.71333949832389321</v>
      </c>
      <c r="AV17" s="79">
        <f t="shared" si="11"/>
        <v>0.82064501213732521</v>
      </c>
      <c r="AW17" s="79">
        <f t="shared" si="66"/>
        <v>0.53004502705991208</v>
      </c>
      <c r="AY17" s="351" t="s">
        <v>258</v>
      </c>
      <c r="AZ17" s="352" t="s">
        <v>259</v>
      </c>
    </row>
    <row r="18" spans="1:52" s="49" customFormat="1" x14ac:dyDescent="0.25">
      <c r="A18" s="351" t="s">
        <v>260</v>
      </c>
      <c r="B18" s="352" t="s">
        <v>261</v>
      </c>
      <c r="C18" s="357">
        <v>13081000</v>
      </c>
      <c r="D18" s="357"/>
      <c r="E18" s="378"/>
      <c r="F18" s="375">
        <f t="shared" si="67"/>
        <v>13081000</v>
      </c>
      <c r="G18" s="182">
        <v>13081000</v>
      </c>
      <c r="H18" s="27">
        <v>0</v>
      </c>
      <c r="I18" s="27">
        <v>1304100</v>
      </c>
      <c r="J18" s="27">
        <v>1304100</v>
      </c>
      <c r="K18" s="27">
        <v>1304100</v>
      </c>
      <c r="L18" s="27">
        <v>1324100</v>
      </c>
      <c r="M18" s="27">
        <v>1304100</v>
      </c>
      <c r="N18" s="27">
        <v>1304100</v>
      </c>
      <c r="O18" s="27">
        <v>1304100</v>
      </c>
      <c r="P18" s="27">
        <v>1304100</v>
      </c>
      <c r="Q18" s="27">
        <v>1314100</v>
      </c>
      <c r="R18" s="183">
        <v>1314100</v>
      </c>
      <c r="S18" s="183">
        <v>0</v>
      </c>
      <c r="T18" s="27">
        <f t="shared" si="72"/>
        <v>11766900</v>
      </c>
      <c r="U18" s="48">
        <f t="shared" si="69"/>
        <v>13081000</v>
      </c>
      <c r="V18" s="391">
        <f t="shared" si="70"/>
        <v>13081000</v>
      </c>
      <c r="W18" s="391">
        <f t="shared" si="18"/>
        <v>0</v>
      </c>
      <c r="Y18" s="27">
        <v>249000</v>
      </c>
      <c r="Z18" s="27">
        <v>294000</v>
      </c>
      <c r="AA18" s="27">
        <v>241000</v>
      </c>
      <c r="AB18" s="27">
        <v>40000</v>
      </c>
      <c r="AC18" s="27">
        <v>8000</v>
      </c>
      <c r="AD18" s="27">
        <v>1500000</v>
      </c>
      <c r="AE18" s="27"/>
      <c r="AF18" s="27">
        <v>5200</v>
      </c>
      <c r="AG18" s="27">
        <v>1600</v>
      </c>
      <c r="AH18" s="27"/>
      <c r="AI18" s="27"/>
      <c r="AJ18" s="27">
        <f t="shared" si="73"/>
        <v>2338800</v>
      </c>
      <c r="AK18" s="31">
        <v>2332000</v>
      </c>
      <c r="AM18" s="79" t="e">
        <f t="shared" si="2"/>
        <v>#DIV/0!</v>
      </c>
      <c r="AN18" s="79">
        <f t="shared" si="3"/>
        <v>-0.77455716586151369</v>
      </c>
      <c r="AO18" s="79">
        <f t="shared" si="4"/>
        <v>-0.81519822099532246</v>
      </c>
      <c r="AP18" s="79">
        <f t="shared" si="5"/>
        <v>-0.96932750555938962</v>
      </c>
      <c r="AQ18" s="79">
        <f t="shared" si="6"/>
        <v>-0.99395816025979911</v>
      </c>
      <c r="AR18" s="79">
        <f t="shared" si="7"/>
        <v>0.15021854152288935</v>
      </c>
      <c r="AS18" s="79">
        <f t="shared" si="8"/>
        <v>-1</v>
      </c>
      <c r="AT18" s="79">
        <f t="shared" si="9"/>
        <v>-0.99601257572272062</v>
      </c>
      <c r="AU18" s="79">
        <f t="shared" si="10"/>
        <v>-0.99877310022237553</v>
      </c>
      <c r="AV18" s="79">
        <f t="shared" si="11"/>
        <v>-1</v>
      </c>
      <c r="AW18" s="79">
        <f t="shared" si="66"/>
        <v>-0.8012390689136476</v>
      </c>
      <c r="AY18" s="351" t="s">
        <v>260</v>
      </c>
      <c r="AZ18" s="352" t="s">
        <v>261</v>
      </c>
    </row>
    <row r="19" spans="1:52" s="49" customFormat="1" x14ac:dyDescent="0.25">
      <c r="A19" s="351" t="s">
        <v>262</v>
      </c>
      <c r="B19" s="352" t="s">
        <v>263</v>
      </c>
      <c r="C19" s="357">
        <v>61800000</v>
      </c>
      <c r="D19" s="357"/>
      <c r="E19" s="378"/>
      <c r="F19" s="375">
        <f t="shared" si="67"/>
        <v>61800000</v>
      </c>
      <c r="G19" s="182">
        <v>61800000</v>
      </c>
      <c r="H19" s="27">
        <v>0</v>
      </c>
      <c r="I19" s="27">
        <v>6117000</v>
      </c>
      <c r="J19" s="27">
        <v>6432000</v>
      </c>
      <c r="K19" s="27">
        <v>6117000</v>
      </c>
      <c r="L19" s="27">
        <v>6117000</v>
      </c>
      <c r="M19" s="27">
        <v>6117000</v>
      </c>
      <c r="N19" s="27">
        <v>6117000</v>
      </c>
      <c r="O19" s="27">
        <v>6117000</v>
      </c>
      <c r="P19" s="27">
        <v>6117000</v>
      </c>
      <c r="Q19" s="27">
        <v>6117000</v>
      </c>
      <c r="R19" s="183">
        <v>6432000</v>
      </c>
      <c r="S19" s="183">
        <v>0</v>
      </c>
      <c r="T19" s="27">
        <f t="shared" si="72"/>
        <v>55368000</v>
      </c>
      <c r="U19" s="48">
        <f t="shared" si="69"/>
        <v>61800000</v>
      </c>
      <c r="V19" s="391">
        <f t="shared" si="70"/>
        <v>61800000</v>
      </c>
      <c r="W19" s="391">
        <f t="shared" si="18"/>
        <v>0</v>
      </c>
      <c r="Y19" s="27">
        <v>17114300</v>
      </c>
      <c r="Z19" s="27">
        <v>9889846</v>
      </c>
      <c r="AA19" s="27">
        <v>3551200</v>
      </c>
      <c r="AB19" s="27">
        <v>47000</v>
      </c>
      <c r="AC19" s="27"/>
      <c r="AD19" s="27">
        <v>287900</v>
      </c>
      <c r="AE19" s="27">
        <v>185882</v>
      </c>
      <c r="AF19" s="27">
        <v>334900</v>
      </c>
      <c r="AG19" s="27">
        <v>146900</v>
      </c>
      <c r="AH19" s="27">
        <v>987000</v>
      </c>
      <c r="AI19" s="27"/>
      <c r="AJ19" s="27">
        <f t="shared" si="73"/>
        <v>32544928</v>
      </c>
      <c r="AK19" s="31">
        <v>31076128</v>
      </c>
      <c r="AM19" s="79" t="e">
        <f t="shared" si="2"/>
        <v>#DIV/0!</v>
      </c>
      <c r="AN19" s="79">
        <f t="shared" si="3"/>
        <v>0.61678044793199283</v>
      </c>
      <c r="AO19" s="79">
        <f t="shared" si="4"/>
        <v>-0.44788557213930347</v>
      </c>
      <c r="AP19" s="79">
        <f t="shared" si="5"/>
        <v>-0.99231649501389574</v>
      </c>
      <c r="AQ19" s="79">
        <f t="shared" si="6"/>
        <v>-1</v>
      </c>
      <c r="AR19" s="79">
        <f t="shared" si="7"/>
        <v>-0.95293444498937385</v>
      </c>
      <c r="AS19" s="79">
        <f t="shared" si="8"/>
        <v>-0.96961222821644599</v>
      </c>
      <c r="AT19" s="79">
        <f t="shared" si="9"/>
        <v>-0.94525094000326959</v>
      </c>
      <c r="AU19" s="79">
        <f t="shared" si="10"/>
        <v>-0.97598495994768675</v>
      </c>
      <c r="AV19" s="79">
        <f t="shared" si="11"/>
        <v>-0.83864639529180973</v>
      </c>
      <c r="AW19" s="79">
        <f t="shared" si="66"/>
        <v>-0.41220690651639935</v>
      </c>
      <c r="AY19" s="351" t="s">
        <v>262</v>
      </c>
      <c r="AZ19" s="352" t="s">
        <v>263</v>
      </c>
    </row>
    <row r="20" spans="1:52" s="49" customFormat="1" x14ac:dyDescent="0.25">
      <c r="A20" s="351" t="s">
        <v>264</v>
      </c>
      <c r="B20" s="352" t="s">
        <v>265</v>
      </c>
      <c r="C20" s="357">
        <v>7004000</v>
      </c>
      <c r="D20" s="357"/>
      <c r="E20" s="378"/>
      <c r="F20" s="375">
        <f t="shared" si="67"/>
        <v>7004000</v>
      </c>
      <c r="G20" s="182">
        <v>7004000</v>
      </c>
      <c r="H20" s="27">
        <v>0</v>
      </c>
      <c r="I20" s="27">
        <v>672400</v>
      </c>
      <c r="J20" s="27">
        <v>672400</v>
      </c>
      <c r="K20" s="27">
        <v>812400</v>
      </c>
      <c r="L20" s="27">
        <v>672400</v>
      </c>
      <c r="M20" s="27">
        <v>672400</v>
      </c>
      <c r="N20" s="27">
        <v>672400</v>
      </c>
      <c r="O20" s="27">
        <v>672400</v>
      </c>
      <c r="P20" s="27">
        <v>672400</v>
      </c>
      <c r="Q20" s="27">
        <v>812400</v>
      </c>
      <c r="R20" s="183">
        <v>672400</v>
      </c>
      <c r="S20" s="183">
        <v>0</v>
      </c>
      <c r="T20" s="27">
        <f t="shared" si="72"/>
        <v>6331600</v>
      </c>
      <c r="U20" s="48">
        <f t="shared" si="69"/>
        <v>7004000</v>
      </c>
      <c r="V20" s="391">
        <f t="shared" si="70"/>
        <v>7004000</v>
      </c>
      <c r="W20" s="391">
        <f t="shared" si="18"/>
        <v>0</v>
      </c>
      <c r="Y20" s="27">
        <v>150000</v>
      </c>
      <c r="Z20" s="27">
        <v>1109500</v>
      </c>
      <c r="AA20" s="27">
        <v>316000</v>
      </c>
      <c r="AB20" s="27"/>
      <c r="AC20" s="27">
        <v>60000</v>
      </c>
      <c r="AD20" s="27">
        <v>61000</v>
      </c>
      <c r="AE20" s="27">
        <v>300000</v>
      </c>
      <c r="AF20" s="27">
        <v>210000</v>
      </c>
      <c r="AG20" s="27">
        <v>30000</v>
      </c>
      <c r="AH20" s="27">
        <v>600000</v>
      </c>
      <c r="AI20" s="27"/>
      <c r="AJ20" s="27">
        <f t="shared" si="73"/>
        <v>2836500</v>
      </c>
      <c r="AK20" s="31">
        <v>1996500</v>
      </c>
      <c r="AM20" s="79" t="e">
        <f t="shared" si="2"/>
        <v>#DIV/0!</v>
      </c>
      <c r="AN20" s="79">
        <f t="shared" si="3"/>
        <v>0.65005948839976202</v>
      </c>
      <c r="AO20" s="79">
        <f t="shared" si="4"/>
        <v>-0.53004164187983338</v>
      </c>
      <c r="AP20" s="79">
        <f t="shared" si="5"/>
        <v>-1</v>
      </c>
      <c r="AQ20" s="79">
        <f t="shared" si="6"/>
        <v>-0.91076740035693038</v>
      </c>
      <c r="AR20" s="79">
        <f t="shared" si="7"/>
        <v>-0.90928019036287921</v>
      </c>
      <c r="AS20" s="79">
        <f t="shared" si="8"/>
        <v>-0.55383700178465201</v>
      </c>
      <c r="AT20" s="79">
        <f t="shared" si="9"/>
        <v>-0.68768590124925644</v>
      </c>
      <c r="AU20" s="79">
        <f t="shared" si="10"/>
        <v>-0.95538370017846519</v>
      </c>
      <c r="AV20" s="79">
        <f t="shared" si="11"/>
        <v>-0.26144756277695719</v>
      </c>
      <c r="AW20" s="79">
        <f t="shared" si="66"/>
        <v>-0.55200897087623979</v>
      </c>
      <c r="AY20" s="351" t="s">
        <v>264</v>
      </c>
      <c r="AZ20" s="352" t="s">
        <v>265</v>
      </c>
    </row>
    <row r="21" spans="1:52" s="49" customFormat="1" x14ac:dyDescent="0.25">
      <c r="A21" s="351" t="s">
        <v>266</v>
      </c>
      <c r="B21" s="352" t="s">
        <v>267</v>
      </c>
      <c r="C21" s="357">
        <v>15000000</v>
      </c>
      <c r="D21" s="357"/>
      <c r="E21" s="378"/>
      <c r="F21" s="375">
        <f t="shared" si="67"/>
        <v>15000000</v>
      </c>
      <c r="G21" s="182">
        <v>15000000</v>
      </c>
      <c r="H21" s="27">
        <v>0</v>
      </c>
      <c r="I21" s="27">
        <v>0</v>
      </c>
      <c r="J21" s="27">
        <v>0</v>
      </c>
      <c r="K21" s="27">
        <v>2528715.5</v>
      </c>
      <c r="L21" s="27">
        <v>6511202.5</v>
      </c>
      <c r="M21" s="27">
        <v>0</v>
      </c>
      <c r="N21" s="27">
        <v>0</v>
      </c>
      <c r="O21" s="27">
        <v>0</v>
      </c>
      <c r="P21" s="27">
        <v>0</v>
      </c>
      <c r="Q21" s="27">
        <v>5960082</v>
      </c>
      <c r="R21" s="183">
        <v>0</v>
      </c>
      <c r="S21" s="183">
        <v>0</v>
      </c>
      <c r="T21" s="27">
        <f t="shared" si="72"/>
        <v>15000000</v>
      </c>
      <c r="U21" s="48">
        <f t="shared" si="69"/>
        <v>15000000</v>
      </c>
      <c r="V21" s="391">
        <f t="shared" si="70"/>
        <v>15000000</v>
      </c>
      <c r="W21" s="391">
        <f t="shared" si="18"/>
        <v>0</v>
      </c>
      <c r="Y21" s="27"/>
      <c r="Z21" s="27">
        <v>6800500</v>
      </c>
      <c r="AA21" s="27">
        <v>7247600</v>
      </c>
      <c r="AB21" s="27">
        <v>1571100</v>
      </c>
      <c r="AC21" s="27">
        <v>1131500</v>
      </c>
      <c r="AD21" s="27">
        <v>226500</v>
      </c>
      <c r="AE21" s="27">
        <v>226000</v>
      </c>
      <c r="AF21" s="27">
        <v>904000</v>
      </c>
      <c r="AG21" s="27">
        <v>7948500</v>
      </c>
      <c r="AH21" s="27">
        <v>3621000</v>
      </c>
      <c r="AI21" s="27"/>
      <c r="AJ21" s="27">
        <f t="shared" si="73"/>
        <v>29676700</v>
      </c>
      <c r="AK21" s="31">
        <v>17203200</v>
      </c>
      <c r="AM21" s="79" t="e">
        <f t="shared" si="2"/>
        <v>#DIV/0!</v>
      </c>
      <c r="AN21" s="79" t="e">
        <f t="shared" si="3"/>
        <v>#DIV/0!</v>
      </c>
      <c r="AO21" s="79" t="e">
        <f t="shared" si="4"/>
        <v>#DIV/0!</v>
      </c>
      <c r="AP21" s="79">
        <f t="shared" si="5"/>
        <v>-0.37869641721261249</v>
      </c>
      <c r="AQ21" s="79">
        <f t="shared" si="6"/>
        <v>-0.82622257563023116</v>
      </c>
      <c r="AR21" s="79" t="e">
        <f t="shared" si="7"/>
        <v>#DIV/0!</v>
      </c>
      <c r="AS21" s="79" t="e">
        <f t="shared" si="8"/>
        <v>#DIV/0!</v>
      </c>
      <c r="AT21" s="79" t="e">
        <f t="shared" si="9"/>
        <v>#DIV/0!</v>
      </c>
      <c r="AU21" s="79" t="e">
        <f t="shared" si="10"/>
        <v>#DIV/0!</v>
      </c>
      <c r="AV21" s="79">
        <f t="shared" si="11"/>
        <v>-0.39245802322853945</v>
      </c>
      <c r="AW21" s="79">
        <f t="shared" si="66"/>
        <v>0.97844666666666669</v>
      </c>
      <c r="AY21" s="351" t="s">
        <v>266</v>
      </c>
      <c r="AZ21" s="352" t="s">
        <v>267</v>
      </c>
    </row>
    <row r="22" spans="1:52" s="49" customFormat="1" x14ac:dyDescent="0.25">
      <c r="A22" s="351" t="s">
        <v>268</v>
      </c>
      <c r="B22" s="352" t="s">
        <v>269</v>
      </c>
      <c r="C22" s="357">
        <v>940383717</v>
      </c>
      <c r="D22" s="357"/>
      <c r="E22" s="378"/>
      <c r="F22" s="375">
        <f t="shared" si="67"/>
        <v>940383717</v>
      </c>
      <c r="G22" s="182">
        <v>940383716.99999988</v>
      </c>
      <c r="H22" s="27">
        <v>248559531.55000001</v>
      </c>
      <c r="I22" s="27">
        <v>0</v>
      </c>
      <c r="J22" s="27">
        <v>163453296.92999998</v>
      </c>
      <c r="K22" s="27">
        <v>19393010.879999999</v>
      </c>
      <c r="L22" s="27">
        <v>19393010.879999999</v>
      </c>
      <c r="M22" s="27">
        <v>252999665.93000001</v>
      </c>
      <c r="N22" s="27">
        <v>14952876.5</v>
      </c>
      <c r="O22" s="27">
        <v>148500415.22999999</v>
      </c>
      <c r="P22" s="27">
        <v>34345887.380000003</v>
      </c>
      <c r="Q22" s="27">
        <v>19393010.879999999</v>
      </c>
      <c r="R22" s="183">
        <v>19393010.84</v>
      </c>
      <c r="S22" s="183">
        <v>0</v>
      </c>
      <c r="T22" s="27">
        <f t="shared" si="72"/>
        <v>920990706.16000009</v>
      </c>
      <c r="U22" s="48">
        <f t="shared" si="69"/>
        <v>940383717.00000012</v>
      </c>
      <c r="V22" s="391">
        <f t="shared" si="70"/>
        <v>940383717</v>
      </c>
      <c r="W22" s="391">
        <f t="shared" si="18"/>
        <v>0</v>
      </c>
      <c r="Y22" s="27">
        <v>122964869</v>
      </c>
      <c r="Z22" s="27">
        <v>84575668</v>
      </c>
      <c r="AA22" s="27">
        <v>8778529</v>
      </c>
      <c r="AB22" s="27"/>
      <c r="AC22" s="27"/>
      <c r="AD22" s="27">
        <v>20409361</v>
      </c>
      <c r="AE22" s="27">
        <v>236679644</v>
      </c>
      <c r="AF22" s="27">
        <f>1458648674-729324337</f>
        <v>729324337</v>
      </c>
      <c r="AG22" s="27"/>
      <c r="AH22" s="27">
        <v>11411439</v>
      </c>
      <c r="AI22" s="27"/>
      <c r="AJ22" s="27">
        <f t="shared" si="73"/>
        <v>1214143847</v>
      </c>
      <c r="AK22" s="31">
        <v>473408071</v>
      </c>
      <c r="AM22" s="79">
        <f t="shared" si="2"/>
        <v>-0.50529006780307484</v>
      </c>
      <c r="AN22" s="79" t="e">
        <f t="shared" si="3"/>
        <v>#DIV/0!</v>
      </c>
      <c r="AO22" s="79">
        <f t="shared" si="4"/>
        <v>-0.94629335005852178</v>
      </c>
      <c r="AP22" s="79">
        <f t="shared" si="5"/>
        <v>-1</v>
      </c>
      <c r="AQ22" s="79">
        <f t="shared" si="6"/>
        <v>-1</v>
      </c>
      <c r="AR22" s="79">
        <f t="shared" si="7"/>
        <v>-0.91933048241396942</v>
      </c>
      <c r="AS22" s="79">
        <f t="shared" si="8"/>
        <v>14.828368809171934</v>
      </c>
      <c r="AT22" s="79">
        <f t="shared" si="9"/>
        <v>3.9112612639527637</v>
      </c>
      <c r="AU22" s="79">
        <f t="shared" si="10"/>
        <v>-1</v>
      </c>
      <c r="AV22" s="79">
        <f t="shared" si="11"/>
        <v>-0.4115695045698855</v>
      </c>
      <c r="AW22" s="79">
        <f t="shared" si="66"/>
        <v>0.31830195340654349</v>
      </c>
      <c r="AY22" s="351" t="s">
        <v>268</v>
      </c>
      <c r="AZ22" s="352" t="s">
        <v>269</v>
      </c>
    </row>
    <row r="23" spans="1:52" s="49" customFormat="1" x14ac:dyDescent="0.25">
      <c r="A23" s="351" t="s">
        <v>270</v>
      </c>
      <c r="B23" s="352" t="s">
        <v>271</v>
      </c>
      <c r="C23" s="357">
        <v>74160000</v>
      </c>
      <c r="D23" s="357"/>
      <c r="E23" s="378"/>
      <c r="F23" s="375">
        <f t="shared" si="67"/>
        <v>74160000</v>
      </c>
      <c r="G23" s="182">
        <v>74160000</v>
      </c>
      <c r="H23" s="27">
        <v>26391880.100000001</v>
      </c>
      <c r="I23" s="27">
        <v>11011778.199999999</v>
      </c>
      <c r="J23" s="27">
        <v>1254163.5</v>
      </c>
      <c r="K23" s="27">
        <v>1254163.5</v>
      </c>
      <c r="L23" s="27">
        <v>20703637.200000003</v>
      </c>
      <c r="M23" s="27">
        <v>8527723.5</v>
      </c>
      <c r="N23" s="27">
        <v>0</v>
      </c>
      <c r="O23" s="27">
        <v>1254163.5</v>
      </c>
      <c r="P23" s="27">
        <v>1254163.5</v>
      </c>
      <c r="Q23" s="27">
        <v>1254163.5</v>
      </c>
      <c r="R23" s="183">
        <v>1254163.5</v>
      </c>
      <c r="S23" s="183">
        <v>0</v>
      </c>
      <c r="T23" s="27">
        <f t="shared" si="72"/>
        <v>72905836.5</v>
      </c>
      <c r="U23" s="48">
        <f t="shared" si="69"/>
        <v>74160000</v>
      </c>
      <c r="V23" s="391">
        <f t="shared" si="70"/>
        <v>74160000</v>
      </c>
      <c r="W23" s="391">
        <f t="shared" si="18"/>
        <v>0</v>
      </c>
      <c r="Y23" s="27">
        <v>388450</v>
      </c>
      <c r="Z23" s="27">
        <v>1976800</v>
      </c>
      <c r="AA23" s="27">
        <v>2307700</v>
      </c>
      <c r="AB23" s="27"/>
      <c r="AC23" s="27">
        <v>219600</v>
      </c>
      <c r="AD23" s="27">
        <v>220000</v>
      </c>
      <c r="AE23" s="27">
        <v>2628064</v>
      </c>
      <c r="AF23" s="27">
        <v>2179200</v>
      </c>
      <c r="AG23" s="27">
        <v>2636800</v>
      </c>
      <c r="AH23" s="27">
        <v>1150000</v>
      </c>
      <c r="AI23" s="27"/>
      <c r="AJ23" s="27">
        <f t="shared" si="73"/>
        <v>13706614</v>
      </c>
      <c r="AK23" s="31">
        <v>7740614</v>
      </c>
      <c r="AM23" s="79">
        <f t="shared" si="2"/>
        <v>-0.98528145783748089</v>
      </c>
      <c r="AN23" s="79">
        <f t="shared" si="3"/>
        <v>-0.82048312596779327</v>
      </c>
      <c r="AO23" s="79">
        <f t="shared" si="4"/>
        <v>0.84003122399910379</v>
      </c>
      <c r="AP23" s="79">
        <f t="shared" si="5"/>
        <v>-1</v>
      </c>
      <c r="AQ23" s="79">
        <f t="shared" si="6"/>
        <v>-0.98939316807580069</v>
      </c>
      <c r="AR23" s="79">
        <f t="shared" si="7"/>
        <v>-0.97420179019641051</v>
      </c>
      <c r="AS23" s="79" t="e">
        <f t="shared" si="8"/>
        <v>#DIV/0!</v>
      </c>
      <c r="AT23" s="79">
        <f t="shared" si="9"/>
        <v>0.73757249353852194</v>
      </c>
      <c r="AU23" s="79">
        <f t="shared" si="10"/>
        <v>1.1024372021670221</v>
      </c>
      <c r="AV23" s="79">
        <f t="shared" si="11"/>
        <v>-8.3054163193235969E-2</v>
      </c>
      <c r="AW23" s="79">
        <f t="shared" si="66"/>
        <v>-0.81199565551929442</v>
      </c>
      <c r="AY23" s="351" t="s">
        <v>270</v>
      </c>
      <c r="AZ23" s="352" t="s">
        <v>271</v>
      </c>
    </row>
    <row r="24" spans="1:52" s="49" customFormat="1" x14ac:dyDescent="0.25">
      <c r="A24" s="347" t="s">
        <v>272</v>
      </c>
      <c r="B24" s="348" t="s">
        <v>273</v>
      </c>
      <c r="C24" s="355">
        <f>+C25+C31+C36</f>
        <v>9796488332</v>
      </c>
      <c r="D24" s="355">
        <f t="shared" ref="D24:F24" si="74">+D25+D31+D36</f>
        <v>0</v>
      </c>
      <c r="E24" s="355">
        <f t="shared" si="74"/>
        <v>0</v>
      </c>
      <c r="F24" s="355">
        <f t="shared" si="74"/>
        <v>9796488332</v>
      </c>
      <c r="G24" s="180">
        <f t="shared" ref="G24:S24" si="75">+G25+G31+G36</f>
        <v>9796488332</v>
      </c>
      <c r="H24" s="82">
        <f t="shared" si="75"/>
        <v>399393045.33333337</v>
      </c>
      <c r="I24" s="82">
        <f t="shared" si="75"/>
        <v>2076401489.5833333</v>
      </c>
      <c r="J24" s="82">
        <f t="shared" si="75"/>
        <v>2088617884.3033335</v>
      </c>
      <c r="K24" s="82">
        <f t="shared" si="75"/>
        <v>92159496.783333331</v>
      </c>
      <c r="L24" s="82">
        <f t="shared" si="75"/>
        <v>117670971.38333334</v>
      </c>
      <c r="M24" s="82">
        <f t="shared" si="75"/>
        <v>624107203.33333325</v>
      </c>
      <c r="N24" s="82">
        <f t="shared" si="75"/>
        <v>1376415537.5833335</v>
      </c>
      <c r="O24" s="82">
        <f t="shared" si="75"/>
        <v>2374105429.8633332</v>
      </c>
      <c r="P24" s="82">
        <f t="shared" si="75"/>
        <v>403023071.48333335</v>
      </c>
      <c r="Q24" s="82">
        <f t="shared" si="75"/>
        <v>58982640.783333331</v>
      </c>
      <c r="R24" s="82">
        <f t="shared" si="75"/>
        <v>136098758.23333335</v>
      </c>
      <c r="S24" s="82">
        <f t="shared" si="75"/>
        <v>49512803.333333336</v>
      </c>
      <c r="T24" s="82">
        <f t="shared" si="72"/>
        <v>9610876770.4333324</v>
      </c>
      <c r="U24" s="48">
        <f t="shared" si="69"/>
        <v>9796488332</v>
      </c>
      <c r="V24" s="391">
        <f t="shared" si="70"/>
        <v>9796488332</v>
      </c>
      <c r="W24" s="391">
        <f t="shared" si="18"/>
        <v>0</v>
      </c>
      <c r="Y24" s="82">
        <f t="shared" ref="Y24:AK24" si="76">+Y25+Y31+Y36</f>
        <v>216274029</v>
      </c>
      <c r="Z24" s="82">
        <f t="shared" ref="Z24:AG24" si="77">+Z25+Z31+Z36</f>
        <v>2061273760</v>
      </c>
      <c r="AA24" s="82">
        <f t="shared" si="77"/>
        <v>1473830469</v>
      </c>
      <c r="AB24" s="82">
        <f t="shared" si="77"/>
        <v>138801370</v>
      </c>
      <c r="AC24" s="82">
        <f t="shared" si="77"/>
        <v>125112832</v>
      </c>
      <c r="AD24" s="82">
        <f t="shared" si="77"/>
        <v>230763417</v>
      </c>
      <c r="AE24" s="82">
        <f t="shared" si="77"/>
        <v>134520159</v>
      </c>
      <c r="AF24" s="82">
        <f t="shared" si="77"/>
        <v>1253775559</v>
      </c>
      <c r="AG24" s="82">
        <f t="shared" si="77"/>
        <v>1535830089</v>
      </c>
      <c r="AH24" s="82">
        <v>880841625</v>
      </c>
      <c r="AI24" s="82"/>
      <c r="AJ24" s="82">
        <f t="shared" si="73"/>
        <v>8051023309</v>
      </c>
      <c r="AK24" s="82">
        <f t="shared" si="76"/>
        <v>4380576036</v>
      </c>
      <c r="AM24" s="79">
        <f t="shared" si="2"/>
        <v>-0.45849325238125332</v>
      </c>
      <c r="AN24" s="79">
        <f t="shared" si="3"/>
        <v>-7.2855513055757343E-3</v>
      </c>
      <c r="AO24" s="79">
        <f t="shared" si="4"/>
        <v>-0.29435131237919004</v>
      </c>
      <c r="AP24" s="79">
        <f t="shared" si="5"/>
        <v>0.50609947802038846</v>
      </c>
      <c r="AQ24" s="79">
        <f t="shared" si="6"/>
        <v>6.3242960682490884E-2</v>
      </c>
      <c r="AR24" s="79">
        <f t="shared" si="7"/>
        <v>-0.63025035479882108</v>
      </c>
      <c r="AS24" s="79">
        <f t="shared" si="8"/>
        <v>-0.90226777064999852</v>
      </c>
      <c r="AT24" s="79">
        <f t="shared" si="9"/>
        <v>-0.47189558507847129</v>
      </c>
      <c r="AU24" s="79">
        <f t="shared" si="10"/>
        <v>2.8107746123499853</v>
      </c>
      <c r="AV24" s="79">
        <f t="shared" si="11"/>
        <v>13.933912983579036</v>
      </c>
      <c r="AW24" s="79">
        <f t="shared" si="66"/>
        <v>-0.16230084920368845</v>
      </c>
      <c r="AY24" s="347" t="s">
        <v>272</v>
      </c>
      <c r="AZ24" s="348" t="s">
        <v>273</v>
      </c>
    </row>
    <row r="25" spans="1:52" s="49" customFormat="1" x14ac:dyDescent="0.25">
      <c r="A25" s="349" t="s">
        <v>274</v>
      </c>
      <c r="B25" s="350" t="s">
        <v>275</v>
      </c>
      <c r="C25" s="356">
        <f>SUM(C26:C30)</f>
        <v>4983476830</v>
      </c>
      <c r="D25" s="356">
        <f t="shared" ref="D25:F25" si="78">SUM(D26:D30)</f>
        <v>0</v>
      </c>
      <c r="E25" s="356">
        <f t="shared" si="78"/>
        <v>0</v>
      </c>
      <c r="F25" s="356">
        <f t="shared" si="78"/>
        <v>4983476830</v>
      </c>
      <c r="G25" s="180">
        <f t="shared" ref="G25:S25" si="79">+G26+G27+G28+G29+G30</f>
        <v>4983476831</v>
      </c>
      <c r="H25" s="82">
        <f t="shared" si="79"/>
        <v>76453600.333333343</v>
      </c>
      <c r="I25" s="82">
        <f t="shared" si="79"/>
        <v>1180110405.0833333</v>
      </c>
      <c r="J25" s="82">
        <f t="shared" si="79"/>
        <v>987812066.08333337</v>
      </c>
      <c r="K25" s="82">
        <f t="shared" si="79"/>
        <v>92159496.783333331</v>
      </c>
      <c r="L25" s="82">
        <f t="shared" si="79"/>
        <v>117670971.38333334</v>
      </c>
      <c r="M25" s="82">
        <f t="shared" si="79"/>
        <v>327074763.33333331</v>
      </c>
      <c r="N25" s="82">
        <f t="shared" si="79"/>
        <v>650661312.08333337</v>
      </c>
      <c r="O25" s="82">
        <f t="shared" si="79"/>
        <v>1142086402.0833333</v>
      </c>
      <c r="P25" s="82">
        <f t="shared" si="79"/>
        <v>171996611.48333335</v>
      </c>
      <c r="Q25" s="82">
        <f t="shared" si="79"/>
        <v>58982640.783333331</v>
      </c>
      <c r="R25" s="82">
        <f t="shared" si="79"/>
        <v>128955758.23333335</v>
      </c>
      <c r="S25" s="82">
        <f t="shared" si="79"/>
        <v>49512803.333333336</v>
      </c>
      <c r="T25" s="82">
        <f t="shared" si="72"/>
        <v>4805008269.4333344</v>
      </c>
      <c r="U25" s="48">
        <f t="shared" si="69"/>
        <v>4983476831.000001</v>
      </c>
      <c r="V25" s="391">
        <f t="shared" si="70"/>
        <v>4983476830</v>
      </c>
      <c r="W25" s="391">
        <f t="shared" si="18"/>
        <v>0</v>
      </c>
      <c r="Y25" s="82">
        <f t="shared" ref="Y25:AK25" si="80">+Y26+Y27+Y28+Y29+Y30</f>
        <v>165580105</v>
      </c>
      <c r="Z25" s="82">
        <f t="shared" ref="Z25:AG25" si="81">+Z26+Z27+Z28+Z29+Z30</f>
        <v>1189579316</v>
      </c>
      <c r="AA25" s="82">
        <f t="shared" si="81"/>
        <v>588422711</v>
      </c>
      <c r="AB25" s="82">
        <f t="shared" si="81"/>
        <v>13613684</v>
      </c>
      <c r="AC25" s="82">
        <f t="shared" si="81"/>
        <v>33743962</v>
      </c>
      <c r="AD25" s="82">
        <f t="shared" si="81"/>
        <v>54204627</v>
      </c>
      <c r="AE25" s="82">
        <f t="shared" si="81"/>
        <v>65769761</v>
      </c>
      <c r="AF25" s="82">
        <f t="shared" si="81"/>
        <v>668787274</v>
      </c>
      <c r="AG25" s="82">
        <f t="shared" si="81"/>
        <v>665381325</v>
      </c>
      <c r="AH25" s="82">
        <v>415534614</v>
      </c>
      <c r="AI25" s="82"/>
      <c r="AJ25" s="82">
        <f t="shared" si="73"/>
        <v>3860617379</v>
      </c>
      <c r="AK25" s="82">
        <f t="shared" si="80"/>
        <v>2110914166</v>
      </c>
      <c r="AM25" s="79">
        <f t="shared" si="2"/>
        <v>1.1657594184980193</v>
      </c>
      <c r="AN25" s="79">
        <f t="shared" si="3"/>
        <v>8.0237500456561955E-3</v>
      </c>
      <c r="AO25" s="79">
        <f t="shared" si="4"/>
        <v>-0.4043171457369506</v>
      </c>
      <c r="AP25" s="79">
        <f t="shared" si="5"/>
        <v>-0.85228126807152904</v>
      </c>
      <c r="AQ25" s="79">
        <f t="shared" si="6"/>
        <v>-0.71323461000357291</v>
      </c>
      <c r="AR25" s="79">
        <f t="shared" si="7"/>
        <v>-0.83427450516945523</v>
      </c>
      <c r="AS25" s="79">
        <f t="shared" si="8"/>
        <v>-0.89891859285530018</v>
      </c>
      <c r="AT25" s="79">
        <f t="shared" si="9"/>
        <v>-0.41441621861530453</v>
      </c>
      <c r="AU25" s="79">
        <f t="shared" si="10"/>
        <v>2.8685722890795216</v>
      </c>
      <c r="AV25" s="79">
        <f t="shared" si="11"/>
        <v>6.0450323770077325</v>
      </c>
      <c r="AW25" s="79">
        <f t="shared" si="66"/>
        <v>-0.19654303124533615</v>
      </c>
      <c r="AY25" s="349" t="s">
        <v>274</v>
      </c>
      <c r="AZ25" s="350" t="s">
        <v>275</v>
      </c>
    </row>
    <row r="26" spans="1:52" s="49" customFormat="1" x14ac:dyDescent="0.25">
      <c r="A26" s="351" t="s">
        <v>276</v>
      </c>
      <c r="B26" s="352" t="s">
        <v>249</v>
      </c>
      <c r="C26" s="357">
        <v>176410005</v>
      </c>
      <c r="D26" s="357"/>
      <c r="E26" s="378"/>
      <c r="F26" s="375">
        <f t="shared" si="67"/>
        <v>176410005</v>
      </c>
      <c r="G26" s="182">
        <v>176410006</v>
      </c>
      <c r="H26" s="27">
        <v>26940797</v>
      </c>
      <c r="I26" s="27">
        <v>16600000</v>
      </c>
      <c r="J26" s="27">
        <v>4855797</v>
      </c>
      <c r="K26" s="27">
        <v>9469837.4499999993</v>
      </c>
      <c r="L26" s="27">
        <v>26231071.050000001</v>
      </c>
      <c r="M26" s="27">
        <v>21163000</v>
      </c>
      <c r="N26" s="27">
        <v>9000000</v>
      </c>
      <c r="O26" s="27">
        <v>8770000</v>
      </c>
      <c r="P26" s="27">
        <v>6393808.1499999994</v>
      </c>
      <c r="Q26" s="27">
        <v>9469837.4499999993</v>
      </c>
      <c r="R26" s="183">
        <v>37515857.900000006</v>
      </c>
      <c r="S26" s="183">
        <v>0</v>
      </c>
      <c r="T26" s="27">
        <f t="shared" si="72"/>
        <v>138894148.09999999</v>
      </c>
      <c r="U26" s="48">
        <f t="shared" si="69"/>
        <v>176410006</v>
      </c>
      <c r="V26" s="391">
        <f t="shared" si="70"/>
        <v>176410005</v>
      </c>
      <c r="W26" s="391">
        <f t="shared" si="18"/>
        <v>0</v>
      </c>
      <c r="Y26" s="27">
        <v>41052000</v>
      </c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>
        <f t="shared" si="73"/>
        <v>41052000</v>
      </c>
      <c r="AK26" s="31">
        <v>41052000</v>
      </c>
      <c r="AM26" s="79">
        <f t="shared" si="2"/>
        <v>0.5237856548935802</v>
      </c>
      <c r="AN26" s="79">
        <f t="shared" si="3"/>
        <v>-1</v>
      </c>
      <c r="AO26" s="79">
        <f t="shared" si="4"/>
        <v>-1</v>
      </c>
      <c r="AP26" s="79">
        <f t="shared" si="5"/>
        <v>-1</v>
      </c>
      <c r="AQ26" s="79">
        <f t="shared" si="6"/>
        <v>-1</v>
      </c>
      <c r="AR26" s="79">
        <f t="shared" si="7"/>
        <v>-1</v>
      </c>
      <c r="AS26" s="79">
        <f t="shared" si="8"/>
        <v>-1</v>
      </c>
      <c r="AT26" s="79">
        <f t="shared" si="9"/>
        <v>-1</v>
      </c>
      <c r="AU26" s="79">
        <f t="shared" si="10"/>
        <v>-1</v>
      </c>
      <c r="AV26" s="79">
        <f t="shared" si="11"/>
        <v>-1</v>
      </c>
      <c r="AW26" s="79">
        <f t="shared" si="66"/>
        <v>-0.70443679189101849</v>
      </c>
      <c r="AY26" s="351" t="s">
        <v>276</v>
      </c>
      <c r="AZ26" s="352" t="s">
        <v>249</v>
      </c>
    </row>
    <row r="27" spans="1:52" s="49" customFormat="1" x14ac:dyDescent="0.25">
      <c r="A27" s="351" t="s">
        <v>277</v>
      </c>
      <c r="B27" s="352" t="s">
        <v>251</v>
      </c>
      <c r="C27" s="357">
        <v>4000596877</v>
      </c>
      <c r="D27" s="357"/>
      <c r="E27" s="378"/>
      <c r="F27" s="375">
        <f t="shared" si="67"/>
        <v>4000596877</v>
      </c>
      <c r="G27" s="182">
        <v>4000596877</v>
      </c>
      <c r="H27" s="27">
        <v>0</v>
      </c>
      <c r="I27" s="27">
        <v>1101712601.75</v>
      </c>
      <c r="J27" s="27">
        <v>881997408.75</v>
      </c>
      <c r="K27" s="27">
        <v>33176856</v>
      </c>
      <c r="L27" s="27">
        <v>0</v>
      </c>
      <c r="M27" s="27">
        <v>250000000</v>
      </c>
      <c r="N27" s="27">
        <v>582743508.75</v>
      </c>
      <c r="O27" s="27">
        <v>1034876501.75</v>
      </c>
      <c r="P27" s="27">
        <v>116090000</v>
      </c>
      <c r="Q27" s="27">
        <v>0</v>
      </c>
      <c r="R27" s="183">
        <v>0</v>
      </c>
      <c r="S27" s="183">
        <v>0</v>
      </c>
      <c r="T27" s="27">
        <f t="shared" si="72"/>
        <v>4000596877</v>
      </c>
      <c r="U27" s="48">
        <f t="shared" si="69"/>
        <v>4000596877</v>
      </c>
      <c r="V27" s="391">
        <f t="shared" si="70"/>
        <v>4000596877</v>
      </c>
      <c r="W27" s="391">
        <f t="shared" si="18"/>
        <v>0</v>
      </c>
      <c r="Y27" s="27">
        <v>15642733</v>
      </c>
      <c r="Z27" s="27">
        <v>1168655650</v>
      </c>
      <c r="AA27" s="27">
        <v>588422711</v>
      </c>
      <c r="AB27" s="27">
        <v>13611084</v>
      </c>
      <c r="AC27" s="27">
        <v>12799962</v>
      </c>
      <c r="AD27" s="27">
        <v>48016627</v>
      </c>
      <c r="AE27" s="27">
        <v>62765986</v>
      </c>
      <c r="AF27" s="27">
        <v>537713850</v>
      </c>
      <c r="AG27" s="27">
        <v>551785967</v>
      </c>
      <c r="AH27" s="27">
        <v>413630614</v>
      </c>
      <c r="AI27" s="27"/>
      <c r="AJ27" s="27">
        <f t="shared" si="73"/>
        <v>3413045184</v>
      </c>
      <c r="AK27" s="31">
        <v>1909914753</v>
      </c>
      <c r="AM27" s="79" t="e">
        <f t="shared" si="2"/>
        <v>#DIV/0!</v>
      </c>
      <c r="AN27" s="79">
        <f t="shared" si="3"/>
        <v>6.0762714471691848E-2</v>
      </c>
      <c r="AO27" s="79">
        <f t="shared" si="4"/>
        <v>-0.33285210913041696</v>
      </c>
      <c r="AP27" s="79">
        <f t="shared" si="5"/>
        <v>-0.58974159576784491</v>
      </c>
      <c r="AQ27" s="79" t="e">
        <f t="shared" si="6"/>
        <v>#DIV/0!</v>
      </c>
      <c r="AR27" s="79">
        <f t="shared" si="7"/>
        <v>-0.80793349199999998</v>
      </c>
      <c r="AS27" s="79">
        <f t="shared" si="8"/>
        <v>-0.89229226056136657</v>
      </c>
      <c r="AT27" s="79">
        <f t="shared" si="9"/>
        <v>-0.48040771136390331</v>
      </c>
      <c r="AU27" s="79">
        <f t="shared" si="10"/>
        <v>3.7530878370229992</v>
      </c>
      <c r="AV27" s="79" t="e">
        <f t="shared" si="11"/>
        <v>#DIV/0!</v>
      </c>
      <c r="AW27" s="79">
        <f t="shared" si="66"/>
        <v>-0.14686600801443359</v>
      </c>
      <c r="AY27" s="351" t="s">
        <v>277</v>
      </c>
      <c r="AZ27" s="352" t="s">
        <v>251</v>
      </c>
    </row>
    <row r="28" spans="1:52" s="49" customFormat="1" x14ac:dyDescent="0.25">
      <c r="A28" s="351" t="s">
        <v>278</v>
      </c>
      <c r="B28" s="352" t="s">
        <v>279</v>
      </c>
      <c r="C28" s="357">
        <v>594153640</v>
      </c>
      <c r="D28" s="357"/>
      <c r="E28" s="378"/>
      <c r="F28" s="375">
        <f t="shared" si="67"/>
        <v>594153640</v>
      </c>
      <c r="G28" s="182">
        <v>594153640</v>
      </c>
      <c r="H28" s="27">
        <v>49512803.333333336</v>
      </c>
      <c r="I28" s="27">
        <v>49512803.333333336</v>
      </c>
      <c r="J28" s="27">
        <v>49512803.333333336</v>
      </c>
      <c r="K28" s="27">
        <v>49512803.333333336</v>
      </c>
      <c r="L28" s="27">
        <v>49512803.333333336</v>
      </c>
      <c r="M28" s="27">
        <v>49512803.333333336</v>
      </c>
      <c r="N28" s="27">
        <v>49512803.333333336</v>
      </c>
      <c r="O28" s="27">
        <v>49512803.333333336</v>
      </c>
      <c r="P28" s="27">
        <v>49512803.333333336</v>
      </c>
      <c r="Q28" s="27">
        <v>49512803.333333336</v>
      </c>
      <c r="R28" s="183">
        <v>49512803.333333336</v>
      </c>
      <c r="S28" s="183">
        <v>49512803.333333336</v>
      </c>
      <c r="T28" s="27">
        <f t="shared" si="72"/>
        <v>495128033.33333325</v>
      </c>
      <c r="U28" s="48">
        <f t="shared" si="69"/>
        <v>594153640</v>
      </c>
      <c r="V28" s="391">
        <f t="shared" si="70"/>
        <v>594153640</v>
      </c>
      <c r="W28" s="391">
        <f t="shared" si="18"/>
        <v>0</v>
      </c>
      <c r="Y28" s="27">
        <v>108885372</v>
      </c>
      <c r="Z28" s="27">
        <v>19311666</v>
      </c>
      <c r="AA28" s="27"/>
      <c r="AB28" s="27">
        <v>2600</v>
      </c>
      <c r="AC28" s="27"/>
      <c r="AD28" s="27"/>
      <c r="AE28" s="27"/>
      <c r="AF28" s="27">
        <v>54554483</v>
      </c>
      <c r="AG28" s="27">
        <v>104491122</v>
      </c>
      <c r="AH28" s="27"/>
      <c r="AI28" s="27"/>
      <c r="AJ28" s="27">
        <f t="shared" si="73"/>
        <v>287245243</v>
      </c>
      <c r="AK28" s="31">
        <v>128199638</v>
      </c>
      <c r="AM28" s="79">
        <f t="shared" si="2"/>
        <v>1.1991356713728119</v>
      </c>
      <c r="AN28" s="79">
        <f t="shared" si="3"/>
        <v>-0.60996621681893592</v>
      </c>
      <c r="AO28" s="79">
        <f t="shared" si="4"/>
        <v>-1</v>
      </c>
      <c r="AP28" s="79">
        <f t="shared" si="5"/>
        <v>-0.99994748832978619</v>
      </c>
      <c r="AQ28" s="79">
        <f t="shared" si="6"/>
        <v>-1</v>
      </c>
      <c r="AR28" s="79">
        <f t="shared" si="7"/>
        <v>-1</v>
      </c>
      <c r="AS28" s="79">
        <f t="shared" si="8"/>
        <v>-1</v>
      </c>
      <c r="AT28" s="79">
        <f t="shared" si="9"/>
        <v>0.10182577691520996</v>
      </c>
      <c r="AU28" s="79">
        <f t="shared" si="10"/>
        <v>1.110385899512456</v>
      </c>
      <c r="AV28" s="79">
        <f t="shared" si="11"/>
        <v>-1</v>
      </c>
      <c r="AW28" s="79">
        <f t="shared" si="66"/>
        <v>-0.41985663573482435</v>
      </c>
      <c r="AY28" s="351" t="s">
        <v>278</v>
      </c>
      <c r="AZ28" s="352" t="s">
        <v>279</v>
      </c>
    </row>
    <row r="29" spans="1:52" s="49" customFormat="1" x14ac:dyDescent="0.25">
      <c r="A29" s="351" t="s">
        <v>280</v>
      </c>
      <c r="B29" s="352" t="s">
        <v>281</v>
      </c>
      <c r="C29" s="357">
        <v>44607920</v>
      </c>
      <c r="D29" s="357"/>
      <c r="E29" s="378"/>
      <c r="F29" s="375">
        <f t="shared" si="67"/>
        <v>44607920</v>
      </c>
      <c r="G29" s="182">
        <v>44607920</v>
      </c>
      <c r="H29" s="27">
        <v>0</v>
      </c>
      <c r="I29" s="27">
        <v>12285000</v>
      </c>
      <c r="J29" s="27">
        <v>9518960</v>
      </c>
      <c r="K29" s="27">
        <v>0</v>
      </c>
      <c r="L29" s="27">
        <v>0</v>
      </c>
      <c r="M29" s="27">
        <v>6398960</v>
      </c>
      <c r="N29" s="27">
        <v>9405000</v>
      </c>
      <c r="O29" s="27">
        <v>7000000</v>
      </c>
      <c r="P29" s="27">
        <v>0</v>
      </c>
      <c r="Q29" s="27">
        <v>0</v>
      </c>
      <c r="R29" s="183">
        <v>0</v>
      </c>
      <c r="S29" s="183">
        <v>0</v>
      </c>
      <c r="T29" s="27">
        <f t="shared" si="72"/>
        <v>44607920</v>
      </c>
      <c r="U29" s="48">
        <f t="shared" si="69"/>
        <v>44607920</v>
      </c>
      <c r="V29" s="391">
        <f t="shared" si="70"/>
        <v>44607920</v>
      </c>
      <c r="W29" s="391">
        <f t="shared" si="18"/>
        <v>0</v>
      </c>
      <c r="Y29" s="27"/>
      <c r="Z29" s="27"/>
      <c r="AA29" s="27"/>
      <c r="AB29" s="27"/>
      <c r="AC29" s="27"/>
      <c r="AD29" s="27"/>
      <c r="AE29" s="27">
        <v>3003775</v>
      </c>
      <c r="AF29" s="27">
        <v>3214941</v>
      </c>
      <c r="AG29" s="27"/>
      <c r="AH29" s="27"/>
      <c r="AI29" s="27"/>
      <c r="AJ29" s="27">
        <f t="shared" si="73"/>
        <v>6218716</v>
      </c>
      <c r="AK29" s="31">
        <v>3003775</v>
      </c>
      <c r="AM29" s="79" t="e">
        <f t="shared" si="2"/>
        <v>#DIV/0!</v>
      </c>
      <c r="AN29" s="79">
        <f t="shared" si="3"/>
        <v>-1</v>
      </c>
      <c r="AO29" s="79">
        <f t="shared" si="4"/>
        <v>-1</v>
      </c>
      <c r="AP29" s="79" t="e">
        <f t="shared" si="5"/>
        <v>#DIV/0!</v>
      </c>
      <c r="AQ29" s="79" t="e">
        <f t="shared" si="6"/>
        <v>#DIV/0!</v>
      </c>
      <c r="AR29" s="79">
        <f t="shared" si="7"/>
        <v>-1</v>
      </c>
      <c r="AS29" s="79">
        <f t="shared" si="8"/>
        <v>-0.68061935140882512</v>
      </c>
      <c r="AT29" s="79">
        <f t="shared" si="9"/>
        <v>-0.54072271428571428</v>
      </c>
      <c r="AU29" s="79" t="e">
        <f t="shared" si="10"/>
        <v>#DIV/0!</v>
      </c>
      <c r="AV29" s="79" t="e">
        <f t="shared" si="11"/>
        <v>#DIV/0!</v>
      </c>
      <c r="AW29" s="79">
        <f t="shared" si="66"/>
        <v>-0.8605916617497521</v>
      </c>
      <c r="AY29" s="351" t="s">
        <v>280</v>
      </c>
      <c r="AZ29" s="352" t="s">
        <v>281</v>
      </c>
    </row>
    <row r="30" spans="1:52" s="49" customFormat="1" x14ac:dyDescent="0.25">
      <c r="A30" s="351" t="s">
        <v>282</v>
      </c>
      <c r="B30" s="352" t="s">
        <v>255</v>
      </c>
      <c r="C30" s="357">
        <v>167708388</v>
      </c>
      <c r="D30" s="357"/>
      <c r="E30" s="378"/>
      <c r="F30" s="375">
        <f t="shared" si="67"/>
        <v>167708388</v>
      </c>
      <c r="G30" s="182">
        <v>167708388</v>
      </c>
      <c r="H30" s="27">
        <v>0</v>
      </c>
      <c r="I30" s="27">
        <v>0</v>
      </c>
      <c r="J30" s="27">
        <v>41927097</v>
      </c>
      <c r="K30" s="27">
        <v>0</v>
      </c>
      <c r="L30" s="27">
        <v>41927097</v>
      </c>
      <c r="M30" s="27">
        <v>0</v>
      </c>
      <c r="N30" s="27">
        <v>0</v>
      </c>
      <c r="O30" s="27">
        <v>41927097</v>
      </c>
      <c r="P30" s="27">
        <v>0</v>
      </c>
      <c r="Q30" s="27">
        <v>0</v>
      </c>
      <c r="R30" s="183">
        <v>41927097</v>
      </c>
      <c r="S30" s="183">
        <v>0</v>
      </c>
      <c r="T30" s="27">
        <f t="shared" si="72"/>
        <v>125781291</v>
      </c>
      <c r="U30" s="48">
        <f t="shared" si="69"/>
        <v>167708388</v>
      </c>
      <c r="V30" s="391">
        <f t="shared" si="70"/>
        <v>167708388</v>
      </c>
      <c r="W30" s="391">
        <f t="shared" si="18"/>
        <v>0</v>
      </c>
      <c r="Y30" s="27"/>
      <c r="Z30" s="27">
        <v>1612000</v>
      </c>
      <c r="AA30" s="27"/>
      <c r="AB30" s="27"/>
      <c r="AC30" s="27">
        <v>20944000</v>
      </c>
      <c r="AD30" s="27">
        <v>6188000</v>
      </c>
      <c r="AE30" s="27"/>
      <c r="AF30" s="27">
        <v>73304000</v>
      </c>
      <c r="AG30" s="27">
        <v>9104236</v>
      </c>
      <c r="AH30" s="27">
        <v>1904000</v>
      </c>
      <c r="AI30" s="27"/>
      <c r="AJ30" s="27">
        <f t="shared" si="73"/>
        <v>113056236</v>
      </c>
      <c r="AK30" s="31">
        <v>28744000</v>
      </c>
      <c r="AM30" s="79" t="e">
        <f t="shared" si="2"/>
        <v>#DIV/0!</v>
      </c>
      <c r="AN30" s="79" t="e">
        <f t="shared" si="3"/>
        <v>#DIV/0!</v>
      </c>
      <c r="AO30" s="79">
        <f t="shared" si="4"/>
        <v>-1</v>
      </c>
      <c r="AP30" s="79" t="e">
        <f t="shared" si="5"/>
        <v>#DIV/0!</v>
      </c>
      <c r="AQ30" s="79">
        <f t="shared" si="6"/>
        <v>-0.50046624978590815</v>
      </c>
      <c r="AR30" s="79" t="e">
        <f t="shared" si="7"/>
        <v>#DIV/0!</v>
      </c>
      <c r="AS30" s="79" t="e">
        <f t="shared" si="8"/>
        <v>#DIV/0!</v>
      </c>
      <c r="AT30" s="79">
        <f t="shared" si="9"/>
        <v>0.74836812574932154</v>
      </c>
      <c r="AU30" s="79" t="e">
        <f t="shared" si="10"/>
        <v>#DIV/0!</v>
      </c>
      <c r="AV30" s="79" t="e">
        <f t="shared" si="11"/>
        <v>#DIV/0!</v>
      </c>
      <c r="AW30" s="79">
        <f t="shared" si="66"/>
        <v>-0.10116810615340242</v>
      </c>
      <c r="AY30" s="351" t="s">
        <v>282</v>
      </c>
      <c r="AZ30" s="352" t="s">
        <v>255</v>
      </c>
    </row>
    <row r="31" spans="1:52" s="49" customFormat="1" x14ac:dyDescent="0.25">
      <c r="A31" s="349" t="s">
        <v>283</v>
      </c>
      <c r="B31" s="350" t="s">
        <v>284</v>
      </c>
      <c r="C31" s="356">
        <f>SUM(C32:C35)</f>
        <v>3817074480</v>
      </c>
      <c r="D31" s="356">
        <f t="shared" ref="D31:F31" si="82">SUM(D32:D35)</f>
        <v>0</v>
      </c>
      <c r="E31" s="356">
        <f t="shared" si="82"/>
        <v>0</v>
      </c>
      <c r="F31" s="356">
        <f t="shared" si="82"/>
        <v>3817074480</v>
      </c>
      <c r="G31" s="180">
        <f t="shared" ref="G31:AK31" si="83">+G32+G33+G34+G35</f>
        <v>3817074479</v>
      </c>
      <c r="H31" s="51">
        <f t="shared" si="83"/>
        <v>322939445</v>
      </c>
      <c r="I31" s="51">
        <f t="shared" si="83"/>
        <v>896291084.5</v>
      </c>
      <c r="J31" s="51">
        <f t="shared" si="83"/>
        <v>694607875</v>
      </c>
      <c r="K31" s="51">
        <f t="shared" si="83"/>
        <v>0</v>
      </c>
      <c r="L31" s="51">
        <f t="shared" si="83"/>
        <v>0</v>
      </c>
      <c r="M31" s="51">
        <f t="shared" si="83"/>
        <v>161032440</v>
      </c>
      <c r="N31" s="51">
        <f t="shared" si="83"/>
        <v>725754225.5</v>
      </c>
      <c r="O31" s="51">
        <f t="shared" si="83"/>
        <v>778279949</v>
      </c>
      <c r="P31" s="51">
        <f t="shared" si="83"/>
        <v>231026460</v>
      </c>
      <c r="Q31" s="51">
        <f t="shared" si="83"/>
        <v>0</v>
      </c>
      <c r="R31" s="51">
        <f t="shared" si="83"/>
        <v>7143000</v>
      </c>
      <c r="S31" s="51">
        <f t="shared" si="83"/>
        <v>0</v>
      </c>
      <c r="T31" s="51">
        <f t="shared" si="72"/>
        <v>3809931479</v>
      </c>
      <c r="U31" s="48">
        <f t="shared" si="69"/>
        <v>3817074479</v>
      </c>
      <c r="V31" s="391">
        <f t="shared" si="70"/>
        <v>3817074480</v>
      </c>
      <c r="W31" s="391">
        <f t="shared" si="18"/>
        <v>0</v>
      </c>
      <c r="Y31" s="51">
        <f t="shared" si="83"/>
        <v>45318234</v>
      </c>
      <c r="Z31" s="51">
        <f t="shared" si="83"/>
        <v>664408025</v>
      </c>
      <c r="AA31" s="51">
        <f t="shared" si="83"/>
        <v>802407508</v>
      </c>
      <c r="AB31" s="51">
        <f t="shared" si="83"/>
        <v>125187686</v>
      </c>
      <c r="AC31" s="51">
        <f t="shared" si="83"/>
        <v>66626702</v>
      </c>
      <c r="AD31" s="51">
        <f t="shared" si="83"/>
        <v>62309121</v>
      </c>
      <c r="AE31" s="51">
        <f t="shared" si="83"/>
        <v>66154087</v>
      </c>
      <c r="AF31" s="51">
        <f t="shared" si="83"/>
        <v>385112045</v>
      </c>
      <c r="AG31" s="51">
        <f t="shared" si="83"/>
        <v>821608473</v>
      </c>
      <c r="AH31" s="51">
        <v>418687809</v>
      </c>
      <c r="AI31" s="51"/>
      <c r="AJ31" s="51">
        <f t="shared" si="73"/>
        <v>3457819690</v>
      </c>
      <c r="AK31" s="51">
        <f t="shared" si="83"/>
        <v>1832411363</v>
      </c>
      <c r="AM31" s="79">
        <f t="shared" si="2"/>
        <v>-0.85966956127022509</v>
      </c>
      <c r="AN31" s="79">
        <f t="shared" si="3"/>
        <v>-0.25871400877467948</v>
      </c>
      <c r="AO31" s="79">
        <f t="shared" si="4"/>
        <v>0.15519494794095157</v>
      </c>
      <c r="AP31" s="79" t="e">
        <f t="shared" si="5"/>
        <v>#DIV/0!</v>
      </c>
      <c r="AQ31" s="79" t="e">
        <f t="shared" si="6"/>
        <v>#DIV/0!</v>
      </c>
      <c r="AR31" s="79">
        <f t="shared" si="7"/>
        <v>-0.6130647899267998</v>
      </c>
      <c r="AS31" s="79">
        <f t="shared" si="8"/>
        <v>-0.90884781007726978</v>
      </c>
      <c r="AT31" s="79">
        <f t="shared" si="9"/>
        <v>-0.50517542499350709</v>
      </c>
      <c r="AU31" s="79">
        <f t="shared" si="10"/>
        <v>2.5563392738649937</v>
      </c>
      <c r="AV31" s="79" t="e">
        <f t="shared" si="11"/>
        <v>#DIV/0!</v>
      </c>
      <c r="AW31" s="79">
        <f t="shared" si="66"/>
        <v>-9.2419454507465179E-2</v>
      </c>
      <c r="AY31" s="349" t="s">
        <v>283</v>
      </c>
      <c r="AZ31" s="350" t="s">
        <v>284</v>
      </c>
    </row>
    <row r="32" spans="1:52" s="49" customFormat="1" x14ac:dyDescent="0.25">
      <c r="A32" s="351" t="s">
        <v>285</v>
      </c>
      <c r="B32" s="352" t="s">
        <v>249</v>
      </c>
      <c r="C32" s="357">
        <v>73640621</v>
      </c>
      <c r="D32" s="357"/>
      <c r="E32" s="378"/>
      <c r="F32" s="375">
        <f t="shared" si="67"/>
        <v>73640621</v>
      </c>
      <c r="G32" s="182">
        <v>73640620</v>
      </c>
      <c r="H32" s="27">
        <v>0</v>
      </c>
      <c r="I32" s="27">
        <v>31538310</v>
      </c>
      <c r="J32" s="27">
        <v>0</v>
      </c>
      <c r="K32" s="27">
        <v>0</v>
      </c>
      <c r="L32" s="27">
        <v>0</v>
      </c>
      <c r="M32" s="27">
        <v>1500000</v>
      </c>
      <c r="N32" s="27">
        <v>22489350</v>
      </c>
      <c r="O32" s="27">
        <v>2000000</v>
      </c>
      <c r="P32" s="27">
        <v>8969960</v>
      </c>
      <c r="Q32" s="27">
        <v>0</v>
      </c>
      <c r="R32" s="183">
        <v>7143000</v>
      </c>
      <c r="S32" s="183">
        <v>0</v>
      </c>
      <c r="T32" s="27">
        <f t="shared" si="72"/>
        <v>66497620</v>
      </c>
      <c r="U32" s="48">
        <f t="shared" si="69"/>
        <v>73640620</v>
      </c>
      <c r="V32" s="391">
        <f t="shared" si="70"/>
        <v>73640621</v>
      </c>
      <c r="W32" s="391">
        <f t="shared" si="18"/>
        <v>0</v>
      </c>
      <c r="Y32" s="27">
        <v>11119600</v>
      </c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>
        <f t="shared" si="73"/>
        <v>11119600</v>
      </c>
      <c r="AK32" s="31">
        <v>11119600</v>
      </c>
      <c r="AM32" s="79" t="e">
        <f t="shared" si="2"/>
        <v>#DIV/0!</v>
      </c>
      <c r="AN32" s="79">
        <f t="shared" si="3"/>
        <v>-1</v>
      </c>
      <c r="AO32" s="79" t="e">
        <f t="shared" si="4"/>
        <v>#DIV/0!</v>
      </c>
      <c r="AP32" s="79" t="e">
        <f t="shared" si="5"/>
        <v>#DIV/0!</v>
      </c>
      <c r="AQ32" s="79" t="e">
        <f t="shared" si="6"/>
        <v>#DIV/0!</v>
      </c>
      <c r="AR32" s="79">
        <f t="shared" si="7"/>
        <v>-1</v>
      </c>
      <c r="AS32" s="79">
        <f t="shared" si="8"/>
        <v>-1</v>
      </c>
      <c r="AT32" s="79">
        <f t="shared" si="9"/>
        <v>-1</v>
      </c>
      <c r="AU32" s="79">
        <f t="shared" si="10"/>
        <v>-1</v>
      </c>
      <c r="AV32" s="79" t="e">
        <f t="shared" si="11"/>
        <v>#DIV/0!</v>
      </c>
      <c r="AW32" s="79">
        <f t="shared" si="66"/>
        <v>-0.83278198528007463</v>
      </c>
      <c r="AY32" s="351" t="s">
        <v>285</v>
      </c>
      <c r="AZ32" s="352" t="s">
        <v>249</v>
      </c>
    </row>
    <row r="33" spans="1:52" s="49" customFormat="1" x14ac:dyDescent="0.25">
      <c r="A33" s="351" t="s">
        <v>286</v>
      </c>
      <c r="B33" s="352" t="s">
        <v>251</v>
      </c>
      <c r="C33" s="357">
        <v>3469054021</v>
      </c>
      <c r="D33" s="357"/>
      <c r="E33" s="378"/>
      <c r="F33" s="375">
        <f t="shared" si="67"/>
        <v>3469054021</v>
      </c>
      <c r="G33" s="182">
        <v>3469054021</v>
      </c>
      <c r="H33" s="27">
        <v>310948595</v>
      </c>
      <c r="I33" s="27">
        <v>776376940.5</v>
      </c>
      <c r="J33" s="27">
        <v>647201475</v>
      </c>
      <c r="K33" s="27">
        <v>0</v>
      </c>
      <c r="L33" s="27">
        <v>0</v>
      </c>
      <c r="M33" s="27">
        <v>149855760</v>
      </c>
      <c r="N33" s="27">
        <v>630719775.5</v>
      </c>
      <c r="O33" s="27">
        <v>731894975</v>
      </c>
      <c r="P33" s="27">
        <v>222056500</v>
      </c>
      <c r="Q33" s="27">
        <v>0</v>
      </c>
      <c r="R33" s="183">
        <v>0</v>
      </c>
      <c r="S33" s="183">
        <v>0</v>
      </c>
      <c r="T33" s="27">
        <f t="shared" si="72"/>
        <v>3469054021</v>
      </c>
      <c r="U33" s="48">
        <f t="shared" si="69"/>
        <v>3469054021</v>
      </c>
      <c r="V33" s="391">
        <f t="shared" si="70"/>
        <v>3469054021</v>
      </c>
      <c r="W33" s="391">
        <f t="shared" si="18"/>
        <v>0</v>
      </c>
      <c r="Y33" s="27">
        <v>34198634</v>
      </c>
      <c r="Z33" s="27">
        <v>664408025</v>
      </c>
      <c r="AA33" s="27">
        <v>802407508</v>
      </c>
      <c r="AB33" s="27">
        <v>125187686</v>
      </c>
      <c r="AC33" s="27">
        <v>66626702</v>
      </c>
      <c r="AD33" s="27">
        <v>62309121</v>
      </c>
      <c r="AE33" s="27">
        <v>64487841</v>
      </c>
      <c r="AF33" s="27">
        <v>385112045</v>
      </c>
      <c r="AG33" s="27">
        <v>821608473</v>
      </c>
      <c r="AH33" s="27">
        <v>418687809</v>
      </c>
      <c r="AI33" s="27"/>
      <c r="AJ33" s="27">
        <f t="shared" si="73"/>
        <v>3445033844</v>
      </c>
      <c r="AK33" s="31">
        <v>1819625517</v>
      </c>
      <c r="AM33" s="79">
        <f t="shared" si="2"/>
        <v>-0.89001836782700372</v>
      </c>
      <c r="AN33" s="79">
        <f t="shared" si="3"/>
        <v>-0.14421978508002842</v>
      </c>
      <c r="AO33" s="79">
        <f t="shared" si="4"/>
        <v>0.23981100012171636</v>
      </c>
      <c r="AP33" s="79" t="e">
        <f t="shared" si="5"/>
        <v>#DIV/0!</v>
      </c>
      <c r="AQ33" s="79" t="e">
        <f t="shared" si="6"/>
        <v>#DIV/0!</v>
      </c>
      <c r="AR33" s="79">
        <f t="shared" si="7"/>
        <v>-0.58420603252087211</v>
      </c>
      <c r="AS33" s="79">
        <f t="shared" si="8"/>
        <v>-0.89775516242712128</v>
      </c>
      <c r="AT33" s="79">
        <f t="shared" si="9"/>
        <v>-0.47381515360178555</v>
      </c>
      <c r="AU33" s="79">
        <f t="shared" si="10"/>
        <v>2.6999974015622152</v>
      </c>
      <c r="AV33" s="79" t="e">
        <f t="shared" si="11"/>
        <v>#DIV/0!</v>
      </c>
      <c r="AW33" s="79">
        <f t="shared" si="66"/>
        <v>-6.9241288416361617E-3</v>
      </c>
      <c r="AY33" s="351" t="s">
        <v>286</v>
      </c>
      <c r="AZ33" s="352" t="s">
        <v>251</v>
      </c>
    </row>
    <row r="34" spans="1:52" s="49" customFormat="1" x14ac:dyDescent="0.25">
      <c r="A34" s="351" t="s">
        <v>287</v>
      </c>
      <c r="B34" s="352" t="s">
        <v>279</v>
      </c>
      <c r="C34" s="357">
        <v>266109890</v>
      </c>
      <c r="D34" s="357"/>
      <c r="E34" s="378"/>
      <c r="F34" s="375">
        <f t="shared" si="67"/>
        <v>266109890</v>
      </c>
      <c r="G34" s="182">
        <v>266109890</v>
      </c>
      <c r="H34" s="27">
        <v>11570850</v>
      </c>
      <c r="I34" s="27">
        <v>85570860</v>
      </c>
      <c r="J34" s="27">
        <v>46286400</v>
      </c>
      <c r="K34" s="27">
        <v>0</v>
      </c>
      <c r="L34" s="27">
        <v>0</v>
      </c>
      <c r="M34" s="27">
        <v>9256680</v>
      </c>
      <c r="N34" s="27">
        <v>71425100</v>
      </c>
      <c r="O34" s="27">
        <v>42000000</v>
      </c>
      <c r="P34" s="27">
        <v>0</v>
      </c>
      <c r="Q34" s="27">
        <v>0</v>
      </c>
      <c r="R34" s="183">
        <v>0</v>
      </c>
      <c r="S34" s="183">
        <v>0</v>
      </c>
      <c r="T34" s="27">
        <f t="shared" si="72"/>
        <v>266109890</v>
      </c>
      <c r="U34" s="48">
        <f t="shared" si="69"/>
        <v>266109890</v>
      </c>
      <c r="V34" s="391">
        <f t="shared" si="70"/>
        <v>266109890</v>
      </c>
      <c r="W34" s="391">
        <f t="shared" si="18"/>
        <v>0</v>
      </c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>
        <f t="shared" si="73"/>
        <v>0</v>
      </c>
      <c r="AK34" s="31">
        <v>0</v>
      </c>
      <c r="AM34" s="79">
        <f t="shared" ref="AM34:AM65" si="84">(Y34-H34)/H34</f>
        <v>-1</v>
      </c>
      <c r="AN34" s="79">
        <f t="shared" ref="AN34:AN65" si="85">(Z34-I34)/I34</f>
        <v>-1</v>
      </c>
      <c r="AO34" s="79">
        <f t="shared" ref="AO34:AO65" si="86">(AA34-J34)/J34</f>
        <v>-1</v>
      </c>
      <c r="AP34" s="79" t="e">
        <f t="shared" ref="AP34:AP65" si="87">(AB34-K34)/K34</f>
        <v>#DIV/0!</v>
      </c>
      <c r="AQ34" s="79" t="e">
        <f t="shared" ref="AQ34:AQ65" si="88">(AC34-L34)/L34</f>
        <v>#DIV/0!</v>
      </c>
      <c r="AR34" s="79">
        <f t="shared" ref="AR34:AR65" si="89">(AD34-M34)/M34</f>
        <v>-1</v>
      </c>
      <c r="AS34" s="79">
        <f t="shared" ref="AS34:AS65" si="90">(AE34-N34)/N34</f>
        <v>-1</v>
      </c>
      <c r="AT34" s="79">
        <f t="shared" ref="AT34:AT65" si="91">(AF34-O34)/O34</f>
        <v>-1</v>
      </c>
      <c r="AU34" s="79" t="e">
        <f t="shared" ref="AU34:AU65" si="92">(AG34-P34)/P34</f>
        <v>#DIV/0!</v>
      </c>
      <c r="AV34" s="79" t="e">
        <f t="shared" ref="AV34:AV65" si="93">(AH34-Q34)/Q34</f>
        <v>#DIV/0!</v>
      </c>
      <c r="AW34" s="79">
        <f t="shared" si="66"/>
        <v>-1</v>
      </c>
      <c r="AY34" s="351" t="s">
        <v>287</v>
      </c>
      <c r="AZ34" s="352" t="s">
        <v>279</v>
      </c>
    </row>
    <row r="35" spans="1:52" s="49" customFormat="1" x14ac:dyDescent="0.25">
      <c r="A35" s="351" t="s">
        <v>288</v>
      </c>
      <c r="B35" s="352" t="s">
        <v>281</v>
      </c>
      <c r="C35" s="357">
        <v>8269948</v>
      </c>
      <c r="D35" s="357"/>
      <c r="E35" s="378"/>
      <c r="F35" s="375">
        <f t="shared" si="67"/>
        <v>8269948</v>
      </c>
      <c r="G35" s="182">
        <v>8269948</v>
      </c>
      <c r="H35" s="27">
        <v>420000</v>
      </c>
      <c r="I35" s="27">
        <v>2804974</v>
      </c>
      <c r="J35" s="27">
        <v>1120000</v>
      </c>
      <c r="K35" s="27">
        <v>0</v>
      </c>
      <c r="L35" s="27">
        <v>0</v>
      </c>
      <c r="M35" s="27">
        <v>420000</v>
      </c>
      <c r="N35" s="27">
        <v>1120000</v>
      </c>
      <c r="O35" s="27">
        <v>2384974</v>
      </c>
      <c r="P35" s="27">
        <v>0</v>
      </c>
      <c r="Q35" s="27">
        <v>0</v>
      </c>
      <c r="R35" s="183">
        <v>0</v>
      </c>
      <c r="S35" s="183">
        <v>0</v>
      </c>
      <c r="T35" s="27">
        <f t="shared" si="72"/>
        <v>8269948</v>
      </c>
      <c r="U35" s="48">
        <f t="shared" si="69"/>
        <v>8269948</v>
      </c>
      <c r="V35" s="391">
        <f t="shared" si="70"/>
        <v>8269948</v>
      </c>
      <c r="W35" s="391">
        <f t="shared" si="18"/>
        <v>0</v>
      </c>
      <c r="Y35" s="27"/>
      <c r="Z35" s="27"/>
      <c r="AA35" s="27"/>
      <c r="AB35" s="27"/>
      <c r="AC35" s="27"/>
      <c r="AD35" s="27"/>
      <c r="AE35" s="27">
        <v>1666246</v>
      </c>
      <c r="AF35" s="27"/>
      <c r="AG35" s="27"/>
      <c r="AH35" s="27"/>
      <c r="AI35" s="27"/>
      <c r="AJ35" s="27">
        <f t="shared" si="73"/>
        <v>1666246</v>
      </c>
      <c r="AK35" s="31">
        <v>1666246</v>
      </c>
      <c r="AM35" s="79">
        <f t="shared" si="84"/>
        <v>-1</v>
      </c>
      <c r="AN35" s="79">
        <f t="shared" si="85"/>
        <v>-1</v>
      </c>
      <c r="AO35" s="79">
        <f t="shared" si="86"/>
        <v>-1</v>
      </c>
      <c r="AP35" s="79" t="e">
        <f t="shared" si="87"/>
        <v>#DIV/0!</v>
      </c>
      <c r="AQ35" s="79" t="e">
        <f t="shared" si="88"/>
        <v>#DIV/0!</v>
      </c>
      <c r="AR35" s="79">
        <f t="shared" si="89"/>
        <v>-1</v>
      </c>
      <c r="AS35" s="79">
        <f t="shared" si="90"/>
        <v>0.48771964285714287</v>
      </c>
      <c r="AT35" s="79">
        <f t="shared" si="91"/>
        <v>-1</v>
      </c>
      <c r="AU35" s="79" t="e">
        <f t="shared" si="92"/>
        <v>#DIV/0!</v>
      </c>
      <c r="AV35" s="79" t="e">
        <f t="shared" si="93"/>
        <v>#DIV/0!</v>
      </c>
      <c r="AW35" s="79">
        <f t="shared" si="66"/>
        <v>-0.79851795924230717</v>
      </c>
      <c r="AY35" s="351" t="s">
        <v>288</v>
      </c>
      <c r="AZ35" s="352" t="s">
        <v>281</v>
      </c>
    </row>
    <row r="36" spans="1:52" s="49" customFormat="1" x14ac:dyDescent="0.25">
      <c r="A36" s="349" t="s">
        <v>289</v>
      </c>
      <c r="B36" s="350" t="s">
        <v>290</v>
      </c>
      <c r="C36" s="356">
        <f>SUM(C37:C41)</f>
        <v>995937022</v>
      </c>
      <c r="D36" s="356">
        <f t="shared" ref="D36:F36" si="94">SUM(D37:D41)</f>
        <v>0</v>
      </c>
      <c r="E36" s="356">
        <f t="shared" si="94"/>
        <v>0</v>
      </c>
      <c r="F36" s="356">
        <f t="shared" si="94"/>
        <v>995937022</v>
      </c>
      <c r="G36" s="180">
        <f>SUM(G37:G41)</f>
        <v>995937022</v>
      </c>
      <c r="H36" s="51">
        <f t="shared" ref="H36:AK36" si="95">SUM(H37:H41)</f>
        <v>0</v>
      </c>
      <c r="I36" s="51">
        <f t="shared" si="95"/>
        <v>0</v>
      </c>
      <c r="J36" s="51">
        <f t="shared" si="95"/>
        <v>406197943.22000003</v>
      </c>
      <c r="K36" s="51">
        <f t="shared" si="95"/>
        <v>0</v>
      </c>
      <c r="L36" s="51">
        <f t="shared" si="95"/>
        <v>0</v>
      </c>
      <c r="M36" s="51">
        <f t="shared" si="95"/>
        <v>136000000</v>
      </c>
      <c r="N36" s="51">
        <f t="shared" si="95"/>
        <v>0</v>
      </c>
      <c r="O36" s="51">
        <f t="shared" si="95"/>
        <v>453739078.78000003</v>
      </c>
      <c r="P36" s="51">
        <f t="shared" si="95"/>
        <v>0</v>
      </c>
      <c r="Q36" s="51">
        <f t="shared" si="95"/>
        <v>0</v>
      </c>
      <c r="R36" s="51">
        <f t="shared" si="95"/>
        <v>0</v>
      </c>
      <c r="S36" s="51">
        <f t="shared" si="95"/>
        <v>0</v>
      </c>
      <c r="T36" s="51">
        <f t="shared" si="72"/>
        <v>995937022</v>
      </c>
      <c r="U36" s="48">
        <f t="shared" si="69"/>
        <v>995937022</v>
      </c>
      <c r="V36" s="391">
        <f t="shared" si="70"/>
        <v>995937022</v>
      </c>
      <c r="W36" s="391">
        <f t="shared" si="18"/>
        <v>0</v>
      </c>
      <c r="Y36" s="51">
        <f t="shared" si="95"/>
        <v>5375690</v>
      </c>
      <c r="Z36" s="51">
        <f t="shared" si="95"/>
        <v>207286419</v>
      </c>
      <c r="AA36" s="51">
        <f t="shared" si="95"/>
        <v>83000250</v>
      </c>
      <c r="AB36" s="51">
        <f t="shared" si="95"/>
        <v>0</v>
      </c>
      <c r="AC36" s="51">
        <f t="shared" si="95"/>
        <v>24742168</v>
      </c>
      <c r="AD36" s="51">
        <f t="shared" si="95"/>
        <v>114249669</v>
      </c>
      <c r="AE36" s="51">
        <f t="shared" si="95"/>
        <v>2596311</v>
      </c>
      <c r="AF36" s="51">
        <f t="shared" si="95"/>
        <v>199876240</v>
      </c>
      <c r="AG36" s="51">
        <f t="shared" si="95"/>
        <v>48840291</v>
      </c>
      <c r="AH36" s="51">
        <v>46619202</v>
      </c>
      <c r="AI36" s="51"/>
      <c r="AJ36" s="51">
        <f t="shared" si="73"/>
        <v>732586240</v>
      </c>
      <c r="AK36" s="51">
        <f t="shared" si="95"/>
        <v>437250507</v>
      </c>
      <c r="AM36" s="79" t="e">
        <f t="shared" si="84"/>
        <v>#DIV/0!</v>
      </c>
      <c r="AN36" s="79" t="e">
        <f t="shared" si="85"/>
        <v>#DIV/0!</v>
      </c>
      <c r="AO36" s="79">
        <f t="shared" si="86"/>
        <v>-0.79566550893378996</v>
      </c>
      <c r="AP36" s="79" t="e">
        <f t="shared" si="87"/>
        <v>#DIV/0!</v>
      </c>
      <c r="AQ36" s="79" t="e">
        <f t="shared" si="88"/>
        <v>#DIV/0!</v>
      </c>
      <c r="AR36" s="79">
        <f t="shared" si="89"/>
        <v>-0.15992890441176472</v>
      </c>
      <c r="AS36" s="79" t="e">
        <f t="shared" si="90"/>
        <v>#DIV/0!</v>
      </c>
      <c r="AT36" s="79">
        <f t="shared" si="91"/>
        <v>-0.55949079691918713</v>
      </c>
      <c r="AU36" s="79" t="e">
        <f t="shared" si="92"/>
        <v>#DIV/0!</v>
      </c>
      <c r="AV36" s="79" t="e">
        <f t="shared" si="93"/>
        <v>#DIV/0!</v>
      </c>
      <c r="AW36" s="79">
        <f t="shared" si="66"/>
        <v>-0.26442513550821689</v>
      </c>
      <c r="AY36" s="349" t="s">
        <v>289</v>
      </c>
      <c r="AZ36" s="350" t="s">
        <v>290</v>
      </c>
    </row>
    <row r="37" spans="1:52" x14ac:dyDescent="0.25">
      <c r="A37" s="351" t="s">
        <v>291</v>
      </c>
      <c r="B37" s="352" t="s">
        <v>292</v>
      </c>
      <c r="C37" s="357">
        <v>123593826</v>
      </c>
      <c r="D37" s="357"/>
      <c r="E37" s="378"/>
      <c r="F37" s="375">
        <f t="shared" si="67"/>
        <v>123593826</v>
      </c>
      <c r="G37" s="142">
        <v>123593826</v>
      </c>
      <c r="H37" s="27">
        <v>0</v>
      </c>
      <c r="I37" s="27">
        <v>0</v>
      </c>
      <c r="J37" s="27">
        <v>61250000</v>
      </c>
      <c r="K37" s="27">
        <v>0</v>
      </c>
      <c r="L37" s="27">
        <v>0</v>
      </c>
      <c r="M37" s="27">
        <v>0</v>
      </c>
      <c r="N37" s="27">
        <v>0</v>
      </c>
      <c r="O37" s="27">
        <v>62343826</v>
      </c>
      <c r="P37" s="27">
        <v>0</v>
      </c>
      <c r="Q37" s="27">
        <v>0</v>
      </c>
      <c r="R37" s="143">
        <v>0</v>
      </c>
      <c r="S37" s="143">
        <v>0</v>
      </c>
      <c r="T37" s="27">
        <f t="shared" si="72"/>
        <v>123593826</v>
      </c>
      <c r="U37" s="48">
        <f t="shared" si="69"/>
        <v>123593826</v>
      </c>
      <c r="V37" s="391">
        <f t="shared" si="70"/>
        <v>123593826</v>
      </c>
      <c r="W37" s="391">
        <f t="shared" si="18"/>
        <v>0</v>
      </c>
      <c r="Y37" s="27">
        <v>2687845</v>
      </c>
      <c r="Z37" s="27">
        <v>49946990</v>
      </c>
      <c r="AA37" s="27">
        <v>11762560</v>
      </c>
      <c r="AB37" s="27"/>
      <c r="AC37" s="27"/>
      <c r="AD37" s="27"/>
      <c r="AE37" s="27">
        <v>2194508</v>
      </c>
      <c r="AF37" s="27">
        <v>44065711</v>
      </c>
      <c r="AG37" s="27">
        <v>6144621</v>
      </c>
      <c r="AH37" s="27"/>
      <c r="AI37" s="27"/>
      <c r="AJ37" s="27">
        <f t="shared" si="73"/>
        <v>116802235</v>
      </c>
      <c r="AK37" s="31">
        <v>66591903</v>
      </c>
      <c r="AM37" s="79" t="e">
        <f t="shared" si="84"/>
        <v>#DIV/0!</v>
      </c>
      <c r="AN37" s="79" t="e">
        <f t="shared" si="85"/>
        <v>#DIV/0!</v>
      </c>
      <c r="AO37" s="79">
        <f t="shared" si="86"/>
        <v>-0.80795820408163266</v>
      </c>
      <c r="AP37" s="79" t="e">
        <f t="shared" si="87"/>
        <v>#DIV/0!</v>
      </c>
      <c r="AQ37" s="79" t="e">
        <f t="shared" si="88"/>
        <v>#DIV/0!</v>
      </c>
      <c r="AR37" s="79" t="e">
        <f t="shared" si="89"/>
        <v>#DIV/0!</v>
      </c>
      <c r="AS37" s="79" t="e">
        <f t="shared" si="90"/>
        <v>#DIV/0!</v>
      </c>
      <c r="AT37" s="79">
        <f t="shared" si="91"/>
        <v>-0.29318243958912626</v>
      </c>
      <c r="AU37" s="79" t="e">
        <f t="shared" si="92"/>
        <v>#DIV/0!</v>
      </c>
      <c r="AV37" s="79" t="e">
        <f t="shared" si="93"/>
        <v>#DIV/0!</v>
      </c>
      <c r="AW37" s="79">
        <f t="shared" si="66"/>
        <v>-5.4950892126278218E-2</v>
      </c>
      <c r="AY37" s="351" t="s">
        <v>291</v>
      </c>
      <c r="AZ37" s="352" t="s">
        <v>292</v>
      </c>
    </row>
    <row r="38" spans="1:52" x14ac:dyDescent="0.25">
      <c r="A38" s="351" t="s">
        <v>293</v>
      </c>
      <c r="B38" s="352" t="s">
        <v>294</v>
      </c>
      <c r="C38" s="357">
        <v>436733306</v>
      </c>
      <c r="D38" s="357"/>
      <c r="E38" s="378"/>
      <c r="F38" s="375">
        <f t="shared" si="67"/>
        <v>436733306</v>
      </c>
      <c r="G38" s="142">
        <v>436733306</v>
      </c>
      <c r="H38" s="27">
        <v>0</v>
      </c>
      <c r="I38" s="27">
        <v>0</v>
      </c>
      <c r="J38" s="27">
        <v>136000000</v>
      </c>
      <c r="K38" s="27">
        <v>0</v>
      </c>
      <c r="L38" s="27">
        <v>0</v>
      </c>
      <c r="M38" s="27">
        <v>136000000</v>
      </c>
      <c r="N38" s="27">
        <v>0</v>
      </c>
      <c r="O38" s="27">
        <v>164733306</v>
      </c>
      <c r="P38" s="27">
        <v>0</v>
      </c>
      <c r="Q38" s="27">
        <v>0</v>
      </c>
      <c r="R38" s="143">
        <v>0</v>
      </c>
      <c r="S38" s="143">
        <v>0</v>
      </c>
      <c r="T38" s="27">
        <f t="shared" si="72"/>
        <v>436733306</v>
      </c>
      <c r="U38" s="48">
        <f t="shared" si="69"/>
        <v>436733306</v>
      </c>
      <c r="V38" s="391">
        <f t="shared" si="70"/>
        <v>436733306</v>
      </c>
      <c r="W38" s="391">
        <f t="shared" si="18"/>
        <v>0</v>
      </c>
      <c r="Y38" s="27"/>
      <c r="Z38" s="27">
        <v>54506504</v>
      </c>
      <c r="AA38" s="27">
        <v>37826968</v>
      </c>
      <c r="AB38" s="27"/>
      <c r="AC38" s="27">
        <v>13526944</v>
      </c>
      <c r="AD38" s="27">
        <v>102016600</v>
      </c>
      <c r="AE38" s="27">
        <v>401803</v>
      </c>
      <c r="AF38" s="27">
        <v>106192219</v>
      </c>
      <c r="AG38" s="27">
        <v>10300295</v>
      </c>
      <c r="AH38" s="27">
        <v>15638557</v>
      </c>
      <c r="AI38" s="27"/>
      <c r="AJ38" s="27">
        <f t="shared" si="73"/>
        <v>340409890</v>
      </c>
      <c r="AK38" s="31">
        <v>208278819</v>
      </c>
      <c r="AM38" s="79" t="e">
        <f t="shared" si="84"/>
        <v>#DIV/0!</v>
      </c>
      <c r="AN38" s="79" t="e">
        <f t="shared" si="85"/>
        <v>#DIV/0!</v>
      </c>
      <c r="AO38" s="79">
        <f t="shared" si="86"/>
        <v>-0.72186052941176471</v>
      </c>
      <c r="AP38" s="79" t="e">
        <f t="shared" si="87"/>
        <v>#DIV/0!</v>
      </c>
      <c r="AQ38" s="79" t="e">
        <f t="shared" si="88"/>
        <v>#DIV/0!</v>
      </c>
      <c r="AR38" s="79">
        <f t="shared" si="89"/>
        <v>-0.24987794117647058</v>
      </c>
      <c r="AS38" s="79" t="e">
        <f t="shared" si="90"/>
        <v>#DIV/0!</v>
      </c>
      <c r="AT38" s="79">
        <f t="shared" si="91"/>
        <v>-0.35536885904541976</v>
      </c>
      <c r="AU38" s="79" t="e">
        <f t="shared" si="92"/>
        <v>#DIV/0!</v>
      </c>
      <c r="AV38" s="79" t="e">
        <f t="shared" si="93"/>
        <v>#DIV/0!</v>
      </c>
      <c r="AW38" s="79">
        <f t="shared" si="66"/>
        <v>-0.22055431696340558</v>
      </c>
      <c r="AY38" s="351" t="s">
        <v>293</v>
      </c>
      <c r="AZ38" s="352" t="s">
        <v>294</v>
      </c>
    </row>
    <row r="39" spans="1:52" x14ac:dyDescent="0.25">
      <c r="A39" s="351" t="s">
        <v>295</v>
      </c>
      <c r="B39" s="352" t="s">
        <v>296</v>
      </c>
      <c r="C39" s="357">
        <v>93285640</v>
      </c>
      <c r="D39" s="357"/>
      <c r="E39" s="378"/>
      <c r="F39" s="375">
        <f t="shared" si="67"/>
        <v>93285640</v>
      </c>
      <c r="G39" s="142">
        <v>93285640</v>
      </c>
      <c r="H39" s="27">
        <v>0</v>
      </c>
      <c r="I39" s="27">
        <v>0</v>
      </c>
      <c r="J39" s="27">
        <v>45838000</v>
      </c>
      <c r="K39" s="27">
        <v>0</v>
      </c>
      <c r="L39" s="27">
        <v>0</v>
      </c>
      <c r="M39" s="27">
        <v>0</v>
      </c>
      <c r="N39" s="27">
        <v>0</v>
      </c>
      <c r="O39" s="27">
        <v>47447640</v>
      </c>
      <c r="P39" s="27">
        <v>0</v>
      </c>
      <c r="Q39" s="27">
        <v>0</v>
      </c>
      <c r="R39" s="143">
        <v>0</v>
      </c>
      <c r="S39" s="143">
        <v>0</v>
      </c>
      <c r="T39" s="27">
        <f t="shared" si="72"/>
        <v>93285640</v>
      </c>
      <c r="U39" s="48">
        <f t="shared" si="69"/>
        <v>93285640</v>
      </c>
      <c r="V39" s="391">
        <f t="shared" si="70"/>
        <v>93285640</v>
      </c>
      <c r="W39" s="391">
        <f t="shared" si="18"/>
        <v>0</v>
      </c>
      <c r="Y39" s="27">
        <v>840955</v>
      </c>
      <c r="Z39" s="27">
        <v>12635251</v>
      </c>
      <c r="AA39" s="27">
        <v>13256364</v>
      </c>
      <c r="AB39" s="27"/>
      <c r="AC39" s="27">
        <v>4705024</v>
      </c>
      <c r="AD39" s="27">
        <v>4705024</v>
      </c>
      <c r="AE39" s="27"/>
      <c r="AF39" s="27">
        <v>13171932</v>
      </c>
      <c r="AG39" s="27">
        <v>9199376</v>
      </c>
      <c r="AH39" s="27">
        <v>11736326</v>
      </c>
      <c r="AI39" s="27"/>
      <c r="AJ39" s="27">
        <f t="shared" si="73"/>
        <v>70250252</v>
      </c>
      <c r="AK39" s="31">
        <v>36142618</v>
      </c>
      <c r="AM39" s="79" t="e">
        <f t="shared" si="84"/>
        <v>#DIV/0!</v>
      </c>
      <c r="AN39" s="79" t="e">
        <f t="shared" si="85"/>
        <v>#DIV/0!</v>
      </c>
      <c r="AO39" s="79">
        <f t="shared" si="86"/>
        <v>-0.71079968585016795</v>
      </c>
      <c r="AP39" s="79" t="e">
        <f t="shared" si="87"/>
        <v>#DIV/0!</v>
      </c>
      <c r="AQ39" s="79" t="e">
        <f t="shared" si="88"/>
        <v>#DIV/0!</v>
      </c>
      <c r="AR39" s="79" t="e">
        <f t="shared" si="89"/>
        <v>#DIV/0!</v>
      </c>
      <c r="AS39" s="79" t="e">
        <f t="shared" si="90"/>
        <v>#DIV/0!</v>
      </c>
      <c r="AT39" s="79">
        <f t="shared" si="91"/>
        <v>-0.7223901547052709</v>
      </c>
      <c r="AU39" s="79" t="e">
        <f t="shared" si="92"/>
        <v>#DIV/0!</v>
      </c>
      <c r="AV39" s="79" t="e">
        <f t="shared" si="93"/>
        <v>#DIV/0!</v>
      </c>
      <c r="AW39" s="79">
        <f t="shared" si="66"/>
        <v>-0.24693391180035856</v>
      </c>
      <c r="AY39" s="351" t="s">
        <v>295</v>
      </c>
      <c r="AZ39" s="352" t="s">
        <v>296</v>
      </c>
    </row>
    <row r="40" spans="1:52" x14ac:dyDescent="0.25">
      <c r="A40" s="351" t="s">
        <v>297</v>
      </c>
      <c r="B40" s="352" t="s">
        <v>298</v>
      </c>
      <c r="C40" s="357">
        <v>262129868</v>
      </c>
      <c r="D40" s="357"/>
      <c r="E40" s="378"/>
      <c r="F40" s="375">
        <f t="shared" si="67"/>
        <v>262129868</v>
      </c>
      <c r="G40" s="142">
        <v>262129868.22</v>
      </c>
      <c r="H40" s="27">
        <v>0</v>
      </c>
      <c r="I40" s="27">
        <v>0</v>
      </c>
      <c r="J40" s="27">
        <v>131129000</v>
      </c>
      <c r="K40" s="27">
        <v>0</v>
      </c>
      <c r="L40" s="27">
        <v>0</v>
      </c>
      <c r="M40" s="27">
        <v>0</v>
      </c>
      <c r="N40" s="27">
        <v>0</v>
      </c>
      <c r="O40" s="27">
        <v>131000868.22</v>
      </c>
      <c r="P40" s="27">
        <v>0</v>
      </c>
      <c r="Q40" s="27">
        <v>0</v>
      </c>
      <c r="R40" s="143">
        <v>0</v>
      </c>
      <c r="S40" s="143">
        <v>0</v>
      </c>
      <c r="T40" s="27">
        <f t="shared" si="72"/>
        <v>262129868.22</v>
      </c>
      <c r="U40" s="48">
        <f t="shared" si="69"/>
        <v>262129868.22</v>
      </c>
      <c r="V40" s="391">
        <f t="shared" si="70"/>
        <v>262129868</v>
      </c>
      <c r="W40" s="391">
        <f t="shared" si="18"/>
        <v>0</v>
      </c>
      <c r="Y40" s="27"/>
      <c r="Z40" s="27">
        <v>55055804</v>
      </c>
      <c r="AA40" s="27">
        <v>13834176</v>
      </c>
      <c r="AB40" s="27"/>
      <c r="AC40" s="27">
        <v>6510200</v>
      </c>
      <c r="AD40" s="27">
        <v>7528045</v>
      </c>
      <c r="AE40" s="27"/>
      <c r="AF40" s="27">
        <v>5126369</v>
      </c>
      <c r="AG40" s="27">
        <v>18280302</v>
      </c>
      <c r="AH40" s="27">
        <v>19244319</v>
      </c>
      <c r="AI40" s="27"/>
      <c r="AJ40" s="27">
        <f t="shared" si="73"/>
        <v>125579215</v>
      </c>
      <c r="AK40" s="31">
        <v>82928225</v>
      </c>
      <c r="AM40" s="79" t="e">
        <f t="shared" si="84"/>
        <v>#DIV/0!</v>
      </c>
      <c r="AN40" s="79" t="e">
        <f t="shared" si="85"/>
        <v>#DIV/0!</v>
      </c>
      <c r="AO40" s="79">
        <f t="shared" si="86"/>
        <v>-0.89449949286580388</v>
      </c>
      <c r="AP40" s="79" t="e">
        <f t="shared" si="87"/>
        <v>#DIV/0!</v>
      </c>
      <c r="AQ40" s="79" t="e">
        <f t="shared" si="88"/>
        <v>#DIV/0!</v>
      </c>
      <c r="AR40" s="79" t="e">
        <f t="shared" si="89"/>
        <v>#DIV/0!</v>
      </c>
      <c r="AS40" s="79" t="e">
        <f t="shared" si="90"/>
        <v>#DIV/0!</v>
      </c>
      <c r="AT40" s="79">
        <f t="shared" si="91"/>
        <v>-0.96086767156847475</v>
      </c>
      <c r="AU40" s="79" t="e">
        <f t="shared" si="92"/>
        <v>#DIV/0!</v>
      </c>
      <c r="AV40" s="79" t="e">
        <f t="shared" si="93"/>
        <v>#DIV/0!</v>
      </c>
      <c r="AW40" s="79">
        <f t="shared" si="66"/>
        <v>-0.52092748585749094</v>
      </c>
      <c r="AY40" s="351" t="s">
        <v>297</v>
      </c>
      <c r="AZ40" s="352" t="s">
        <v>298</v>
      </c>
    </row>
    <row r="41" spans="1:52" x14ac:dyDescent="0.25">
      <c r="A41" s="351" t="s">
        <v>299</v>
      </c>
      <c r="B41" s="352" t="s">
        <v>300</v>
      </c>
      <c r="C41" s="357">
        <v>80194382</v>
      </c>
      <c r="D41" s="357"/>
      <c r="E41" s="378"/>
      <c r="F41" s="375">
        <f t="shared" si="67"/>
        <v>80194382</v>
      </c>
      <c r="G41" s="142">
        <v>80194381.780000001</v>
      </c>
      <c r="H41" s="27">
        <v>0</v>
      </c>
      <c r="I41" s="27">
        <v>0</v>
      </c>
      <c r="J41" s="27">
        <v>31980943.219999999</v>
      </c>
      <c r="K41" s="27">
        <v>0</v>
      </c>
      <c r="L41" s="27">
        <v>0</v>
      </c>
      <c r="M41" s="27">
        <v>0</v>
      </c>
      <c r="N41" s="27">
        <v>0</v>
      </c>
      <c r="O41" s="27">
        <v>48213438.560000002</v>
      </c>
      <c r="P41" s="27">
        <v>0</v>
      </c>
      <c r="Q41" s="27">
        <v>0</v>
      </c>
      <c r="R41" s="143">
        <v>0</v>
      </c>
      <c r="S41" s="143">
        <v>0</v>
      </c>
      <c r="T41" s="27">
        <f t="shared" si="72"/>
        <v>80194381.780000001</v>
      </c>
      <c r="U41" s="48">
        <f t="shared" si="69"/>
        <v>80194381.780000001</v>
      </c>
      <c r="V41" s="391">
        <f t="shared" si="70"/>
        <v>80194382</v>
      </c>
      <c r="W41" s="391">
        <f t="shared" si="18"/>
        <v>0</v>
      </c>
      <c r="Y41" s="27">
        <v>1846890</v>
      </c>
      <c r="Z41" s="27">
        <v>35141870</v>
      </c>
      <c r="AA41" s="27">
        <v>6320182</v>
      </c>
      <c r="AB41" s="27"/>
      <c r="AC41" s="27"/>
      <c r="AD41" s="27"/>
      <c r="AE41" s="27"/>
      <c r="AF41" s="27">
        <v>31320009</v>
      </c>
      <c r="AG41" s="27">
        <v>4915697</v>
      </c>
      <c r="AH41" s="27"/>
      <c r="AI41" s="27"/>
      <c r="AJ41" s="27">
        <f t="shared" si="73"/>
        <v>79544648</v>
      </c>
      <c r="AK41" s="31">
        <v>43308942</v>
      </c>
      <c r="AM41" s="79" t="e">
        <f t="shared" si="84"/>
        <v>#DIV/0!</v>
      </c>
      <c r="AN41" s="79" t="e">
        <f t="shared" si="85"/>
        <v>#DIV/0!</v>
      </c>
      <c r="AO41" s="79">
        <f t="shared" si="86"/>
        <v>-0.80237662296190404</v>
      </c>
      <c r="AP41" s="79" t="e">
        <f t="shared" si="87"/>
        <v>#DIV/0!</v>
      </c>
      <c r="AQ41" s="79" t="e">
        <f t="shared" si="88"/>
        <v>#DIV/0!</v>
      </c>
      <c r="AR41" s="79" t="e">
        <f t="shared" si="89"/>
        <v>#DIV/0!</v>
      </c>
      <c r="AS41" s="79" t="e">
        <f t="shared" si="90"/>
        <v>#DIV/0!</v>
      </c>
      <c r="AT41" s="79">
        <f t="shared" si="91"/>
        <v>-0.35038839926292953</v>
      </c>
      <c r="AU41" s="79" t="e">
        <f t="shared" si="92"/>
        <v>#DIV/0!</v>
      </c>
      <c r="AV41" s="79" t="e">
        <f t="shared" si="93"/>
        <v>#DIV/0!</v>
      </c>
      <c r="AW41" s="79">
        <f t="shared" si="66"/>
        <v>-8.1019862685947023E-3</v>
      </c>
      <c r="AY41" s="351" t="s">
        <v>299</v>
      </c>
      <c r="AZ41" s="352" t="s">
        <v>300</v>
      </c>
    </row>
    <row r="42" spans="1:52" s="49" customFormat="1" x14ac:dyDescent="0.25">
      <c r="A42" s="349" t="s">
        <v>301</v>
      </c>
      <c r="B42" s="350" t="s">
        <v>302</v>
      </c>
      <c r="C42" s="356">
        <f>SUM(C43:C77)</f>
        <v>2469338284</v>
      </c>
      <c r="D42" s="356">
        <f t="shared" ref="D42:F42" si="96">SUM(D43:D77)</f>
        <v>0</v>
      </c>
      <c r="E42" s="356">
        <f t="shared" si="96"/>
        <v>0</v>
      </c>
      <c r="F42" s="356">
        <f t="shared" si="96"/>
        <v>2469338284</v>
      </c>
      <c r="G42" s="180">
        <f t="shared" ref="G42:S42" si="97">SUM(G43:G77)</f>
        <v>2469338284</v>
      </c>
      <c r="H42" s="51">
        <f t="shared" si="97"/>
        <v>0</v>
      </c>
      <c r="I42" s="51">
        <f t="shared" si="97"/>
        <v>36989126.399999999</v>
      </c>
      <c r="J42" s="51">
        <f t="shared" si="97"/>
        <v>977049205.39999998</v>
      </c>
      <c r="K42" s="51">
        <f t="shared" si="97"/>
        <v>62790551.899999999</v>
      </c>
      <c r="L42" s="51">
        <f t="shared" si="97"/>
        <v>121351126.40000001</v>
      </c>
      <c r="M42" s="51">
        <f t="shared" si="97"/>
        <v>33489126.399999999</v>
      </c>
      <c r="N42" s="51">
        <f t="shared" si="97"/>
        <v>32989126.399999999</v>
      </c>
      <c r="O42" s="51">
        <f t="shared" si="97"/>
        <v>1040509194.4</v>
      </c>
      <c r="P42" s="51">
        <f t="shared" si="97"/>
        <v>80510626.400000006</v>
      </c>
      <c r="Q42" s="51">
        <f t="shared" si="97"/>
        <v>59671062.899999999</v>
      </c>
      <c r="R42" s="51">
        <f t="shared" si="97"/>
        <v>23989126.399999999</v>
      </c>
      <c r="S42" s="51">
        <f t="shared" si="97"/>
        <v>0</v>
      </c>
      <c r="T42" s="51">
        <f t="shared" si="72"/>
        <v>2445349146.6000004</v>
      </c>
      <c r="U42" s="48">
        <f t="shared" si="69"/>
        <v>2469338273.0000005</v>
      </c>
      <c r="V42" s="391">
        <f t="shared" si="70"/>
        <v>2469338284</v>
      </c>
      <c r="W42" s="391">
        <f t="shared" si="18"/>
        <v>0</v>
      </c>
      <c r="Y42" s="51">
        <f t="shared" ref="Y42:AG42" si="98">SUM(Y43:Y77)</f>
        <v>175298628.06</v>
      </c>
      <c r="Z42" s="51">
        <f t="shared" si="98"/>
        <v>565493465.47000003</v>
      </c>
      <c r="AA42" s="51">
        <f t="shared" si="98"/>
        <v>171147759</v>
      </c>
      <c r="AB42" s="51">
        <f t="shared" si="98"/>
        <v>81678928</v>
      </c>
      <c r="AC42" s="51">
        <f t="shared" si="98"/>
        <v>24401622</v>
      </c>
      <c r="AD42" s="51">
        <f t="shared" si="98"/>
        <v>130317015.78</v>
      </c>
      <c r="AE42" s="51">
        <f t="shared" si="98"/>
        <v>330488344</v>
      </c>
      <c r="AF42" s="51">
        <f t="shared" si="98"/>
        <v>231258117</v>
      </c>
      <c r="AG42" s="51">
        <f t="shared" si="98"/>
        <v>248205114</v>
      </c>
      <c r="AH42" s="51">
        <v>88689693</v>
      </c>
      <c r="AI42" s="51"/>
      <c r="AJ42" s="51">
        <f t="shared" si="73"/>
        <v>2046978686.3099999</v>
      </c>
      <c r="AK42" s="51">
        <f t="shared" ref="AK42" si="99">SUM(AK43:AK77)</f>
        <v>1536966675.25</v>
      </c>
      <c r="AM42" s="79" t="e">
        <f t="shared" si="84"/>
        <v>#DIV/0!</v>
      </c>
      <c r="AN42" s="79">
        <f t="shared" si="85"/>
        <v>14.288100058237658</v>
      </c>
      <c r="AO42" s="79">
        <f t="shared" si="86"/>
        <v>-0.8248319961225159</v>
      </c>
      <c r="AP42" s="79">
        <f t="shared" si="87"/>
        <v>0.30081557700084494</v>
      </c>
      <c r="AQ42" s="79">
        <f t="shared" si="88"/>
        <v>-0.79891721878570054</v>
      </c>
      <c r="AR42" s="79">
        <f t="shared" si="89"/>
        <v>2.8913232379809108</v>
      </c>
      <c r="AS42" s="79">
        <f t="shared" si="90"/>
        <v>9.018099297106577</v>
      </c>
      <c r="AT42" s="79">
        <f t="shared" si="91"/>
        <v>-0.77774524411256851</v>
      </c>
      <c r="AU42" s="79">
        <f t="shared" si="92"/>
        <v>2.0828863852933579</v>
      </c>
      <c r="AV42" s="79">
        <f t="shared" si="93"/>
        <v>0.48630992460501321</v>
      </c>
      <c r="AW42" s="79">
        <f t="shared" si="66"/>
        <v>-0.16290944008706998</v>
      </c>
      <c r="AY42" s="349" t="s">
        <v>301</v>
      </c>
      <c r="AZ42" s="350" t="s">
        <v>302</v>
      </c>
    </row>
    <row r="43" spans="1:52" x14ac:dyDescent="0.25">
      <c r="A43" s="351" t="s">
        <v>303</v>
      </c>
      <c r="B43" s="352" t="s">
        <v>304</v>
      </c>
      <c r="C43" s="357">
        <v>30000000</v>
      </c>
      <c r="D43" s="357"/>
      <c r="E43" s="378"/>
      <c r="F43" s="375">
        <f t="shared" si="67"/>
        <v>30000000</v>
      </c>
      <c r="G43" s="142">
        <v>30000000</v>
      </c>
      <c r="H43" s="27">
        <v>0</v>
      </c>
      <c r="I43" s="27">
        <v>0</v>
      </c>
      <c r="J43" s="27">
        <v>15000000</v>
      </c>
      <c r="K43" s="27">
        <v>0</v>
      </c>
      <c r="L43" s="27">
        <v>0</v>
      </c>
      <c r="M43" s="27">
        <v>0</v>
      </c>
      <c r="N43" s="27">
        <v>0</v>
      </c>
      <c r="O43" s="27">
        <v>15000000</v>
      </c>
      <c r="P43" s="27">
        <v>0</v>
      </c>
      <c r="Q43" s="27">
        <v>0</v>
      </c>
      <c r="R43" s="143">
        <v>0</v>
      </c>
      <c r="S43" s="143">
        <v>0</v>
      </c>
      <c r="T43" s="27">
        <f t="shared" si="72"/>
        <v>30000000</v>
      </c>
      <c r="U43" s="48">
        <f t="shared" si="69"/>
        <v>30000000</v>
      </c>
      <c r="V43" s="391">
        <f t="shared" si="70"/>
        <v>30000000</v>
      </c>
      <c r="W43" s="391">
        <f t="shared" si="18"/>
        <v>0</v>
      </c>
      <c r="Y43" s="27"/>
      <c r="Z43" s="27"/>
      <c r="AA43" s="27"/>
      <c r="AB43" s="27"/>
      <c r="AC43" s="27"/>
      <c r="AD43" s="27">
        <v>449000</v>
      </c>
      <c r="AE43" s="27">
        <v>618000</v>
      </c>
      <c r="AF43" s="27">
        <v>1694500</v>
      </c>
      <c r="AG43" s="27">
        <v>4494550</v>
      </c>
      <c r="AH43" s="27">
        <v>5618100</v>
      </c>
      <c r="AI43" s="27"/>
      <c r="AJ43" s="27">
        <f t="shared" si="73"/>
        <v>12874150</v>
      </c>
      <c r="AK43" s="31">
        <v>1067000</v>
      </c>
      <c r="AM43" s="79" t="e">
        <f t="shared" si="84"/>
        <v>#DIV/0!</v>
      </c>
      <c r="AN43" s="79" t="e">
        <f t="shared" si="85"/>
        <v>#DIV/0!</v>
      </c>
      <c r="AO43" s="79">
        <f t="shared" si="86"/>
        <v>-1</v>
      </c>
      <c r="AP43" s="79" t="e">
        <f t="shared" si="87"/>
        <v>#DIV/0!</v>
      </c>
      <c r="AQ43" s="79" t="e">
        <f t="shared" si="88"/>
        <v>#DIV/0!</v>
      </c>
      <c r="AR43" s="79" t="e">
        <f t="shared" si="89"/>
        <v>#DIV/0!</v>
      </c>
      <c r="AS43" s="79" t="e">
        <f t="shared" si="90"/>
        <v>#DIV/0!</v>
      </c>
      <c r="AT43" s="79">
        <f t="shared" si="91"/>
        <v>-0.88703333333333334</v>
      </c>
      <c r="AU43" s="79" t="e">
        <f t="shared" si="92"/>
        <v>#DIV/0!</v>
      </c>
      <c r="AV43" s="79" t="e">
        <f t="shared" si="93"/>
        <v>#DIV/0!</v>
      </c>
      <c r="AW43" s="79">
        <f t="shared" si="66"/>
        <v>-0.57086166666666671</v>
      </c>
      <c r="AY43" s="351" t="s">
        <v>303</v>
      </c>
      <c r="AZ43" s="352" t="s">
        <v>304</v>
      </c>
    </row>
    <row r="44" spans="1:52" x14ac:dyDescent="0.25">
      <c r="A44" s="351">
        <v>11251101132</v>
      </c>
      <c r="B44" s="352" t="s">
        <v>305</v>
      </c>
      <c r="C44" s="357">
        <v>4500000</v>
      </c>
      <c r="D44" s="357"/>
      <c r="E44" s="378"/>
      <c r="F44" s="375">
        <f t="shared" si="67"/>
        <v>4500000</v>
      </c>
      <c r="G44" s="142">
        <v>4500000</v>
      </c>
      <c r="H44" s="27">
        <v>0</v>
      </c>
      <c r="I44" s="27">
        <v>0</v>
      </c>
      <c r="J44" s="27">
        <v>2000000</v>
      </c>
      <c r="K44" s="27">
        <v>0</v>
      </c>
      <c r="L44" s="27">
        <v>0</v>
      </c>
      <c r="M44" s="27">
        <v>0</v>
      </c>
      <c r="N44" s="27">
        <v>0</v>
      </c>
      <c r="O44" s="27">
        <v>2500000</v>
      </c>
      <c r="P44" s="27">
        <v>0</v>
      </c>
      <c r="Q44" s="27">
        <v>0</v>
      </c>
      <c r="R44" s="143">
        <v>0</v>
      </c>
      <c r="S44" s="143">
        <v>0</v>
      </c>
      <c r="T44" s="27">
        <f t="shared" si="72"/>
        <v>4500000</v>
      </c>
      <c r="U44" s="48">
        <f t="shared" si="69"/>
        <v>4500000</v>
      </c>
      <c r="V44" s="391">
        <f t="shared" si="70"/>
        <v>4500000</v>
      </c>
      <c r="W44" s="391">
        <f t="shared" si="18"/>
        <v>0</v>
      </c>
      <c r="Y44" s="27"/>
      <c r="Z44" s="27"/>
      <c r="AA44" s="27"/>
      <c r="AB44" s="27"/>
      <c r="AC44" s="27"/>
      <c r="AD44" s="27">
        <v>8062359</v>
      </c>
      <c r="AE44" s="27"/>
      <c r="AF44" s="27">
        <v>6000000</v>
      </c>
      <c r="AG44" s="27"/>
      <c r="AH44" s="27"/>
      <c r="AI44" s="27"/>
      <c r="AJ44" s="27">
        <f t="shared" si="73"/>
        <v>14062359</v>
      </c>
      <c r="AK44" s="31">
        <v>8062359</v>
      </c>
      <c r="AM44" s="79" t="e">
        <f t="shared" si="84"/>
        <v>#DIV/0!</v>
      </c>
      <c r="AN44" s="79" t="e">
        <f t="shared" si="85"/>
        <v>#DIV/0!</v>
      </c>
      <c r="AO44" s="79">
        <f t="shared" si="86"/>
        <v>-1</v>
      </c>
      <c r="AP44" s="79" t="e">
        <f t="shared" si="87"/>
        <v>#DIV/0!</v>
      </c>
      <c r="AQ44" s="79" t="e">
        <f t="shared" si="88"/>
        <v>#DIV/0!</v>
      </c>
      <c r="AR44" s="79" t="e">
        <f t="shared" si="89"/>
        <v>#DIV/0!</v>
      </c>
      <c r="AS44" s="79" t="e">
        <f t="shared" si="90"/>
        <v>#DIV/0!</v>
      </c>
      <c r="AT44" s="79">
        <f t="shared" si="91"/>
        <v>1.4</v>
      </c>
      <c r="AU44" s="79" t="e">
        <f t="shared" si="92"/>
        <v>#DIV/0!</v>
      </c>
      <c r="AV44" s="79" t="e">
        <f t="shared" si="93"/>
        <v>#DIV/0!</v>
      </c>
      <c r="AW44" s="79">
        <f t="shared" si="66"/>
        <v>2.1249686666666667</v>
      </c>
      <c r="AY44" s="351">
        <v>11251101132</v>
      </c>
      <c r="AZ44" s="352" t="s">
        <v>305</v>
      </c>
    </row>
    <row r="45" spans="1:52" x14ac:dyDescent="0.25">
      <c r="A45" s="351">
        <v>11251101133</v>
      </c>
      <c r="B45" s="352" t="s">
        <v>306</v>
      </c>
      <c r="C45" s="357">
        <v>22000000</v>
      </c>
      <c r="D45" s="357"/>
      <c r="E45" s="378"/>
      <c r="F45" s="375">
        <f t="shared" si="67"/>
        <v>22000000</v>
      </c>
      <c r="G45" s="142">
        <v>22000000</v>
      </c>
      <c r="H45" s="27">
        <v>0</v>
      </c>
      <c r="I45" s="27">
        <v>11000000</v>
      </c>
      <c r="J45" s="27">
        <v>0</v>
      </c>
      <c r="K45" s="27">
        <v>6000000</v>
      </c>
      <c r="L45" s="27">
        <v>0</v>
      </c>
      <c r="M45" s="27">
        <v>0</v>
      </c>
      <c r="N45" s="27">
        <v>0</v>
      </c>
      <c r="O45" s="27">
        <v>5000000</v>
      </c>
      <c r="P45" s="27">
        <v>0</v>
      </c>
      <c r="Q45" s="27">
        <v>0</v>
      </c>
      <c r="R45" s="143">
        <v>0</v>
      </c>
      <c r="S45" s="143">
        <v>0</v>
      </c>
      <c r="T45" s="27">
        <f t="shared" si="72"/>
        <v>22000000</v>
      </c>
      <c r="U45" s="48">
        <f t="shared" si="69"/>
        <v>22000000</v>
      </c>
      <c r="V45" s="391">
        <f t="shared" si="70"/>
        <v>22000000</v>
      </c>
      <c r="W45" s="391">
        <f t="shared" si="18"/>
        <v>0</v>
      </c>
      <c r="Y45" s="27"/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10594721</v>
      </c>
      <c r="AI45" s="27"/>
      <c r="AJ45" s="27">
        <f t="shared" si="73"/>
        <v>10594721</v>
      </c>
      <c r="AK45" s="31">
        <v>58140913</v>
      </c>
      <c r="AM45" s="79" t="e">
        <f t="shared" si="84"/>
        <v>#DIV/0!</v>
      </c>
      <c r="AN45" s="79">
        <f t="shared" si="85"/>
        <v>-1</v>
      </c>
      <c r="AO45" s="79" t="e">
        <f t="shared" si="86"/>
        <v>#DIV/0!</v>
      </c>
      <c r="AP45" s="79">
        <f t="shared" si="87"/>
        <v>-1</v>
      </c>
      <c r="AQ45" s="79" t="e">
        <f t="shared" si="88"/>
        <v>#DIV/0!</v>
      </c>
      <c r="AR45" s="79" t="e">
        <f t="shared" si="89"/>
        <v>#DIV/0!</v>
      </c>
      <c r="AS45" s="79" t="e">
        <f t="shared" si="90"/>
        <v>#DIV/0!</v>
      </c>
      <c r="AT45" s="79">
        <f t="shared" si="91"/>
        <v>-1</v>
      </c>
      <c r="AU45" s="79" t="e">
        <f t="shared" si="92"/>
        <v>#DIV/0!</v>
      </c>
      <c r="AV45" s="79" t="e">
        <f t="shared" si="93"/>
        <v>#DIV/0!</v>
      </c>
      <c r="AW45" s="79">
        <f t="shared" si="66"/>
        <v>-0.51842177272727274</v>
      </c>
      <c r="AY45" s="351">
        <v>11251101133</v>
      </c>
      <c r="AZ45" s="352" t="s">
        <v>306</v>
      </c>
    </row>
    <row r="46" spans="1:52" x14ac:dyDescent="0.25">
      <c r="A46" s="351">
        <v>11251101134</v>
      </c>
      <c r="B46" s="352" t="s">
        <v>307</v>
      </c>
      <c r="C46" s="357">
        <v>18000000</v>
      </c>
      <c r="D46" s="357"/>
      <c r="E46" s="378"/>
      <c r="F46" s="375">
        <f t="shared" si="67"/>
        <v>18000000</v>
      </c>
      <c r="G46" s="142">
        <v>18000000</v>
      </c>
      <c r="H46" s="27">
        <v>0</v>
      </c>
      <c r="I46" s="27">
        <v>0</v>
      </c>
      <c r="J46" s="27">
        <v>9000000</v>
      </c>
      <c r="K46" s="27">
        <v>0</v>
      </c>
      <c r="L46" s="27">
        <v>0</v>
      </c>
      <c r="M46" s="27">
        <v>0</v>
      </c>
      <c r="N46" s="27"/>
      <c r="O46" s="27">
        <v>9000000</v>
      </c>
      <c r="P46" s="27">
        <v>0</v>
      </c>
      <c r="Q46" s="27">
        <v>0</v>
      </c>
      <c r="R46" s="143">
        <v>0</v>
      </c>
      <c r="S46" s="143">
        <v>0</v>
      </c>
      <c r="T46" s="27">
        <f t="shared" si="72"/>
        <v>18000000</v>
      </c>
      <c r="U46" s="48">
        <f t="shared" si="69"/>
        <v>18000000</v>
      </c>
      <c r="V46" s="391">
        <f t="shared" si="70"/>
        <v>18000000</v>
      </c>
      <c r="W46" s="391">
        <f t="shared" si="18"/>
        <v>0</v>
      </c>
      <c r="Y46" s="27"/>
      <c r="Z46" s="27"/>
      <c r="AA46" s="27"/>
      <c r="AB46" s="27"/>
      <c r="AC46" s="27"/>
      <c r="AD46" s="27">
        <v>3090334</v>
      </c>
      <c r="AE46" s="27"/>
      <c r="AF46" s="27"/>
      <c r="AG46" s="27"/>
      <c r="AH46" s="27">
        <v>2472185</v>
      </c>
      <c r="AI46" s="27"/>
      <c r="AJ46" s="27">
        <f t="shared" si="73"/>
        <v>5562519</v>
      </c>
      <c r="AK46" s="31">
        <v>3090334</v>
      </c>
      <c r="AM46" s="79" t="e">
        <f t="shared" si="84"/>
        <v>#DIV/0!</v>
      </c>
      <c r="AN46" s="79" t="e">
        <f t="shared" si="85"/>
        <v>#DIV/0!</v>
      </c>
      <c r="AO46" s="79">
        <f t="shared" si="86"/>
        <v>-1</v>
      </c>
      <c r="AP46" s="79" t="e">
        <f t="shared" si="87"/>
        <v>#DIV/0!</v>
      </c>
      <c r="AQ46" s="79" t="e">
        <f t="shared" si="88"/>
        <v>#DIV/0!</v>
      </c>
      <c r="AR46" s="79" t="e">
        <f t="shared" si="89"/>
        <v>#DIV/0!</v>
      </c>
      <c r="AS46" s="79" t="e">
        <f t="shared" si="90"/>
        <v>#DIV/0!</v>
      </c>
      <c r="AT46" s="79">
        <f t="shared" si="91"/>
        <v>-1</v>
      </c>
      <c r="AU46" s="79" t="e">
        <f t="shared" si="92"/>
        <v>#DIV/0!</v>
      </c>
      <c r="AV46" s="79" t="e">
        <f t="shared" si="93"/>
        <v>#DIV/0!</v>
      </c>
      <c r="AW46" s="79">
        <f t="shared" si="66"/>
        <v>-0.69097116666666669</v>
      </c>
      <c r="AY46" s="351">
        <v>11251101134</v>
      </c>
      <c r="AZ46" s="352" t="s">
        <v>307</v>
      </c>
    </row>
    <row r="47" spans="1:52" x14ac:dyDescent="0.25">
      <c r="A47" s="351">
        <v>11251101135</v>
      </c>
      <c r="B47" s="352" t="s">
        <v>308</v>
      </c>
      <c r="C47" s="357"/>
      <c r="D47" s="357"/>
      <c r="E47" s="378"/>
      <c r="F47" s="375">
        <f t="shared" si="67"/>
        <v>0</v>
      </c>
      <c r="G47" s="142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143"/>
      <c r="S47" s="143"/>
      <c r="T47" s="27">
        <f t="shared" si="72"/>
        <v>0</v>
      </c>
      <c r="U47" s="48">
        <f t="shared" si="69"/>
        <v>0</v>
      </c>
      <c r="V47" s="391">
        <f t="shared" si="70"/>
        <v>0</v>
      </c>
      <c r="W47" s="391">
        <f t="shared" si="18"/>
        <v>0</v>
      </c>
      <c r="Y47" s="27"/>
      <c r="Z47" s="27">
        <v>1533697</v>
      </c>
      <c r="AA47" s="27">
        <v>4532475</v>
      </c>
      <c r="AB47" s="27"/>
      <c r="AC47" s="27"/>
      <c r="AD47" s="27">
        <v>511133</v>
      </c>
      <c r="AE47" s="27"/>
      <c r="AF47" s="27">
        <v>1268133</v>
      </c>
      <c r="AG47" s="27"/>
      <c r="AH47" s="27"/>
      <c r="AI47" s="27"/>
      <c r="AJ47" s="27">
        <f t="shared" si="73"/>
        <v>7845438</v>
      </c>
      <c r="AK47" s="31">
        <v>6577305</v>
      </c>
      <c r="AM47" s="79" t="e">
        <f t="shared" si="84"/>
        <v>#DIV/0!</v>
      </c>
      <c r="AN47" s="79" t="e">
        <f t="shared" si="85"/>
        <v>#DIV/0!</v>
      </c>
      <c r="AO47" s="79" t="e">
        <f t="shared" si="86"/>
        <v>#DIV/0!</v>
      </c>
      <c r="AP47" s="79" t="e">
        <f t="shared" si="87"/>
        <v>#DIV/0!</v>
      </c>
      <c r="AQ47" s="79" t="e">
        <f t="shared" si="88"/>
        <v>#DIV/0!</v>
      </c>
      <c r="AR47" s="79" t="e">
        <f t="shared" si="89"/>
        <v>#DIV/0!</v>
      </c>
      <c r="AS47" s="79" t="e">
        <f t="shared" si="90"/>
        <v>#DIV/0!</v>
      </c>
      <c r="AT47" s="79" t="e">
        <f t="shared" si="91"/>
        <v>#DIV/0!</v>
      </c>
      <c r="AU47" s="79" t="e">
        <f t="shared" si="92"/>
        <v>#DIV/0!</v>
      </c>
      <c r="AV47" s="79" t="e">
        <f t="shared" si="93"/>
        <v>#DIV/0!</v>
      </c>
      <c r="AW47" s="79" t="e">
        <f t="shared" si="66"/>
        <v>#DIV/0!</v>
      </c>
      <c r="AY47" s="351">
        <v>11251101135</v>
      </c>
      <c r="AZ47" s="352" t="s">
        <v>308</v>
      </c>
    </row>
    <row r="48" spans="1:52" x14ac:dyDescent="0.25">
      <c r="A48" s="351">
        <v>11251101136</v>
      </c>
      <c r="B48" s="352" t="s">
        <v>309</v>
      </c>
      <c r="C48" s="357">
        <v>33682873</v>
      </c>
      <c r="D48" s="357"/>
      <c r="E48" s="378"/>
      <c r="F48" s="375">
        <f t="shared" si="67"/>
        <v>33682873</v>
      </c>
      <c r="G48" s="142">
        <f>33682873+500011</f>
        <v>34182884</v>
      </c>
      <c r="H48" s="27">
        <v>0</v>
      </c>
      <c r="I48" s="27">
        <v>0</v>
      </c>
      <c r="J48" s="27">
        <v>500011</v>
      </c>
      <c r="K48" s="27">
        <f>16841436.5-500011</f>
        <v>16341425.5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16841436.5</v>
      </c>
      <c r="R48" s="143">
        <v>0</v>
      </c>
      <c r="S48" s="143">
        <v>0</v>
      </c>
      <c r="T48" s="27">
        <f t="shared" si="72"/>
        <v>33682873</v>
      </c>
      <c r="U48" s="48">
        <f t="shared" si="69"/>
        <v>33682873</v>
      </c>
      <c r="V48" s="391">
        <f t="shared" si="70"/>
        <v>33682873</v>
      </c>
      <c r="W48" s="391">
        <f t="shared" si="18"/>
        <v>0</v>
      </c>
      <c r="Y48" s="27"/>
      <c r="Z48" s="27">
        <v>40000</v>
      </c>
      <c r="AA48" s="27"/>
      <c r="AB48" s="27"/>
      <c r="AC48" s="27">
        <v>2529960</v>
      </c>
      <c r="AD48" s="27">
        <v>168528</v>
      </c>
      <c r="AE48" s="27">
        <v>224704</v>
      </c>
      <c r="AF48" s="27"/>
      <c r="AG48" s="27"/>
      <c r="AH48" s="27">
        <v>2772391</v>
      </c>
      <c r="AI48" s="27"/>
      <c r="AJ48" s="27">
        <f t="shared" si="73"/>
        <v>5735583</v>
      </c>
      <c r="AK48" s="31">
        <v>2963192</v>
      </c>
      <c r="AM48" s="79" t="e">
        <f t="shared" si="84"/>
        <v>#DIV/0!</v>
      </c>
      <c r="AN48" s="79" t="e">
        <f t="shared" si="85"/>
        <v>#DIV/0!</v>
      </c>
      <c r="AO48" s="79">
        <f t="shared" si="86"/>
        <v>-1</v>
      </c>
      <c r="AP48" s="79">
        <f t="shared" si="87"/>
        <v>-1</v>
      </c>
      <c r="AQ48" s="79" t="e">
        <f t="shared" si="88"/>
        <v>#DIV/0!</v>
      </c>
      <c r="AR48" s="79" t="e">
        <f t="shared" si="89"/>
        <v>#DIV/0!</v>
      </c>
      <c r="AS48" s="79" t="e">
        <f t="shared" si="90"/>
        <v>#DIV/0!</v>
      </c>
      <c r="AT48" s="79" t="e">
        <f t="shared" si="91"/>
        <v>#DIV/0!</v>
      </c>
      <c r="AU48" s="79" t="e">
        <f t="shared" si="92"/>
        <v>#DIV/0!</v>
      </c>
      <c r="AV48" s="79">
        <f t="shared" si="93"/>
        <v>-0.83538274778401478</v>
      </c>
      <c r="AW48" s="79">
        <f t="shared" si="66"/>
        <v>-0.82971811816646401</v>
      </c>
      <c r="AY48" s="351">
        <v>11251101136</v>
      </c>
      <c r="AZ48" s="352" t="s">
        <v>309</v>
      </c>
    </row>
    <row r="49" spans="1:52" x14ac:dyDescent="0.25">
      <c r="A49" s="351">
        <v>11251101137</v>
      </c>
      <c r="B49" s="352" t="s">
        <v>310</v>
      </c>
      <c r="C49" s="381">
        <v>32920000</v>
      </c>
      <c r="D49" s="357"/>
      <c r="E49" s="378"/>
      <c r="F49" s="375">
        <f t="shared" si="67"/>
        <v>32920000</v>
      </c>
      <c r="G49" s="142">
        <v>32920000</v>
      </c>
      <c r="H49" s="27"/>
      <c r="I49" s="27"/>
      <c r="J49" s="27">
        <v>0</v>
      </c>
      <c r="K49" s="27">
        <v>16460000</v>
      </c>
      <c r="L49" s="27">
        <v>0</v>
      </c>
      <c r="M49" s="27"/>
      <c r="N49" s="27">
        <v>0</v>
      </c>
      <c r="O49" s="27">
        <v>16460000</v>
      </c>
      <c r="P49" s="27">
        <v>0</v>
      </c>
      <c r="Q49" s="27">
        <v>0</v>
      </c>
      <c r="R49" s="143">
        <v>0</v>
      </c>
      <c r="S49" s="143">
        <v>0</v>
      </c>
      <c r="T49" s="27">
        <f t="shared" si="72"/>
        <v>32920000</v>
      </c>
      <c r="U49" s="48">
        <f t="shared" si="69"/>
        <v>32920000</v>
      </c>
      <c r="V49" s="391">
        <f t="shared" si="70"/>
        <v>32920000</v>
      </c>
      <c r="W49" s="391">
        <f t="shared" si="18"/>
        <v>0</v>
      </c>
      <c r="Y49" s="27">
        <v>7200000</v>
      </c>
      <c r="Z49" s="27">
        <v>219600</v>
      </c>
      <c r="AA49" s="27"/>
      <c r="AB49" s="27"/>
      <c r="AC49" s="27"/>
      <c r="AD49" s="27">
        <v>337076</v>
      </c>
      <c r="AE49" s="27"/>
      <c r="AF49" s="27"/>
      <c r="AG49" s="27"/>
      <c r="AH49" s="27"/>
      <c r="AI49" s="27"/>
      <c r="AJ49" s="27">
        <f t="shared" si="73"/>
        <v>7756676</v>
      </c>
      <c r="AK49" s="31">
        <v>7756676</v>
      </c>
      <c r="AM49" s="79" t="e">
        <f t="shared" si="84"/>
        <v>#DIV/0!</v>
      </c>
      <c r="AN49" s="79" t="e">
        <f t="shared" si="85"/>
        <v>#DIV/0!</v>
      </c>
      <c r="AO49" s="79" t="e">
        <f t="shared" si="86"/>
        <v>#DIV/0!</v>
      </c>
      <c r="AP49" s="79">
        <f t="shared" si="87"/>
        <v>-1</v>
      </c>
      <c r="AQ49" s="79" t="e">
        <f t="shared" si="88"/>
        <v>#DIV/0!</v>
      </c>
      <c r="AR49" s="79" t="e">
        <f t="shared" si="89"/>
        <v>#DIV/0!</v>
      </c>
      <c r="AS49" s="79" t="e">
        <f t="shared" si="90"/>
        <v>#DIV/0!</v>
      </c>
      <c r="AT49" s="79">
        <f t="shared" si="91"/>
        <v>-1</v>
      </c>
      <c r="AU49" s="79" t="e">
        <f t="shared" si="92"/>
        <v>#DIV/0!</v>
      </c>
      <c r="AV49" s="79" t="e">
        <f t="shared" si="93"/>
        <v>#DIV/0!</v>
      </c>
      <c r="AW49" s="79">
        <f t="shared" si="66"/>
        <v>-0.76437800729040095</v>
      </c>
      <c r="AY49" s="351">
        <v>11251101137</v>
      </c>
      <c r="AZ49" s="352" t="s">
        <v>310</v>
      </c>
    </row>
    <row r="50" spans="1:52" x14ac:dyDescent="0.25">
      <c r="A50" s="351">
        <v>11251101138</v>
      </c>
      <c r="B50" s="352" t="s">
        <v>311</v>
      </c>
      <c r="C50" s="357">
        <v>320000000</v>
      </c>
      <c r="D50" s="357"/>
      <c r="E50" s="378"/>
      <c r="F50" s="375">
        <f t="shared" si="67"/>
        <v>320000000</v>
      </c>
      <c r="G50" s="142">
        <v>320000000</v>
      </c>
      <c r="H50" s="27">
        <v>0</v>
      </c>
      <c r="I50" s="27">
        <v>0</v>
      </c>
      <c r="J50" s="27">
        <v>160000000</v>
      </c>
      <c r="K50" s="27">
        <v>0</v>
      </c>
      <c r="L50" s="27">
        <v>0</v>
      </c>
      <c r="M50" s="27">
        <v>0</v>
      </c>
      <c r="N50" s="27">
        <v>0</v>
      </c>
      <c r="O50" s="27">
        <v>160000000</v>
      </c>
      <c r="P50" s="27"/>
      <c r="Q50" s="27">
        <v>0</v>
      </c>
      <c r="R50" s="143">
        <v>0</v>
      </c>
      <c r="S50" s="143">
        <v>0</v>
      </c>
      <c r="T50" s="27">
        <f t="shared" si="72"/>
        <v>320000000</v>
      </c>
      <c r="U50" s="48">
        <f t="shared" si="69"/>
        <v>320000000</v>
      </c>
      <c r="V50" s="391">
        <f t="shared" si="70"/>
        <v>320000000</v>
      </c>
      <c r="W50" s="391">
        <f t="shared" si="18"/>
        <v>0</v>
      </c>
      <c r="Y50" s="27">
        <v>2460000</v>
      </c>
      <c r="Z50" s="27">
        <v>250173912</v>
      </c>
      <c r="AA50" s="27">
        <v>2194508</v>
      </c>
      <c r="AB50" s="27"/>
      <c r="AC50" s="27"/>
      <c r="AD50" s="27"/>
      <c r="AE50" s="27"/>
      <c r="AF50" s="27"/>
      <c r="AG50" s="27">
        <v>3072310</v>
      </c>
      <c r="AH50" s="27">
        <v>19970015</v>
      </c>
      <c r="AI50" s="27"/>
      <c r="AJ50" s="27">
        <f t="shared" si="73"/>
        <v>277870745</v>
      </c>
      <c r="AK50" s="31">
        <v>254828420</v>
      </c>
      <c r="AM50" s="79" t="e">
        <f t="shared" si="84"/>
        <v>#DIV/0!</v>
      </c>
      <c r="AN50" s="79" t="e">
        <f t="shared" si="85"/>
        <v>#DIV/0!</v>
      </c>
      <c r="AO50" s="79">
        <f t="shared" si="86"/>
        <v>-0.98628432499999996</v>
      </c>
      <c r="AP50" s="79" t="e">
        <f t="shared" si="87"/>
        <v>#DIV/0!</v>
      </c>
      <c r="AQ50" s="79" t="e">
        <f t="shared" si="88"/>
        <v>#DIV/0!</v>
      </c>
      <c r="AR50" s="79" t="e">
        <f t="shared" si="89"/>
        <v>#DIV/0!</v>
      </c>
      <c r="AS50" s="79" t="e">
        <f t="shared" si="90"/>
        <v>#DIV/0!</v>
      </c>
      <c r="AT50" s="79">
        <f t="shared" si="91"/>
        <v>-1</v>
      </c>
      <c r="AU50" s="79" t="e">
        <f t="shared" si="92"/>
        <v>#DIV/0!</v>
      </c>
      <c r="AV50" s="79" t="e">
        <f t="shared" si="93"/>
        <v>#DIV/0!</v>
      </c>
      <c r="AW50" s="79">
        <f t="shared" si="66"/>
        <v>-0.131653921875</v>
      </c>
      <c r="AY50" s="351">
        <v>11251101138</v>
      </c>
      <c r="AZ50" s="352" t="s">
        <v>311</v>
      </c>
    </row>
    <row r="51" spans="1:52" x14ac:dyDescent="0.25">
      <c r="A51" s="351">
        <v>11251101139</v>
      </c>
      <c r="B51" s="352" t="s">
        <v>312</v>
      </c>
      <c r="C51" s="381">
        <v>140000000</v>
      </c>
      <c r="D51" s="357"/>
      <c r="E51" s="378"/>
      <c r="F51" s="375">
        <f t="shared" si="67"/>
        <v>140000000</v>
      </c>
      <c r="G51" s="142">
        <v>140000000</v>
      </c>
      <c r="H51" s="27">
        <v>0</v>
      </c>
      <c r="I51" s="27">
        <v>0</v>
      </c>
      <c r="J51" s="27">
        <v>70000000</v>
      </c>
      <c r="K51" s="27">
        <v>0</v>
      </c>
      <c r="L51" s="27">
        <v>0</v>
      </c>
      <c r="M51" s="27">
        <v>0</v>
      </c>
      <c r="N51" s="27">
        <v>0</v>
      </c>
      <c r="O51" s="27">
        <v>70000000</v>
      </c>
      <c r="P51" s="27">
        <v>0</v>
      </c>
      <c r="Q51" s="27">
        <v>0</v>
      </c>
      <c r="R51" s="143">
        <v>0</v>
      </c>
      <c r="S51" s="143">
        <v>0</v>
      </c>
      <c r="T51" s="27">
        <f t="shared" si="72"/>
        <v>140000000</v>
      </c>
      <c r="U51" s="48">
        <f t="shared" si="69"/>
        <v>140000000</v>
      </c>
      <c r="V51" s="391">
        <f t="shared" si="70"/>
        <v>140000000</v>
      </c>
      <c r="W51" s="391">
        <f t="shared" si="18"/>
        <v>0</v>
      </c>
      <c r="Y51" s="27">
        <v>2323600</v>
      </c>
      <c r="Z51" s="27"/>
      <c r="AA51" s="27">
        <v>4460400</v>
      </c>
      <c r="AB51" s="27">
        <v>331400</v>
      </c>
      <c r="AC51" s="27"/>
      <c r="AD51" s="27">
        <v>87780</v>
      </c>
      <c r="AE51" s="27"/>
      <c r="AF51" s="27">
        <v>352200</v>
      </c>
      <c r="AG51" s="27"/>
      <c r="AH51" s="27">
        <v>18964224</v>
      </c>
      <c r="AI51" s="27"/>
      <c r="AJ51" s="27">
        <f t="shared" si="73"/>
        <v>26519604</v>
      </c>
      <c r="AK51" s="31">
        <v>7203180</v>
      </c>
      <c r="AM51" s="79" t="e">
        <f t="shared" si="84"/>
        <v>#DIV/0!</v>
      </c>
      <c r="AN51" s="79" t="e">
        <f t="shared" si="85"/>
        <v>#DIV/0!</v>
      </c>
      <c r="AO51" s="79">
        <f t="shared" si="86"/>
        <v>-0.93628</v>
      </c>
      <c r="AP51" s="79" t="e">
        <f t="shared" si="87"/>
        <v>#DIV/0!</v>
      </c>
      <c r="AQ51" s="79" t="e">
        <f t="shared" si="88"/>
        <v>#DIV/0!</v>
      </c>
      <c r="AR51" s="79" t="e">
        <f t="shared" si="89"/>
        <v>#DIV/0!</v>
      </c>
      <c r="AS51" s="79" t="e">
        <f t="shared" si="90"/>
        <v>#DIV/0!</v>
      </c>
      <c r="AT51" s="79">
        <f t="shared" si="91"/>
        <v>-0.99496857142857142</v>
      </c>
      <c r="AU51" s="79" t="e">
        <f t="shared" si="92"/>
        <v>#DIV/0!</v>
      </c>
      <c r="AV51" s="79" t="e">
        <f t="shared" si="93"/>
        <v>#DIV/0!</v>
      </c>
      <c r="AW51" s="79">
        <f t="shared" si="66"/>
        <v>-0.81057425714285714</v>
      </c>
      <c r="AY51" s="351">
        <v>11251101139</v>
      </c>
      <c r="AZ51" s="352" t="s">
        <v>312</v>
      </c>
    </row>
    <row r="52" spans="1:52" x14ac:dyDescent="0.25">
      <c r="A52" s="351" t="s">
        <v>313</v>
      </c>
      <c r="B52" s="352" t="s">
        <v>314</v>
      </c>
      <c r="C52" s="357">
        <v>240000000</v>
      </c>
      <c r="D52" s="357"/>
      <c r="E52" s="378"/>
      <c r="F52" s="375">
        <f t="shared" si="67"/>
        <v>240000000</v>
      </c>
      <c r="G52" s="142">
        <v>240000000</v>
      </c>
      <c r="H52" s="27">
        <v>0</v>
      </c>
      <c r="I52" s="27">
        <v>0</v>
      </c>
      <c r="J52" s="27">
        <v>120000000</v>
      </c>
      <c r="K52" s="27">
        <v>0</v>
      </c>
      <c r="L52" s="27">
        <v>0</v>
      </c>
      <c r="M52" s="27">
        <v>0</v>
      </c>
      <c r="N52" s="27">
        <v>0</v>
      </c>
      <c r="O52" s="27">
        <v>120000000</v>
      </c>
      <c r="P52" s="27">
        <v>0</v>
      </c>
      <c r="Q52" s="27">
        <v>0</v>
      </c>
      <c r="R52" s="143">
        <v>0</v>
      </c>
      <c r="S52" s="143">
        <v>0</v>
      </c>
      <c r="T52" s="27">
        <f t="shared" si="72"/>
        <v>240000000</v>
      </c>
      <c r="U52" s="48">
        <f t="shared" si="69"/>
        <v>240000000</v>
      </c>
      <c r="V52" s="391">
        <f t="shared" si="70"/>
        <v>240000000</v>
      </c>
      <c r="W52" s="391">
        <f t="shared" si="18"/>
        <v>0</v>
      </c>
      <c r="Y52" s="27"/>
      <c r="Z52" s="27"/>
      <c r="AA52" s="27"/>
      <c r="AB52" s="27"/>
      <c r="AC52" s="27"/>
      <c r="AD52" s="27"/>
      <c r="AE52" s="27">
        <v>87282643</v>
      </c>
      <c r="AF52" s="27"/>
      <c r="AG52" s="27">
        <v>65605700</v>
      </c>
      <c r="AH52" s="27"/>
      <c r="AI52" s="27"/>
      <c r="AJ52" s="27">
        <f t="shared" si="73"/>
        <v>152888343</v>
      </c>
      <c r="AK52" s="31">
        <v>87282643</v>
      </c>
      <c r="AM52" s="79" t="e">
        <f t="shared" si="84"/>
        <v>#DIV/0!</v>
      </c>
      <c r="AN52" s="79" t="e">
        <f t="shared" si="85"/>
        <v>#DIV/0!</v>
      </c>
      <c r="AO52" s="79">
        <f t="shared" si="86"/>
        <v>-1</v>
      </c>
      <c r="AP52" s="79" t="e">
        <f t="shared" si="87"/>
        <v>#DIV/0!</v>
      </c>
      <c r="AQ52" s="79" t="e">
        <f t="shared" si="88"/>
        <v>#DIV/0!</v>
      </c>
      <c r="AR52" s="79" t="e">
        <f t="shared" si="89"/>
        <v>#DIV/0!</v>
      </c>
      <c r="AS52" s="79" t="e">
        <f t="shared" si="90"/>
        <v>#DIV/0!</v>
      </c>
      <c r="AT52" s="79">
        <f t="shared" si="91"/>
        <v>-1</v>
      </c>
      <c r="AU52" s="79" t="e">
        <f t="shared" si="92"/>
        <v>#DIV/0!</v>
      </c>
      <c r="AV52" s="79" t="e">
        <f t="shared" si="93"/>
        <v>#DIV/0!</v>
      </c>
      <c r="AW52" s="79">
        <f t="shared" si="66"/>
        <v>-0.36296523749999998</v>
      </c>
      <c r="AY52" s="351" t="s">
        <v>313</v>
      </c>
      <c r="AZ52" s="352" t="s">
        <v>314</v>
      </c>
    </row>
    <row r="53" spans="1:52" x14ac:dyDescent="0.25">
      <c r="A53" s="351" t="s">
        <v>315</v>
      </c>
      <c r="B53" s="352" t="s">
        <v>316</v>
      </c>
      <c r="C53" s="357">
        <v>22000000</v>
      </c>
      <c r="D53" s="357"/>
      <c r="E53" s="378"/>
      <c r="F53" s="375">
        <f t="shared" si="67"/>
        <v>22000000</v>
      </c>
      <c r="G53" s="142">
        <v>22000000</v>
      </c>
      <c r="H53" s="27">
        <v>0</v>
      </c>
      <c r="I53" s="27"/>
      <c r="J53" s="27"/>
      <c r="K53" s="27"/>
      <c r="L53" s="27">
        <v>11000000</v>
      </c>
      <c r="M53" s="27"/>
      <c r="N53" s="27"/>
      <c r="O53" s="27">
        <v>11000000</v>
      </c>
      <c r="P53" s="27">
        <v>0</v>
      </c>
      <c r="Q53" s="27">
        <v>0</v>
      </c>
      <c r="R53" s="143">
        <v>0</v>
      </c>
      <c r="S53" s="143">
        <v>0</v>
      </c>
      <c r="T53" s="27">
        <f t="shared" si="72"/>
        <v>22000000</v>
      </c>
      <c r="U53" s="48">
        <f t="shared" si="69"/>
        <v>22000000</v>
      </c>
      <c r="V53" s="391">
        <f t="shared" si="70"/>
        <v>22000000</v>
      </c>
      <c r="W53" s="391">
        <f t="shared" si="18"/>
        <v>0</v>
      </c>
      <c r="Y53" s="27"/>
      <c r="Z53" s="27">
        <v>10593156.470000001</v>
      </c>
      <c r="AA53" s="27">
        <v>112359</v>
      </c>
      <c r="AB53" s="27">
        <v>1685462</v>
      </c>
      <c r="AC53" s="27">
        <v>2840568</v>
      </c>
      <c r="AD53" s="27">
        <v>0.78</v>
      </c>
      <c r="AE53" s="27">
        <v>224718</v>
      </c>
      <c r="AF53" s="27">
        <v>6967468</v>
      </c>
      <c r="AG53" s="27">
        <v>2977628</v>
      </c>
      <c r="AH53" s="27"/>
      <c r="AI53" s="27"/>
      <c r="AJ53" s="27">
        <f t="shared" si="73"/>
        <v>25401360.25</v>
      </c>
      <c r="AK53" s="31">
        <v>15456264.25</v>
      </c>
      <c r="AM53" s="79" t="e">
        <f t="shared" si="84"/>
        <v>#DIV/0!</v>
      </c>
      <c r="AN53" s="79" t="e">
        <f t="shared" si="85"/>
        <v>#DIV/0!</v>
      </c>
      <c r="AO53" s="79" t="e">
        <f t="shared" si="86"/>
        <v>#DIV/0!</v>
      </c>
      <c r="AP53" s="79" t="e">
        <f t="shared" si="87"/>
        <v>#DIV/0!</v>
      </c>
      <c r="AQ53" s="79">
        <f t="shared" si="88"/>
        <v>-0.74176654545454546</v>
      </c>
      <c r="AR53" s="79" t="e">
        <f t="shared" si="89"/>
        <v>#DIV/0!</v>
      </c>
      <c r="AS53" s="79" t="e">
        <f t="shared" si="90"/>
        <v>#DIV/0!</v>
      </c>
      <c r="AT53" s="79">
        <f t="shared" si="91"/>
        <v>-0.36659381818181819</v>
      </c>
      <c r="AU53" s="79" t="e">
        <f t="shared" si="92"/>
        <v>#DIV/0!</v>
      </c>
      <c r="AV53" s="79" t="e">
        <f t="shared" si="93"/>
        <v>#DIV/0!</v>
      </c>
      <c r="AW53" s="79">
        <f t="shared" si="66"/>
        <v>0.1546072840909091</v>
      </c>
      <c r="AY53" s="351" t="s">
        <v>315</v>
      </c>
      <c r="AZ53" s="352" t="s">
        <v>316</v>
      </c>
    </row>
    <row r="54" spans="1:52" x14ac:dyDescent="0.25">
      <c r="A54" s="351" t="s">
        <v>317</v>
      </c>
      <c r="B54" s="352" t="s">
        <v>318</v>
      </c>
      <c r="C54" s="381">
        <v>13060960</v>
      </c>
      <c r="D54" s="357"/>
      <c r="E54" s="378"/>
      <c r="F54" s="375">
        <f t="shared" si="67"/>
        <v>13060960</v>
      </c>
      <c r="G54" s="142">
        <v>13060960</v>
      </c>
      <c r="H54" s="27">
        <v>0</v>
      </c>
      <c r="I54" s="27"/>
      <c r="J54" s="27">
        <v>6530480</v>
      </c>
      <c r="K54" s="27"/>
      <c r="L54" s="27"/>
      <c r="M54" s="27"/>
      <c r="N54" s="27"/>
      <c r="O54" s="27">
        <v>6530480</v>
      </c>
      <c r="P54" s="27">
        <v>0</v>
      </c>
      <c r="Q54" s="27">
        <v>0</v>
      </c>
      <c r="R54" s="143">
        <v>0</v>
      </c>
      <c r="S54" s="143">
        <v>0</v>
      </c>
      <c r="T54" s="27">
        <f t="shared" si="72"/>
        <v>13060960</v>
      </c>
      <c r="U54" s="48">
        <f t="shared" si="69"/>
        <v>13060960</v>
      </c>
      <c r="V54" s="391">
        <f t="shared" si="70"/>
        <v>13060960</v>
      </c>
      <c r="W54" s="391">
        <f t="shared" si="18"/>
        <v>0</v>
      </c>
      <c r="Y54" s="27">
        <v>154900</v>
      </c>
      <c r="Z54" s="27"/>
      <c r="AA54" s="27"/>
      <c r="AB54" s="27"/>
      <c r="AC54" s="27"/>
      <c r="AD54" s="27">
        <v>1572989</v>
      </c>
      <c r="AE54" s="27">
        <v>224959</v>
      </c>
      <c r="AF54" s="27"/>
      <c r="AG54" s="27"/>
      <c r="AH54" s="27"/>
      <c r="AI54" s="27"/>
      <c r="AJ54" s="27">
        <f t="shared" si="73"/>
        <v>1952848</v>
      </c>
      <c r="AK54" s="31">
        <v>1952848</v>
      </c>
      <c r="AM54" s="79" t="e">
        <f t="shared" si="84"/>
        <v>#DIV/0!</v>
      </c>
      <c r="AN54" s="79" t="e">
        <f t="shared" si="85"/>
        <v>#DIV/0!</v>
      </c>
      <c r="AO54" s="79">
        <f t="shared" si="86"/>
        <v>-1</v>
      </c>
      <c r="AP54" s="79" t="e">
        <f t="shared" si="87"/>
        <v>#DIV/0!</v>
      </c>
      <c r="AQ54" s="79" t="e">
        <f t="shared" si="88"/>
        <v>#DIV/0!</v>
      </c>
      <c r="AR54" s="79" t="e">
        <f t="shared" si="89"/>
        <v>#DIV/0!</v>
      </c>
      <c r="AS54" s="79" t="e">
        <f t="shared" si="90"/>
        <v>#DIV/0!</v>
      </c>
      <c r="AT54" s="79">
        <f t="shared" si="91"/>
        <v>-1</v>
      </c>
      <c r="AU54" s="79" t="e">
        <f t="shared" si="92"/>
        <v>#DIV/0!</v>
      </c>
      <c r="AV54" s="79" t="e">
        <f t="shared" si="93"/>
        <v>#DIV/0!</v>
      </c>
      <c r="AW54" s="79">
        <f t="shared" si="66"/>
        <v>-0.85048204726145704</v>
      </c>
      <c r="AY54" s="351" t="s">
        <v>317</v>
      </c>
      <c r="AZ54" s="352" t="s">
        <v>318</v>
      </c>
    </row>
    <row r="55" spans="1:52" s="47" customFormat="1" x14ac:dyDescent="0.25">
      <c r="A55" s="351" t="s">
        <v>319</v>
      </c>
      <c r="B55" s="352" t="s">
        <v>320</v>
      </c>
      <c r="C55" s="357"/>
      <c r="D55" s="357"/>
      <c r="E55" s="378"/>
      <c r="F55" s="375">
        <f t="shared" si="67"/>
        <v>0</v>
      </c>
      <c r="G55" s="142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143"/>
      <c r="S55" s="143"/>
      <c r="T55" s="27">
        <f t="shared" si="72"/>
        <v>0</v>
      </c>
      <c r="U55" s="48">
        <f t="shared" si="69"/>
        <v>0</v>
      </c>
      <c r="V55" s="391">
        <f t="shared" si="70"/>
        <v>0</v>
      </c>
      <c r="W55" s="391">
        <f t="shared" si="18"/>
        <v>0</v>
      </c>
      <c r="Y55" s="27">
        <v>10162463</v>
      </c>
      <c r="Z55" s="27">
        <v>13868400</v>
      </c>
      <c r="AA55" s="27">
        <v>66930750</v>
      </c>
      <c r="AB55" s="27">
        <v>7418300</v>
      </c>
      <c r="AC55" s="27">
        <v>4443500</v>
      </c>
      <c r="AD55" s="27">
        <v>11026300</v>
      </c>
      <c r="AE55" s="27">
        <v>634100</v>
      </c>
      <c r="AF55" s="27">
        <v>16039400</v>
      </c>
      <c r="AG55" s="27">
        <v>77563300</v>
      </c>
      <c r="AH55" s="27">
        <v>3506500</v>
      </c>
      <c r="AI55" s="27"/>
      <c r="AJ55" s="27">
        <f t="shared" si="73"/>
        <v>211593013</v>
      </c>
      <c r="AK55" s="31">
        <v>114483813</v>
      </c>
      <c r="AM55" s="79" t="e">
        <f t="shared" si="84"/>
        <v>#DIV/0!</v>
      </c>
      <c r="AN55" s="79" t="e">
        <f t="shared" si="85"/>
        <v>#DIV/0!</v>
      </c>
      <c r="AO55" s="79" t="e">
        <f t="shared" si="86"/>
        <v>#DIV/0!</v>
      </c>
      <c r="AP55" s="79" t="e">
        <f t="shared" si="87"/>
        <v>#DIV/0!</v>
      </c>
      <c r="AQ55" s="79" t="e">
        <f t="shared" si="88"/>
        <v>#DIV/0!</v>
      </c>
      <c r="AR55" s="79" t="e">
        <f t="shared" si="89"/>
        <v>#DIV/0!</v>
      </c>
      <c r="AS55" s="79" t="e">
        <f t="shared" si="90"/>
        <v>#DIV/0!</v>
      </c>
      <c r="AT55" s="79" t="e">
        <f t="shared" si="91"/>
        <v>#DIV/0!</v>
      </c>
      <c r="AU55" s="79" t="e">
        <f t="shared" si="92"/>
        <v>#DIV/0!</v>
      </c>
      <c r="AV55" s="79" t="e">
        <f t="shared" si="93"/>
        <v>#DIV/0!</v>
      </c>
      <c r="AW55" s="79" t="e">
        <f t="shared" si="66"/>
        <v>#DIV/0!</v>
      </c>
      <c r="AY55" s="351" t="s">
        <v>319</v>
      </c>
      <c r="AZ55" s="352" t="s">
        <v>320</v>
      </c>
    </row>
    <row r="56" spans="1:52" s="47" customFormat="1" x14ac:dyDescent="0.25">
      <c r="A56" s="351" t="s">
        <v>321</v>
      </c>
      <c r="B56" s="352" t="s">
        <v>322</v>
      </c>
      <c r="C56" s="357">
        <v>80000000</v>
      </c>
      <c r="D56" s="357"/>
      <c r="E56" s="378"/>
      <c r="F56" s="375">
        <f t="shared" si="67"/>
        <v>80000000</v>
      </c>
      <c r="G56" s="142">
        <v>80000000</v>
      </c>
      <c r="H56" s="27">
        <v>0</v>
      </c>
      <c r="I56" s="27">
        <v>2000000</v>
      </c>
      <c r="J56" s="27">
        <v>9000000</v>
      </c>
      <c r="K56" s="27"/>
      <c r="L56" s="27">
        <v>11000000</v>
      </c>
      <c r="M56" s="27">
        <v>9000000</v>
      </c>
      <c r="N56" s="27">
        <v>9000000</v>
      </c>
      <c r="O56" s="27">
        <v>40000000</v>
      </c>
      <c r="P56" s="27">
        <v>0</v>
      </c>
      <c r="Q56" s="27">
        <v>0</v>
      </c>
      <c r="R56" s="143">
        <v>0</v>
      </c>
      <c r="S56" s="143">
        <v>0</v>
      </c>
      <c r="T56" s="27">
        <f t="shared" si="72"/>
        <v>80000000</v>
      </c>
      <c r="U56" s="48">
        <f t="shared" si="69"/>
        <v>80000000</v>
      </c>
      <c r="V56" s="391">
        <f t="shared" si="70"/>
        <v>80000000</v>
      </c>
      <c r="W56" s="391">
        <f t="shared" si="18"/>
        <v>0</v>
      </c>
      <c r="Y56" s="27"/>
      <c r="Z56" s="27">
        <v>6654890</v>
      </c>
      <c r="AA56" s="27"/>
      <c r="AB56" s="27"/>
      <c r="AC56" s="27"/>
      <c r="AD56" s="27">
        <v>20455585</v>
      </c>
      <c r="AE56" s="27"/>
      <c r="AF56" s="27"/>
      <c r="AG56" s="27"/>
      <c r="AH56" s="27"/>
      <c r="AI56" s="27"/>
      <c r="AJ56" s="27">
        <f t="shared" si="73"/>
        <v>27110475</v>
      </c>
      <c r="AK56" s="31">
        <v>27110475</v>
      </c>
      <c r="AM56" s="79" t="e">
        <f t="shared" si="84"/>
        <v>#DIV/0!</v>
      </c>
      <c r="AN56" s="79">
        <f t="shared" si="85"/>
        <v>2.327445</v>
      </c>
      <c r="AO56" s="79">
        <f t="shared" si="86"/>
        <v>-1</v>
      </c>
      <c r="AP56" s="79" t="e">
        <f t="shared" si="87"/>
        <v>#DIV/0!</v>
      </c>
      <c r="AQ56" s="79">
        <f t="shared" si="88"/>
        <v>-1</v>
      </c>
      <c r="AR56" s="79">
        <f t="shared" si="89"/>
        <v>1.2728427777777778</v>
      </c>
      <c r="AS56" s="79">
        <f t="shared" si="90"/>
        <v>-1</v>
      </c>
      <c r="AT56" s="79">
        <f t="shared" si="91"/>
        <v>-1</v>
      </c>
      <c r="AU56" s="79" t="e">
        <f t="shared" si="92"/>
        <v>#DIV/0!</v>
      </c>
      <c r="AV56" s="79" t="e">
        <f t="shared" si="93"/>
        <v>#DIV/0!</v>
      </c>
      <c r="AW56" s="79">
        <f t="shared" si="66"/>
        <v>-0.66111906249999997</v>
      </c>
      <c r="AY56" s="351" t="s">
        <v>321</v>
      </c>
      <c r="AZ56" s="352" t="s">
        <v>322</v>
      </c>
    </row>
    <row r="57" spans="1:52" s="47" customFormat="1" x14ac:dyDescent="0.25">
      <c r="A57" s="351" t="s">
        <v>323</v>
      </c>
      <c r="B57" s="352" t="s">
        <v>324</v>
      </c>
      <c r="C57" s="357">
        <v>100000000</v>
      </c>
      <c r="D57" s="357"/>
      <c r="E57" s="378"/>
      <c r="F57" s="375">
        <f t="shared" si="67"/>
        <v>100000000</v>
      </c>
      <c r="G57" s="142">
        <v>100000000</v>
      </c>
      <c r="H57" s="27">
        <v>0</v>
      </c>
      <c r="I57" s="27">
        <v>0</v>
      </c>
      <c r="J57" s="27">
        <v>50000000</v>
      </c>
      <c r="K57" s="27">
        <v>0</v>
      </c>
      <c r="L57" s="27">
        <v>0</v>
      </c>
      <c r="M57" s="27">
        <v>0</v>
      </c>
      <c r="N57" s="27">
        <v>0</v>
      </c>
      <c r="O57" s="27">
        <v>50000000</v>
      </c>
      <c r="P57" s="27">
        <v>0</v>
      </c>
      <c r="Q57" s="27">
        <v>0</v>
      </c>
      <c r="R57" s="143">
        <v>0</v>
      </c>
      <c r="S57" s="143">
        <v>0</v>
      </c>
      <c r="T57" s="27">
        <f t="shared" si="72"/>
        <v>100000000</v>
      </c>
      <c r="U57" s="48">
        <f t="shared" si="69"/>
        <v>100000000</v>
      </c>
      <c r="V57" s="391">
        <f t="shared" si="70"/>
        <v>100000000</v>
      </c>
      <c r="W57" s="391">
        <f t="shared" si="18"/>
        <v>0</v>
      </c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>
        <f t="shared" si="73"/>
        <v>0</v>
      </c>
      <c r="AK57" s="31">
        <v>0</v>
      </c>
      <c r="AM57" s="79" t="e">
        <f t="shared" si="84"/>
        <v>#DIV/0!</v>
      </c>
      <c r="AN57" s="79" t="e">
        <f t="shared" si="85"/>
        <v>#DIV/0!</v>
      </c>
      <c r="AO57" s="79">
        <f t="shared" si="86"/>
        <v>-1</v>
      </c>
      <c r="AP57" s="79" t="e">
        <f t="shared" si="87"/>
        <v>#DIV/0!</v>
      </c>
      <c r="AQ57" s="79" t="e">
        <f t="shared" si="88"/>
        <v>#DIV/0!</v>
      </c>
      <c r="AR57" s="79" t="e">
        <f t="shared" si="89"/>
        <v>#DIV/0!</v>
      </c>
      <c r="AS57" s="79" t="e">
        <f t="shared" si="90"/>
        <v>#DIV/0!</v>
      </c>
      <c r="AT57" s="79">
        <f t="shared" si="91"/>
        <v>-1</v>
      </c>
      <c r="AU57" s="79" t="e">
        <f t="shared" si="92"/>
        <v>#DIV/0!</v>
      </c>
      <c r="AV57" s="79" t="e">
        <f t="shared" si="93"/>
        <v>#DIV/0!</v>
      </c>
      <c r="AW57" s="79">
        <f t="shared" si="66"/>
        <v>-1</v>
      </c>
      <c r="AY57" s="351" t="s">
        <v>323</v>
      </c>
      <c r="AZ57" s="352" t="s">
        <v>324</v>
      </c>
    </row>
    <row r="58" spans="1:52" s="47" customFormat="1" x14ac:dyDescent="0.25">
      <c r="A58" s="351" t="s">
        <v>325</v>
      </c>
      <c r="B58" s="352" t="s">
        <v>326</v>
      </c>
      <c r="C58" s="357">
        <v>205500000</v>
      </c>
      <c r="D58" s="357"/>
      <c r="E58" s="378"/>
      <c r="F58" s="375">
        <f t="shared" si="67"/>
        <v>205500000</v>
      </c>
      <c r="G58" s="142">
        <v>205000000</v>
      </c>
      <c r="H58" s="27">
        <v>0</v>
      </c>
      <c r="I58" s="27">
        <v>0</v>
      </c>
      <c r="J58" s="27">
        <v>102500000</v>
      </c>
      <c r="K58" s="27">
        <v>0</v>
      </c>
      <c r="L58" s="27">
        <v>0</v>
      </c>
      <c r="M58" s="27">
        <v>500000</v>
      </c>
      <c r="N58" s="27">
        <v>0</v>
      </c>
      <c r="O58" s="27">
        <v>102500000</v>
      </c>
      <c r="P58" s="27">
        <v>0</v>
      </c>
      <c r="Q58" s="27">
        <v>0</v>
      </c>
      <c r="R58" s="142">
        <v>0</v>
      </c>
      <c r="S58" s="142">
        <v>0</v>
      </c>
      <c r="T58" s="27">
        <f t="shared" si="72"/>
        <v>205500000</v>
      </c>
      <c r="U58" s="48">
        <f t="shared" si="69"/>
        <v>205500000</v>
      </c>
      <c r="V58" s="391">
        <f t="shared" si="70"/>
        <v>205500000</v>
      </c>
      <c r="W58" s="391">
        <f t="shared" si="18"/>
        <v>0</v>
      </c>
      <c r="Y58" s="27"/>
      <c r="Z58" s="27">
        <v>3134000</v>
      </c>
      <c r="AA58" s="27">
        <v>45394700</v>
      </c>
      <c r="AB58" s="27">
        <v>22999629</v>
      </c>
      <c r="AC58" s="27">
        <v>3962367</v>
      </c>
      <c r="AD58" s="27">
        <v>3518319</v>
      </c>
      <c r="AE58" s="27">
        <v>45674270</v>
      </c>
      <c r="AF58" s="27"/>
      <c r="AG58" s="27">
        <v>786806</v>
      </c>
      <c r="AH58" s="27">
        <v>2252240</v>
      </c>
      <c r="AI58" s="27"/>
      <c r="AJ58" s="27">
        <f t="shared" si="73"/>
        <v>127722331</v>
      </c>
      <c r="AK58" s="31">
        <v>124683285</v>
      </c>
      <c r="AM58" s="79" t="e">
        <f t="shared" si="84"/>
        <v>#DIV/0!</v>
      </c>
      <c r="AN58" s="79" t="e">
        <f t="shared" si="85"/>
        <v>#DIV/0!</v>
      </c>
      <c r="AO58" s="79">
        <f t="shared" si="86"/>
        <v>-0.55712487804878053</v>
      </c>
      <c r="AP58" s="79" t="e">
        <f t="shared" si="87"/>
        <v>#DIV/0!</v>
      </c>
      <c r="AQ58" s="79" t="e">
        <f t="shared" si="88"/>
        <v>#DIV/0!</v>
      </c>
      <c r="AR58" s="79">
        <f t="shared" si="89"/>
        <v>6.0366379999999999</v>
      </c>
      <c r="AS58" s="79" t="e">
        <f t="shared" si="90"/>
        <v>#DIV/0!</v>
      </c>
      <c r="AT58" s="79">
        <f t="shared" si="91"/>
        <v>-1</v>
      </c>
      <c r="AU58" s="79" t="e">
        <f t="shared" si="92"/>
        <v>#DIV/0!</v>
      </c>
      <c r="AV58" s="79" t="e">
        <f t="shared" si="93"/>
        <v>#DIV/0!</v>
      </c>
      <c r="AW58" s="79">
        <f t="shared" si="66"/>
        <v>-0.3784801411192214</v>
      </c>
      <c r="AY58" s="351" t="s">
        <v>325</v>
      </c>
      <c r="AZ58" s="352" t="s">
        <v>326</v>
      </c>
    </row>
    <row r="59" spans="1:52" s="47" customFormat="1" x14ac:dyDescent="0.25">
      <c r="A59" s="351" t="s">
        <v>327</v>
      </c>
      <c r="B59" s="352" t="s">
        <v>328</v>
      </c>
      <c r="C59" s="357">
        <v>120000000</v>
      </c>
      <c r="D59" s="357"/>
      <c r="E59" s="378"/>
      <c r="F59" s="375">
        <f t="shared" si="67"/>
        <v>120000000</v>
      </c>
      <c r="G59" s="142">
        <v>120000000</v>
      </c>
      <c r="H59" s="27">
        <v>0</v>
      </c>
      <c r="I59" s="27">
        <v>0</v>
      </c>
      <c r="J59" s="27">
        <v>60000000</v>
      </c>
      <c r="K59" s="27">
        <v>0</v>
      </c>
      <c r="L59" s="27">
        <v>0</v>
      </c>
      <c r="M59" s="27">
        <v>0</v>
      </c>
      <c r="N59" s="27">
        <v>0</v>
      </c>
      <c r="O59" s="27">
        <v>60000000</v>
      </c>
      <c r="P59" s="27">
        <v>0</v>
      </c>
      <c r="Q59" s="27">
        <v>0</v>
      </c>
      <c r="R59" s="143">
        <v>0</v>
      </c>
      <c r="S59" s="143">
        <v>0</v>
      </c>
      <c r="T59" s="27">
        <f t="shared" si="72"/>
        <v>120000000</v>
      </c>
      <c r="U59" s="48">
        <f t="shared" si="69"/>
        <v>120000000</v>
      </c>
      <c r="V59" s="391">
        <f t="shared" si="70"/>
        <v>120000000</v>
      </c>
      <c r="W59" s="391">
        <f t="shared" si="18"/>
        <v>0</v>
      </c>
      <c r="Y59" s="27"/>
      <c r="Z59" s="27"/>
      <c r="AA59" s="27"/>
      <c r="AB59" s="27"/>
      <c r="AC59" s="27"/>
      <c r="AD59" s="27"/>
      <c r="AE59" s="27"/>
      <c r="AF59" s="27">
        <f>123360727-2018947</f>
        <v>121341780</v>
      </c>
      <c r="AG59" s="27">
        <v>2018947</v>
      </c>
      <c r="AH59" s="27"/>
      <c r="AI59" s="27"/>
      <c r="AJ59" s="27">
        <f t="shared" si="73"/>
        <v>123360727</v>
      </c>
      <c r="AK59" s="31">
        <v>0</v>
      </c>
      <c r="AM59" s="79" t="e">
        <f t="shared" si="84"/>
        <v>#DIV/0!</v>
      </c>
      <c r="AN59" s="79" t="e">
        <f t="shared" si="85"/>
        <v>#DIV/0!</v>
      </c>
      <c r="AO59" s="79">
        <f t="shared" si="86"/>
        <v>-1</v>
      </c>
      <c r="AP59" s="79" t="e">
        <f t="shared" si="87"/>
        <v>#DIV/0!</v>
      </c>
      <c r="AQ59" s="79" t="e">
        <f t="shared" si="88"/>
        <v>#DIV/0!</v>
      </c>
      <c r="AR59" s="79" t="e">
        <f t="shared" si="89"/>
        <v>#DIV/0!</v>
      </c>
      <c r="AS59" s="79" t="e">
        <f t="shared" si="90"/>
        <v>#DIV/0!</v>
      </c>
      <c r="AT59" s="79">
        <f t="shared" si="91"/>
        <v>1.0223629999999999</v>
      </c>
      <c r="AU59" s="79" t="e">
        <f t="shared" si="92"/>
        <v>#DIV/0!</v>
      </c>
      <c r="AV59" s="79" t="e">
        <f t="shared" si="93"/>
        <v>#DIV/0!</v>
      </c>
      <c r="AW59" s="79">
        <f t="shared" si="66"/>
        <v>2.8006058333333333E-2</v>
      </c>
      <c r="AY59" s="351" t="s">
        <v>327</v>
      </c>
      <c r="AZ59" s="352" t="s">
        <v>328</v>
      </c>
    </row>
    <row r="60" spans="1:52" s="47" customFormat="1" x14ac:dyDescent="0.25">
      <c r="A60" s="351" t="s">
        <v>329</v>
      </c>
      <c r="B60" s="352" t="s">
        <v>330</v>
      </c>
      <c r="C60" s="357">
        <v>150724000</v>
      </c>
      <c r="D60" s="357"/>
      <c r="E60" s="378"/>
      <c r="F60" s="375">
        <f t="shared" si="67"/>
        <v>150724000</v>
      </c>
      <c r="G60" s="142">
        <v>150724000</v>
      </c>
      <c r="H60" s="27">
        <v>0</v>
      </c>
      <c r="I60" s="27">
        <v>0</v>
      </c>
      <c r="J60" s="27">
        <v>0</v>
      </c>
      <c r="K60" s="27">
        <v>0</v>
      </c>
      <c r="L60" s="27">
        <v>75362000</v>
      </c>
      <c r="M60" s="27">
        <v>0</v>
      </c>
      <c r="N60" s="27">
        <v>0</v>
      </c>
      <c r="O60" s="27">
        <v>0</v>
      </c>
      <c r="P60" s="27">
        <v>56521500</v>
      </c>
      <c r="Q60" s="27">
        <v>18840500</v>
      </c>
      <c r="R60" s="142">
        <v>0</v>
      </c>
      <c r="S60" s="142">
        <v>0</v>
      </c>
      <c r="T60" s="27">
        <f t="shared" si="72"/>
        <v>150724000</v>
      </c>
      <c r="U60" s="48">
        <f t="shared" si="69"/>
        <v>150724000</v>
      </c>
      <c r="V60" s="391">
        <f t="shared" si="70"/>
        <v>150724000</v>
      </c>
      <c r="W60" s="391">
        <f t="shared" si="18"/>
        <v>0</v>
      </c>
      <c r="Y60" s="27">
        <v>14301000</v>
      </c>
      <c r="Z60" s="27">
        <v>101389000</v>
      </c>
      <c r="AA60" s="27">
        <v>2876000</v>
      </c>
      <c r="AB60" s="27">
        <v>40000000</v>
      </c>
      <c r="AC60" s="27"/>
      <c r="AD60" s="27">
        <v>1581000</v>
      </c>
      <c r="AE60" s="27">
        <v>76832000</v>
      </c>
      <c r="AF60" s="27"/>
      <c r="AG60" s="27">
        <v>1581000</v>
      </c>
      <c r="AH60" s="27"/>
      <c r="AI60" s="27"/>
      <c r="AJ60" s="27">
        <f t="shared" si="73"/>
        <v>238560000</v>
      </c>
      <c r="AK60" s="31">
        <v>236979000</v>
      </c>
      <c r="AM60" s="79" t="e">
        <f t="shared" si="84"/>
        <v>#DIV/0!</v>
      </c>
      <c r="AN60" s="79" t="e">
        <f t="shared" si="85"/>
        <v>#DIV/0!</v>
      </c>
      <c r="AO60" s="79" t="e">
        <f t="shared" si="86"/>
        <v>#DIV/0!</v>
      </c>
      <c r="AP60" s="79" t="e">
        <f t="shared" si="87"/>
        <v>#DIV/0!</v>
      </c>
      <c r="AQ60" s="79">
        <f t="shared" si="88"/>
        <v>-1</v>
      </c>
      <c r="AR60" s="79" t="e">
        <f t="shared" si="89"/>
        <v>#DIV/0!</v>
      </c>
      <c r="AS60" s="79" t="e">
        <f t="shared" si="90"/>
        <v>#DIV/0!</v>
      </c>
      <c r="AT60" s="79" t="e">
        <f t="shared" si="91"/>
        <v>#DIV/0!</v>
      </c>
      <c r="AU60" s="79">
        <f t="shared" si="92"/>
        <v>-0.97202834319683662</v>
      </c>
      <c r="AV60" s="79">
        <f t="shared" si="93"/>
        <v>-1</v>
      </c>
      <c r="AW60" s="79">
        <f t="shared" si="66"/>
        <v>0.58276054244844877</v>
      </c>
      <c r="AY60" s="351" t="s">
        <v>329</v>
      </c>
      <c r="AZ60" s="352" t="s">
        <v>330</v>
      </c>
    </row>
    <row r="61" spans="1:52" s="47" customFormat="1" x14ac:dyDescent="0.25">
      <c r="A61" s="351" t="s">
        <v>331</v>
      </c>
      <c r="B61" s="352" t="s">
        <v>332</v>
      </c>
      <c r="C61" s="357">
        <v>239891264</v>
      </c>
      <c r="D61" s="357"/>
      <c r="E61" s="378"/>
      <c r="F61" s="375">
        <f t="shared" si="67"/>
        <v>239891264</v>
      </c>
      <c r="G61" s="142">
        <v>239891264</v>
      </c>
      <c r="H61" s="27"/>
      <c r="I61" s="27">
        <v>23989126.399999999</v>
      </c>
      <c r="J61" s="27">
        <v>23989126.399999999</v>
      </c>
      <c r="K61" s="27">
        <v>23989126.399999999</v>
      </c>
      <c r="L61" s="27">
        <v>23989126.399999999</v>
      </c>
      <c r="M61" s="27">
        <v>23989126.399999999</v>
      </c>
      <c r="N61" s="27">
        <v>23989126.399999999</v>
      </c>
      <c r="O61" s="27">
        <v>23989126.399999999</v>
      </c>
      <c r="P61" s="27">
        <v>23989126.399999999</v>
      </c>
      <c r="Q61" s="27">
        <v>23989126.399999999</v>
      </c>
      <c r="R61" s="143">
        <v>23989126.399999999</v>
      </c>
      <c r="S61" s="143"/>
      <c r="T61" s="27">
        <f t="shared" si="72"/>
        <v>215902137.60000002</v>
      </c>
      <c r="U61" s="48">
        <f t="shared" si="69"/>
        <v>239891264.00000003</v>
      </c>
      <c r="V61" s="391">
        <f t="shared" si="70"/>
        <v>239891264</v>
      </c>
      <c r="W61" s="391">
        <f t="shared" si="18"/>
        <v>0</v>
      </c>
      <c r="Y61" s="27">
        <v>654600</v>
      </c>
      <c r="Z61" s="27">
        <v>91119400</v>
      </c>
      <c r="AA61" s="27">
        <v>25897121</v>
      </c>
      <c r="AB61" s="27">
        <v>2376000</v>
      </c>
      <c r="AC61" s="27">
        <v>3873200</v>
      </c>
      <c r="AD61" s="27">
        <v>21343166</v>
      </c>
      <c r="AE61" s="27">
        <v>18627000</v>
      </c>
      <c r="AF61" s="27">
        <v>20620000</v>
      </c>
      <c r="AG61" s="27">
        <v>28599000</v>
      </c>
      <c r="AH61" s="27">
        <v>4442800</v>
      </c>
      <c r="AI61" s="27"/>
      <c r="AJ61" s="27">
        <f t="shared" si="73"/>
        <v>217552287</v>
      </c>
      <c r="AK61" s="31">
        <v>163890487</v>
      </c>
      <c r="AM61" s="79" t="e">
        <f t="shared" si="84"/>
        <v>#DIV/0!</v>
      </c>
      <c r="AN61" s="79">
        <f t="shared" si="85"/>
        <v>2.7983625781387351</v>
      </c>
      <c r="AO61" s="79">
        <f t="shared" si="86"/>
        <v>7.9535810024328427E-2</v>
      </c>
      <c r="AP61" s="79">
        <f t="shared" si="87"/>
        <v>-0.90095512606911776</v>
      </c>
      <c r="AQ61" s="79">
        <f t="shared" si="88"/>
        <v>-0.83854351611570144</v>
      </c>
      <c r="AR61" s="79">
        <f t="shared" si="89"/>
        <v>-0.11029832249331091</v>
      </c>
      <c r="AS61" s="79">
        <f t="shared" si="90"/>
        <v>-0.22352320424640384</v>
      </c>
      <c r="AT61" s="79">
        <f t="shared" si="91"/>
        <v>-0.14044389711498617</v>
      </c>
      <c r="AU61" s="79">
        <f t="shared" si="92"/>
        <v>0.19216513028169302</v>
      </c>
      <c r="AV61" s="79">
        <f t="shared" si="93"/>
        <v>-0.81479942512621051</v>
      </c>
      <c r="AW61" s="79">
        <f t="shared" si="66"/>
        <v>7.6430433637354406E-3</v>
      </c>
      <c r="AY61" s="351" t="s">
        <v>331</v>
      </c>
      <c r="AZ61" s="352" t="s">
        <v>332</v>
      </c>
    </row>
    <row r="62" spans="1:52" s="47" customFormat="1" x14ac:dyDescent="0.25">
      <c r="A62" s="351" t="s">
        <v>333</v>
      </c>
      <c r="B62" s="352" t="s">
        <v>334</v>
      </c>
      <c r="C62" s="357">
        <v>34200000</v>
      </c>
      <c r="D62" s="357"/>
      <c r="E62" s="378"/>
      <c r="F62" s="375">
        <f t="shared" si="67"/>
        <v>34200000</v>
      </c>
      <c r="G62" s="142">
        <v>34200000</v>
      </c>
      <c r="H62" s="27">
        <v>0</v>
      </c>
      <c r="I62" s="27">
        <v>0</v>
      </c>
      <c r="J62" s="27">
        <v>17100000</v>
      </c>
      <c r="K62" s="27">
        <v>0</v>
      </c>
      <c r="L62" s="27">
        <v>0</v>
      </c>
      <c r="M62" s="27">
        <v>0</v>
      </c>
      <c r="N62" s="27">
        <v>0</v>
      </c>
      <c r="O62" s="27">
        <v>17100000</v>
      </c>
      <c r="P62" s="27">
        <v>0</v>
      </c>
      <c r="Q62" s="27">
        <v>0</v>
      </c>
      <c r="R62" s="143">
        <v>0</v>
      </c>
      <c r="S62" s="143">
        <v>0</v>
      </c>
      <c r="T62" s="27">
        <f t="shared" si="72"/>
        <v>34200000</v>
      </c>
      <c r="U62" s="48">
        <f t="shared" si="69"/>
        <v>34200000</v>
      </c>
      <c r="V62" s="391">
        <f t="shared" si="70"/>
        <v>34200000</v>
      </c>
      <c r="W62" s="391">
        <f t="shared" si="18"/>
        <v>0</v>
      </c>
      <c r="Y62" s="27"/>
      <c r="Z62" s="27"/>
      <c r="AA62" s="27"/>
      <c r="AB62" s="27"/>
      <c r="AC62" s="27">
        <v>337077</v>
      </c>
      <c r="AD62" s="27"/>
      <c r="AE62" s="27"/>
      <c r="AF62" s="27"/>
      <c r="AG62" s="27"/>
      <c r="AH62" s="27"/>
      <c r="AI62" s="27"/>
      <c r="AJ62" s="27">
        <f t="shared" si="73"/>
        <v>337077</v>
      </c>
      <c r="AK62" s="31">
        <v>337077</v>
      </c>
      <c r="AM62" s="79" t="e">
        <f t="shared" si="84"/>
        <v>#DIV/0!</v>
      </c>
      <c r="AN62" s="79" t="e">
        <f t="shared" si="85"/>
        <v>#DIV/0!</v>
      </c>
      <c r="AO62" s="79">
        <f t="shared" si="86"/>
        <v>-1</v>
      </c>
      <c r="AP62" s="79" t="e">
        <f t="shared" si="87"/>
        <v>#DIV/0!</v>
      </c>
      <c r="AQ62" s="79" t="e">
        <f t="shared" si="88"/>
        <v>#DIV/0!</v>
      </c>
      <c r="AR62" s="79" t="e">
        <f t="shared" si="89"/>
        <v>#DIV/0!</v>
      </c>
      <c r="AS62" s="79" t="e">
        <f t="shared" si="90"/>
        <v>#DIV/0!</v>
      </c>
      <c r="AT62" s="79">
        <f t="shared" si="91"/>
        <v>-1</v>
      </c>
      <c r="AU62" s="79" t="e">
        <f t="shared" si="92"/>
        <v>#DIV/0!</v>
      </c>
      <c r="AV62" s="79" t="e">
        <f t="shared" si="93"/>
        <v>#DIV/0!</v>
      </c>
      <c r="AW62" s="79">
        <f t="shared" si="66"/>
        <v>-0.99014394736842104</v>
      </c>
      <c r="AY62" s="351" t="s">
        <v>333</v>
      </c>
      <c r="AZ62" s="352" t="s">
        <v>334</v>
      </c>
    </row>
    <row r="63" spans="1:52" s="47" customFormat="1" x14ac:dyDescent="0.25">
      <c r="A63" s="351" t="s">
        <v>335</v>
      </c>
      <c r="B63" s="352" t="s">
        <v>336</v>
      </c>
      <c r="C63" s="357">
        <v>48000000</v>
      </c>
      <c r="D63" s="357"/>
      <c r="E63" s="378"/>
      <c r="F63" s="375">
        <f t="shared" si="67"/>
        <v>48000000</v>
      </c>
      <c r="G63" s="142">
        <v>48000000</v>
      </c>
      <c r="H63" s="27"/>
      <c r="I63" s="27"/>
      <c r="J63" s="27">
        <v>24000000</v>
      </c>
      <c r="K63" s="27"/>
      <c r="L63" s="27"/>
      <c r="M63" s="27"/>
      <c r="N63" s="27"/>
      <c r="O63" s="27">
        <v>24000000</v>
      </c>
      <c r="P63" s="27"/>
      <c r="Q63" s="27"/>
      <c r="R63" s="143"/>
      <c r="S63" s="143"/>
      <c r="T63" s="27">
        <f t="shared" si="72"/>
        <v>48000000</v>
      </c>
      <c r="U63" s="48">
        <f t="shared" si="69"/>
        <v>48000000</v>
      </c>
      <c r="V63" s="391">
        <f t="shared" si="70"/>
        <v>48000000</v>
      </c>
      <c r="W63" s="391">
        <f t="shared" si="18"/>
        <v>0</v>
      </c>
      <c r="Y63" s="27">
        <v>77760000</v>
      </c>
      <c r="Z63" s="27">
        <v>38880000</v>
      </c>
      <c r="AA63" s="27"/>
      <c r="AB63" s="27"/>
      <c r="AC63" s="27"/>
      <c r="AD63" s="27"/>
      <c r="AE63" s="27">
        <v>66990000</v>
      </c>
      <c r="AF63" s="27"/>
      <c r="AG63" s="27"/>
      <c r="AH63" s="27"/>
      <c r="AI63" s="27"/>
      <c r="AJ63" s="27">
        <f t="shared" si="73"/>
        <v>183630000</v>
      </c>
      <c r="AK63" s="31">
        <v>183630000</v>
      </c>
      <c r="AM63" s="79" t="e">
        <f t="shared" si="84"/>
        <v>#DIV/0!</v>
      </c>
      <c r="AN63" s="79" t="e">
        <f t="shared" si="85"/>
        <v>#DIV/0!</v>
      </c>
      <c r="AO63" s="79">
        <f t="shared" si="86"/>
        <v>-1</v>
      </c>
      <c r="AP63" s="79" t="e">
        <f t="shared" si="87"/>
        <v>#DIV/0!</v>
      </c>
      <c r="AQ63" s="79" t="e">
        <f t="shared" si="88"/>
        <v>#DIV/0!</v>
      </c>
      <c r="AR63" s="79" t="e">
        <f t="shared" si="89"/>
        <v>#DIV/0!</v>
      </c>
      <c r="AS63" s="79" t="e">
        <f t="shared" si="90"/>
        <v>#DIV/0!</v>
      </c>
      <c r="AT63" s="79">
        <f t="shared" si="91"/>
        <v>-1</v>
      </c>
      <c r="AU63" s="79" t="e">
        <f t="shared" si="92"/>
        <v>#DIV/0!</v>
      </c>
      <c r="AV63" s="79" t="e">
        <f t="shared" si="93"/>
        <v>#DIV/0!</v>
      </c>
      <c r="AW63" s="79">
        <f t="shared" si="66"/>
        <v>2.8256250000000001</v>
      </c>
      <c r="AY63" s="351" t="s">
        <v>335</v>
      </c>
      <c r="AZ63" s="352" t="s">
        <v>336</v>
      </c>
    </row>
    <row r="64" spans="1:52" s="47" customFormat="1" x14ac:dyDescent="0.25">
      <c r="A64" s="351" t="s">
        <v>337</v>
      </c>
      <c r="B64" s="352" t="s">
        <v>338</v>
      </c>
      <c r="C64" s="357">
        <v>172025580</v>
      </c>
      <c r="D64" s="357"/>
      <c r="E64" s="378"/>
      <c r="F64" s="375">
        <f t="shared" si="67"/>
        <v>172025580</v>
      </c>
      <c r="G64" s="142">
        <v>172025580</v>
      </c>
      <c r="H64" s="27"/>
      <c r="I64" s="27"/>
      <c r="J64" s="27">
        <v>86012790</v>
      </c>
      <c r="K64" s="27"/>
      <c r="L64" s="27"/>
      <c r="M64" s="27"/>
      <c r="N64" s="27"/>
      <c r="O64" s="27">
        <v>86012790</v>
      </c>
      <c r="P64" s="27"/>
      <c r="Q64" s="27"/>
      <c r="R64" s="143"/>
      <c r="S64" s="143"/>
      <c r="T64" s="27">
        <f t="shared" si="72"/>
        <v>172025580</v>
      </c>
      <c r="U64" s="48">
        <f t="shared" si="69"/>
        <v>172025580</v>
      </c>
      <c r="V64" s="391">
        <f t="shared" si="70"/>
        <v>172025580</v>
      </c>
      <c r="W64" s="391">
        <f t="shared" si="18"/>
        <v>0</v>
      </c>
      <c r="Y64" s="27">
        <v>26935367.059999999</v>
      </c>
      <c r="Z64" s="27">
        <v>11428530</v>
      </c>
      <c r="AA64" s="27">
        <v>5266912</v>
      </c>
      <c r="AB64" s="27"/>
      <c r="AC64" s="27"/>
      <c r="AD64" s="27">
        <v>5003565</v>
      </c>
      <c r="AE64" s="27"/>
      <c r="AF64" s="27">
        <v>20540631</v>
      </c>
      <c r="AG64" s="27">
        <v>30338763</v>
      </c>
      <c r="AH64" s="27"/>
      <c r="AI64" s="27"/>
      <c r="AJ64" s="27">
        <f t="shared" si="73"/>
        <v>99513768.060000002</v>
      </c>
      <c r="AK64" s="31">
        <v>48634374</v>
      </c>
      <c r="AM64" s="79" t="e">
        <f t="shared" si="84"/>
        <v>#DIV/0!</v>
      </c>
      <c r="AN64" s="79" t="e">
        <f t="shared" si="85"/>
        <v>#DIV/0!</v>
      </c>
      <c r="AO64" s="79">
        <f t="shared" si="86"/>
        <v>-0.93876594399507329</v>
      </c>
      <c r="AP64" s="79" t="e">
        <f t="shared" si="87"/>
        <v>#DIV/0!</v>
      </c>
      <c r="AQ64" s="79" t="e">
        <f t="shared" si="88"/>
        <v>#DIV/0!</v>
      </c>
      <c r="AR64" s="79" t="e">
        <f t="shared" si="89"/>
        <v>#DIV/0!</v>
      </c>
      <c r="AS64" s="79" t="e">
        <f t="shared" si="90"/>
        <v>#DIV/0!</v>
      </c>
      <c r="AT64" s="79">
        <f t="shared" si="91"/>
        <v>-0.76119096938955244</v>
      </c>
      <c r="AU64" s="79" t="e">
        <f t="shared" si="92"/>
        <v>#DIV/0!</v>
      </c>
      <c r="AV64" s="79" t="e">
        <f t="shared" si="93"/>
        <v>#DIV/0!</v>
      </c>
      <c r="AW64" s="79">
        <f t="shared" si="66"/>
        <v>-0.42151761348515726</v>
      </c>
      <c r="AY64" s="351" t="s">
        <v>337</v>
      </c>
      <c r="AZ64" s="352" t="s">
        <v>338</v>
      </c>
    </row>
    <row r="65" spans="1:52" s="47" customFormat="1" x14ac:dyDescent="0.25">
      <c r="A65" s="351" t="s">
        <v>339</v>
      </c>
      <c r="B65" s="352" t="s">
        <v>340</v>
      </c>
      <c r="C65" s="381">
        <v>51082000</v>
      </c>
      <c r="D65" s="357"/>
      <c r="E65" s="378"/>
      <c r="F65" s="375">
        <f t="shared" si="67"/>
        <v>51082000</v>
      </c>
      <c r="G65" s="142">
        <v>51082000</v>
      </c>
      <c r="H65" s="27"/>
      <c r="I65" s="27"/>
      <c r="J65" s="27">
        <v>25541000</v>
      </c>
      <c r="K65" s="27"/>
      <c r="L65" s="27"/>
      <c r="M65" s="27"/>
      <c r="N65" s="27"/>
      <c r="O65" s="27">
        <v>25541000</v>
      </c>
      <c r="P65" s="27"/>
      <c r="Q65" s="27"/>
      <c r="R65" s="143"/>
      <c r="S65" s="143"/>
      <c r="T65" s="27">
        <f t="shared" si="72"/>
        <v>51082000</v>
      </c>
      <c r="U65" s="48">
        <f t="shared" si="69"/>
        <v>51082000</v>
      </c>
      <c r="V65" s="391">
        <f t="shared" si="70"/>
        <v>51082000</v>
      </c>
      <c r="W65" s="391">
        <f t="shared" si="18"/>
        <v>0</v>
      </c>
      <c r="Y65" s="27"/>
      <c r="Z65" s="27"/>
      <c r="AA65" s="27"/>
      <c r="AB65" s="27"/>
      <c r="AC65" s="27"/>
      <c r="AD65" s="27">
        <v>877803</v>
      </c>
      <c r="AE65" s="27"/>
      <c r="AF65" s="27">
        <v>10098035</v>
      </c>
      <c r="AG65" s="27"/>
      <c r="AH65" s="27"/>
      <c r="AI65" s="27"/>
      <c r="AJ65" s="27">
        <f t="shared" si="73"/>
        <v>10975838</v>
      </c>
      <c r="AK65" s="31">
        <v>877803</v>
      </c>
      <c r="AM65" s="79" t="e">
        <f t="shared" si="84"/>
        <v>#DIV/0!</v>
      </c>
      <c r="AN65" s="79" t="e">
        <f t="shared" si="85"/>
        <v>#DIV/0!</v>
      </c>
      <c r="AO65" s="79">
        <f t="shared" si="86"/>
        <v>-1</v>
      </c>
      <c r="AP65" s="79" t="e">
        <f t="shared" si="87"/>
        <v>#DIV/0!</v>
      </c>
      <c r="AQ65" s="79" t="e">
        <f t="shared" si="88"/>
        <v>#DIV/0!</v>
      </c>
      <c r="AR65" s="79" t="e">
        <f t="shared" si="89"/>
        <v>#DIV/0!</v>
      </c>
      <c r="AS65" s="79" t="e">
        <f t="shared" si="90"/>
        <v>#DIV/0!</v>
      </c>
      <c r="AT65" s="79">
        <f t="shared" si="91"/>
        <v>-0.60463431345679497</v>
      </c>
      <c r="AU65" s="79" t="e">
        <f t="shared" si="92"/>
        <v>#DIV/0!</v>
      </c>
      <c r="AV65" s="79" t="e">
        <f t="shared" si="93"/>
        <v>#DIV/0!</v>
      </c>
      <c r="AW65" s="79">
        <f t="shared" si="66"/>
        <v>-0.7851329626874437</v>
      </c>
      <c r="AY65" s="351" t="s">
        <v>339</v>
      </c>
      <c r="AZ65" s="352" t="s">
        <v>340</v>
      </c>
    </row>
    <row r="66" spans="1:52" s="47" customFormat="1" x14ac:dyDescent="0.25">
      <c r="A66" s="351" t="s">
        <v>341</v>
      </c>
      <c r="B66" s="352" t="s">
        <v>342</v>
      </c>
      <c r="C66" s="357">
        <v>3750000</v>
      </c>
      <c r="D66" s="357"/>
      <c r="E66" s="378"/>
      <c r="F66" s="375">
        <f t="shared" si="67"/>
        <v>3750000</v>
      </c>
      <c r="G66" s="142">
        <v>3750000</v>
      </c>
      <c r="H66" s="27"/>
      <c r="I66" s="27"/>
      <c r="J66" s="27">
        <v>1875000</v>
      </c>
      <c r="K66" s="27"/>
      <c r="L66" s="27"/>
      <c r="M66" s="27"/>
      <c r="N66" s="27"/>
      <c r="O66" s="27">
        <v>1875000</v>
      </c>
      <c r="P66" s="27"/>
      <c r="Q66" s="27"/>
      <c r="R66" s="143"/>
      <c r="S66" s="143"/>
      <c r="T66" s="27">
        <f t="shared" si="72"/>
        <v>3750000</v>
      </c>
      <c r="U66" s="48">
        <f t="shared" si="69"/>
        <v>3750000</v>
      </c>
      <c r="V66" s="391">
        <f t="shared" si="70"/>
        <v>3750000</v>
      </c>
      <c r="W66" s="391">
        <f t="shared" si="18"/>
        <v>0</v>
      </c>
      <c r="Y66" s="27"/>
      <c r="Z66" s="27">
        <v>719100</v>
      </c>
      <c r="AA66" s="27"/>
      <c r="AB66" s="27"/>
      <c r="AC66" s="27"/>
      <c r="AD66" s="27"/>
      <c r="AE66" s="27"/>
      <c r="AF66" s="27"/>
      <c r="AG66" s="27"/>
      <c r="AH66" s="27"/>
      <c r="AI66" s="27"/>
      <c r="AJ66" s="27">
        <f t="shared" si="73"/>
        <v>719100</v>
      </c>
      <c r="AK66" s="31">
        <v>719100</v>
      </c>
      <c r="AM66" s="79" t="e">
        <f t="shared" ref="AM66:AM97" si="100">(Y66-H66)/H66</f>
        <v>#DIV/0!</v>
      </c>
      <c r="AN66" s="79" t="e">
        <f t="shared" ref="AN66:AN97" si="101">(Z66-I66)/I66</f>
        <v>#DIV/0!</v>
      </c>
      <c r="AO66" s="79">
        <f t="shared" ref="AO66:AO97" si="102">(AA66-J66)/J66</f>
        <v>-1</v>
      </c>
      <c r="AP66" s="79" t="e">
        <f t="shared" ref="AP66:AP97" si="103">(AB66-K66)/K66</f>
        <v>#DIV/0!</v>
      </c>
      <c r="AQ66" s="79" t="e">
        <f t="shared" ref="AQ66:AQ97" si="104">(AC66-L66)/L66</f>
        <v>#DIV/0!</v>
      </c>
      <c r="AR66" s="79" t="e">
        <f t="shared" ref="AR66:AR97" si="105">(AD66-M66)/M66</f>
        <v>#DIV/0!</v>
      </c>
      <c r="AS66" s="79" t="e">
        <f t="shared" ref="AS66:AS97" si="106">(AE66-N66)/N66</f>
        <v>#DIV/0!</v>
      </c>
      <c r="AT66" s="79">
        <f t="shared" ref="AT66:AT97" si="107">(AF66-O66)/O66</f>
        <v>-1</v>
      </c>
      <c r="AU66" s="79" t="e">
        <f t="shared" ref="AU66:AU97" si="108">(AG66-P66)/P66</f>
        <v>#DIV/0!</v>
      </c>
      <c r="AV66" s="79" t="e">
        <f t="shared" ref="AV66:AV97" si="109">(AH66-Q66)/Q66</f>
        <v>#DIV/0!</v>
      </c>
      <c r="AW66" s="79">
        <f t="shared" si="66"/>
        <v>-0.80823999999999996</v>
      </c>
      <c r="AY66" s="351" t="s">
        <v>341</v>
      </c>
      <c r="AZ66" s="352" t="s">
        <v>342</v>
      </c>
    </row>
    <row r="67" spans="1:52" s="47" customFormat="1" x14ac:dyDescent="0.25">
      <c r="A67" s="351" t="s">
        <v>343</v>
      </c>
      <c r="B67" s="352" t="s">
        <v>344</v>
      </c>
      <c r="C67" s="357">
        <v>85445009</v>
      </c>
      <c r="D67" s="357"/>
      <c r="E67" s="378"/>
      <c r="F67" s="375">
        <f t="shared" si="67"/>
        <v>85445009</v>
      </c>
      <c r="G67" s="142">
        <v>85445008</v>
      </c>
      <c r="H67" s="27"/>
      <c r="I67" s="27"/>
      <c r="J67" s="27">
        <v>42722504</v>
      </c>
      <c r="K67" s="27"/>
      <c r="L67" s="27"/>
      <c r="M67" s="27"/>
      <c r="N67" s="27"/>
      <c r="O67" s="27">
        <v>42722504</v>
      </c>
      <c r="P67" s="27"/>
      <c r="Q67" s="27"/>
      <c r="R67" s="143"/>
      <c r="S67" s="143"/>
      <c r="T67" s="27">
        <f t="shared" si="72"/>
        <v>85445008</v>
      </c>
      <c r="U67" s="48">
        <f t="shared" ref="U67:U130" si="110">SUM(H67:S67)</f>
        <v>85445008</v>
      </c>
      <c r="V67" s="391">
        <f t="shared" ref="V67:V130" si="111">+F67</f>
        <v>85445009</v>
      </c>
      <c r="W67" s="391">
        <f t="shared" ref="W67:W130" si="112">+V67-F67</f>
        <v>0</v>
      </c>
      <c r="Y67" s="27"/>
      <c r="Z67" s="27"/>
      <c r="AA67" s="27">
        <v>439000</v>
      </c>
      <c r="AB67" s="27"/>
      <c r="AC67" s="27"/>
      <c r="AD67" s="27">
        <v>32900</v>
      </c>
      <c r="AE67" s="27"/>
      <c r="AF67" s="27">
        <v>21506970</v>
      </c>
      <c r="AG67" s="27">
        <v>18434110</v>
      </c>
      <c r="AH67" s="27">
        <v>977317</v>
      </c>
      <c r="AI67" s="27"/>
      <c r="AJ67" s="27">
        <f t="shared" si="73"/>
        <v>41390297</v>
      </c>
      <c r="AK67" s="31">
        <v>471900</v>
      </c>
      <c r="AM67" s="79" t="e">
        <f t="shared" si="100"/>
        <v>#DIV/0!</v>
      </c>
      <c r="AN67" s="79" t="e">
        <f t="shared" si="101"/>
        <v>#DIV/0!</v>
      </c>
      <c r="AO67" s="79">
        <f t="shared" si="102"/>
        <v>-0.98972438506881522</v>
      </c>
      <c r="AP67" s="79" t="e">
        <f t="shared" si="103"/>
        <v>#DIV/0!</v>
      </c>
      <c r="AQ67" s="79" t="e">
        <f t="shared" si="104"/>
        <v>#DIV/0!</v>
      </c>
      <c r="AR67" s="79" t="e">
        <f t="shared" si="105"/>
        <v>#DIV/0!</v>
      </c>
      <c r="AS67" s="79" t="e">
        <f t="shared" si="106"/>
        <v>#DIV/0!</v>
      </c>
      <c r="AT67" s="79">
        <f t="shared" si="107"/>
        <v>-0.49658919804887841</v>
      </c>
      <c r="AU67" s="79" t="e">
        <f t="shared" si="108"/>
        <v>#DIV/0!</v>
      </c>
      <c r="AV67" s="79" t="e">
        <f t="shared" si="109"/>
        <v>#DIV/0!</v>
      </c>
      <c r="AW67" s="79">
        <f t="shared" si="66"/>
        <v>-0.51559139651552255</v>
      </c>
      <c r="AY67" s="351" t="s">
        <v>343</v>
      </c>
      <c r="AZ67" s="352" t="s">
        <v>344</v>
      </c>
    </row>
    <row r="68" spans="1:52" s="47" customFormat="1" x14ac:dyDescent="0.25">
      <c r="A68" s="351" t="s">
        <v>345</v>
      </c>
      <c r="B68" s="352" t="s">
        <v>346</v>
      </c>
      <c r="C68" s="357">
        <v>24200000</v>
      </c>
      <c r="D68" s="357"/>
      <c r="E68" s="378"/>
      <c r="F68" s="375">
        <f t="shared" si="67"/>
        <v>24200000</v>
      </c>
      <c r="G68" s="142">
        <v>24200000</v>
      </c>
      <c r="H68" s="27"/>
      <c r="I68" s="27"/>
      <c r="J68" s="27">
        <v>12100000</v>
      </c>
      <c r="K68" s="27"/>
      <c r="L68" s="27"/>
      <c r="M68" s="27"/>
      <c r="N68" s="27"/>
      <c r="O68" s="27">
        <v>12100000</v>
      </c>
      <c r="P68" s="27"/>
      <c r="Q68" s="27"/>
      <c r="R68" s="143"/>
      <c r="S68" s="143"/>
      <c r="T68" s="27">
        <f t="shared" si="72"/>
        <v>24200000</v>
      </c>
      <c r="U68" s="48">
        <f t="shared" si="110"/>
        <v>24200000</v>
      </c>
      <c r="V68" s="391">
        <f t="shared" si="111"/>
        <v>24200000</v>
      </c>
      <c r="W68" s="391">
        <f t="shared" si="112"/>
        <v>0</v>
      </c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>
        <f t="shared" si="73"/>
        <v>0</v>
      </c>
      <c r="AK68" s="31">
        <v>0</v>
      </c>
      <c r="AM68" s="79" t="e">
        <f t="shared" si="100"/>
        <v>#DIV/0!</v>
      </c>
      <c r="AN68" s="79" t="e">
        <f t="shared" si="101"/>
        <v>#DIV/0!</v>
      </c>
      <c r="AO68" s="79">
        <f t="shared" si="102"/>
        <v>-1</v>
      </c>
      <c r="AP68" s="79" t="e">
        <f t="shared" si="103"/>
        <v>#DIV/0!</v>
      </c>
      <c r="AQ68" s="79" t="e">
        <f t="shared" si="104"/>
        <v>#DIV/0!</v>
      </c>
      <c r="AR68" s="79" t="e">
        <f t="shared" si="105"/>
        <v>#DIV/0!</v>
      </c>
      <c r="AS68" s="79" t="e">
        <f t="shared" si="106"/>
        <v>#DIV/0!</v>
      </c>
      <c r="AT68" s="79">
        <f t="shared" si="107"/>
        <v>-1</v>
      </c>
      <c r="AU68" s="79" t="e">
        <f t="shared" si="108"/>
        <v>#DIV/0!</v>
      </c>
      <c r="AV68" s="79" t="e">
        <f t="shared" si="109"/>
        <v>#DIV/0!</v>
      </c>
      <c r="AW68" s="79">
        <f t="shared" si="66"/>
        <v>-1</v>
      </c>
      <c r="AY68" s="351" t="s">
        <v>345</v>
      </c>
      <c r="AZ68" s="352" t="s">
        <v>346</v>
      </c>
    </row>
    <row r="69" spans="1:52" s="47" customFormat="1" x14ac:dyDescent="0.25">
      <c r="A69" s="351" t="s">
        <v>347</v>
      </c>
      <c r="B69" s="352" t="s">
        <v>348</v>
      </c>
      <c r="C69" s="357">
        <v>108984085</v>
      </c>
      <c r="D69" s="357"/>
      <c r="E69" s="378"/>
      <c r="F69" s="375">
        <f t="shared" si="67"/>
        <v>108984085</v>
      </c>
      <c r="G69" s="142">
        <v>108984075</v>
      </c>
      <c r="H69" s="27"/>
      <c r="I69" s="27"/>
      <c r="J69" s="27">
        <v>54492037.5</v>
      </c>
      <c r="K69" s="27"/>
      <c r="L69" s="27"/>
      <c r="M69" s="27"/>
      <c r="N69" s="27"/>
      <c r="O69" s="27">
        <v>54492037.5</v>
      </c>
      <c r="P69" s="27"/>
      <c r="Q69" s="27"/>
      <c r="R69" s="143"/>
      <c r="S69" s="143"/>
      <c r="T69" s="27">
        <f t="shared" si="72"/>
        <v>108984075</v>
      </c>
      <c r="U69" s="48">
        <f t="shared" si="110"/>
        <v>108984075</v>
      </c>
      <c r="V69" s="391">
        <f t="shared" si="111"/>
        <v>108984085</v>
      </c>
      <c r="W69" s="391">
        <f t="shared" si="112"/>
        <v>0</v>
      </c>
      <c r="Y69" s="27">
        <v>2873100</v>
      </c>
      <c r="Z69" s="27">
        <v>5596250</v>
      </c>
      <c r="AA69" s="27">
        <v>4262534</v>
      </c>
      <c r="AB69" s="27">
        <v>6868137</v>
      </c>
      <c r="AC69" s="27">
        <v>6414950</v>
      </c>
      <c r="AD69" s="27"/>
      <c r="AE69" s="27"/>
      <c r="AF69" s="27"/>
      <c r="AG69" s="27"/>
      <c r="AH69" s="27">
        <v>6583000</v>
      </c>
      <c r="AI69" s="27"/>
      <c r="AJ69" s="27">
        <f t="shared" si="73"/>
        <v>32597971</v>
      </c>
      <c r="AK69" s="31">
        <v>26014971</v>
      </c>
      <c r="AM69" s="79" t="e">
        <f t="shared" si="100"/>
        <v>#DIV/0!</v>
      </c>
      <c r="AN69" s="79" t="e">
        <f t="shared" si="101"/>
        <v>#DIV/0!</v>
      </c>
      <c r="AO69" s="79">
        <f t="shared" si="102"/>
        <v>-0.92177693851142928</v>
      </c>
      <c r="AP69" s="79" t="e">
        <f t="shared" si="103"/>
        <v>#DIV/0!</v>
      </c>
      <c r="AQ69" s="79" t="e">
        <f t="shared" si="104"/>
        <v>#DIV/0!</v>
      </c>
      <c r="AR69" s="79" t="e">
        <f t="shared" si="105"/>
        <v>#DIV/0!</v>
      </c>
      <c r="AS69" s="79" t="e">
        <f t="shared" si="106"/>
        <v>#DIV/0!</v>
      </c>
      <c r="AT69" s="79">
        <f t="shared" si="107"/>
        <v>-1</v>
      </c>
      <c r="AU69" s="79" t="e">
        <f t="shared" si="108"/>
        <v>#DIV/0!</v>
      </c>
      <c r="AV69" s="79" t="e">
        <f t="shared" si="109"/>
        <v>#DIV/0!</v>
      </c>
      <c r="AW69" s="79">
        <f t="shared" si="66"/>
        <v>-0.70089234596889505</v>
      </c>
      <c r="AY69" s="351" t="s">
        <v>347</v>
      </c>
      <c r="AZ69" s="352" t="s">
        <v>348</v>
      </c>
    </row>
    <row r="70" spans="1:52" s="47" customFormat="1" x14ac:dyDescent="0.25">
      <c r="A70" s="351" t="s">
        <v>349</v>
      </c>
      <c r="B70" s="352" t="s">
        <v>350</v>
      </c>
      <c r="C70" s="357">
        <v>40000000</v>
      </c>
      <c r="D70" s="357"/>
      <c r="E70" s="378"/>
      <c r="F70" s="375">
        <f t="shared" si="67"/>
        <v>40000000</v>
      </c>
      <c r="G70" s="142">
        <v>40000000</v>
      </c>
      <c r="H70" s="27"/>
      <c r="I70" s="27"/>
      <c r="J70" s="27">
        <v>20000000</v>
      </c>
      <c r="K70" s="27"/>
      <c r="L70" s="27"/>
      <c r="M70" s="27"/>
      <c r="N70" s="27"/>
      <c r="O70" s="27">
        <v>20000000</v>
      </c>
      <c r="P70" s="27"/>
      <c r="Q70" s="27"/>
      <c r="R70" s="143"/>
      <c r="S70" s="143"/>
      <c r="T70" s="27">
        <f t="shared" si="72"/>
        <v>40000000</v>
      </c>
      <c r="U70" s="48">
        <f t="shared" si="110"/>
        <v>40000000</v>
      </c>
      <c r="V70" s="391">
        <f t="shared" si="111"/>
        <v>40000000</v>
      </c>
      <c r="W70" s="391">
        <f t="shared" si="112"/>
        <v>0</v>
      </c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>
        <f t="shared" si="73"/>
        <v>0</v>
      </c>
      <c r="AK70" s="31">
        <v>0</v>
      </c>
      <c r="AM70" s="79" t="e">
        <f t="shared" si="100"/>
        <v>#DIV/0!</v>
      </c>
      <c r="AN70" s="79" t="e">
        <f t="shared" si="101"/>
        <v>#DIV/0!</v>
      </c>
      <c r="AO70" s="79">
        <f t="shared" si="102"/>
        <v>-1</v>
      </c>
      <c r="AP70" s="79" t="e">
        <f t="shared" si="103"/>
        <v>#DIV/0!</v>
      </c>
      <c r="AQ70" s="79" t="e">
        <f t="shared" si="104"/>
        <v>#DIV/0!</v>
      </c>
      <c r="AR70" s="79" t="e">
        <f t="shared" si="105"/>
        <v>#DIV/0!</v>
      </c>
      <c r="AS70" s="79" t="e">
        <f t="shared" si="106"/>
        <v>#DIV/0!</v>
      </c>
      <c r="AT70" s="79">
        <f t="shared" si="107"/>
        <v>-1</v>
      </c>
      <c r="AU70" s="79" t="e">
        <f t="shared" si="108"/>
        <v>#DIV/0!</v>
      </c>
      <c r="AV70" s="79" t="e">
        <f t="shared" si="109"/>
        <v>#DIV/0!</v>
      </c>
      <c r="AW70" s="79">
        <f t="shared" si="66"/>
        <v>-1</v>
      </c>
      <c r="AY70" s="351" t="s">
        <v>349</v>
      </c>
      <c r="AZ70" s="352" t="s">
        <v>350</v>
      </c>
    </row>
    <row r="71" spans="1:52" s="47" customFormat="1" x14ac:dyDescent="0.25">
      <c r="A71" s="351" t="s">
        <v>351</v>
      </c>
      <c r="B71" s="352" t="s">
        <v>352</v>
      </c>
      <c r="C71" s="357">
        <v>600000</v>
      </c>
      <c r="D71" s="357"/>
      <c r="E71" s="378"/>
      <c r="F71" s="375">
        <f t="shared" si="67"/>
        <v>600000</v>
      </c>
      <c r="G71" s="142">
        <v>600000</v>
      </c>
      <c r="H71" s="27"/>
      <c r="I71" s="27"/>
      <c r="J71" s="27">
        <v>300000</v>
      </c>
      <c r="K71" s="27"/>
      <c r="L71" s="27"/>
      <c r="M71" s="27"/>
      <c r="N71" s="27"/>
      <c r="O71" s="27">
        <v>300000</v>
      </c>
      <c r="P71" s="27"/>
      <c r="Q71" s="27"/>
      <c r="R71" s="143"/>
      <c r="S71" s="143"/>
      <c r="T71" s="27">
        <f t="shared" si="72"/>
        <v>600000</v>
      </c>
      <c r="U71" s="48">
        <f t="shared" si="110"/>
        <v>600000</v>
      </c>
      <c r="V71" s="391">
        <f t="shared" si="111"/>
        <v>600000</v>
      </c>
      <c r="W71" s="391">
        <f t="shared" si="112"/>
        <v>0</v>
      </c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>
        <f t="shared" si="73"/>
        <v>0</v>
      </c>
      <c r="AK71" s="31">
        <v>0</v>
      </c>
      <c r="AM71" s="79" t="e">
        <f t="shared" si="100"/>
        <v>#DIV/0!</v>
      </c>
      <c r="AN71" s="79" t="e">
        <f t="shared" si="101"/>
        <v>#DIV/0!</v>
      </c>
      <c r="AO71" s="79">
        <f t="shared" si="102"/>
        <v>-1</v>
      </c>
      <c r="AP71" s="79" t="e">
        <f t="shared" si="103"/>
        <v>#DIV/0!</v>
      </c>
      <c r="AQ71" s="79" t="e">
        <f t="shared" si="104"/>
        <v>#DIV/0!</v>
      </c>
      <c r="AR71" s="79" t="e">
        <f t="shared" si="105"/>
        <v>#DIV/0!</v>
      </c>
      <c r="AS71" s="79" t="e">
        <f t="shared" si="106"/>
        <v>#DIV/0!</v>
      </c>
      <c r="AT71" s="79">
        <f t="shared" si="107"/>
        <v>-1</v>
      </c>
      <c r="AU71" s="79" t="e">
        <f t="shared" si="108"/>
        <v>#DIV/0!</v>
      </c>
      <c r="AV71" s="79" t="e">
        <f t="shared" si="109"/>
        <v>#DIV/0!</v>
      </c>
      <c r="AW71" s="79">
        <f t="shared" si="66"/>
        <v>-1</v>
      </c>
      <c r="AY71" s="351" t="s">
        <v>351</v>
      </c>
      <c r="AZ71" s="352" t="s">
        <v>352</v>
      </c>
    </row>
    <row r="72" spans="1:52" s="47" customFormat="1" x14ac:dyDescent="0.25">
      <c r="A72" s="351" t="s">
        <v>353</v>
      </c>
      <c r="B72" s="352" t="s">
        <v>354</v>
      </c>
      <c r="C72" s="357">
        <v>200000</v>
      </c>
      <c r="D72" s="357"/>
      <c r="E72" s="378"/>
      <c r="F72" s="375">
        <f t="shared" si="67"/>
        <v>200000</v>
      </c>
      <c r="G72" s="142">
        <v>200000</v>
      </c>
      <c r="H72" s="27"/>
      <c r="I72" s="27"/>
      <c r="J72" s="27">
        <v>100000</v>
      </c>
      <c r="K72" s="27"/>
      <c r="L72" s="27"/>
      <c r="M72" s="27"/>
      <c r="N72" s="27"/>
      <c r="O72" s="27">
        <v>100000</v>
      </c>
      <c r="P72" s="27"/>
      <c r="Q72" s="27"/>
      <c r="R72" s="143"/>
      <c r="S72" s="143"/>
      <c r="T72" s="27">
        <f t="shared" si="72"/>
        <v>200000</v>
      </c>
      <c r="U72" s="48">
        <f t="shared" si="110"/>
        <v>200000</v>
      </c>
      <c r="V72" s="391">
        <f t="shared" si="111"/>
        <v>200000</v>
      </c>
      <c r="W72" s="391">
        <f t="shared" si="112"/>
        <v>0</v>
      </c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>
        <f t="shared" si="73"/>
        <v>0</v>
      </c>
      <c r="AK72" s="31">
        <v>0</v>
      </c>
      <c r="AM72" s="79" t="e">
        <f t="shared" si="100"/>
        <v>#DIV/0!</v>
      </c>
      <c r="AN72" s="79" t="e">
        <f t="shared" si="101"/>
        <v>#DIV/0!</v>
      </c>
      <c r="AO72" s="79">
        <f t="shared" si="102"/>
        <v>-1</v>
      </c>
      <c r="AP72" s="79" t="e">
        <f t="shared" si="103"/>
        <v>#DIV/0!</v>
      </c>
      <c r="AQ72" s="79" t="e">
        <f t="shared" si="104"/>
        <v>#DIV/0!</v>
      </c>
      <c r="AR72" s="79" t="e">
        <f t="shared" si="105"/>
        <v>#DIV/0!</v>
      </c>
      <c r="AS72" s="79" t="e">
        <f t="shared" si="106"/>
        <v>#DIV/0!</v>
      </c>
      <c r="AT72" s="79">
        <f t="shared" si="107"/>
        <v>-1</v>
      </c>
      <c r="AU72" s="79" t="e">
        <f t="shared" si="108"/>
        <v>#DIV/0!</v>
      </c>
      <c r="AV72" s="79" t="e">
        <f t="shared" si="109"/>
        <v>#DIV/0!</v>
      </c>
      <c r="AW72" s="79">
        <f t="shared" si="66"/>
        <v>-1</v>
      </c>
      <c r="AY72" s="351" t="s">
        <v>353</v>
      </c>
      <c r="AZ72" s="352" t="s">
        <v>354</v>
      </c>
    </row>
    <row r="73" spans="1:52" x14ac:dyDescent="0.25">
      <c r="A73" s="351" t="s">
        <v>355</v>
      </c>
      <c r="B73" s="352" t="s">
        <v>356</v>
      </c>
      <c r="C73" s="357">
        <v>400000</v>
      </c>
      <c r="D73" s="357"/>
      <c r="E73" s="378"/>
      <c r="F73" s="375">
        <f t="shared" si="67"/>
        <v>400000</v>
      </c>
      <c r="G73" s="142">
        <v>400000</v>
      </c>
      <c r="H73" s="27"/>
      <c r="I73" s="27"/>
      <c r="J73" s="27">
        <v>200000</v>
      </c>
      <c r="K73" s="27"/>
      <c r="L73" s="27"/>
      <c r="M73" s="27"/>
      <c r="N73" s="27"/>
      <c r="O73" s="27">
        <v>200000</v>
      </c>
      <c r="P73" s="27"/>
      <c r="Q73" s="27"/>
      <c r="R73" s="143"/>
      <c r="S73" s="143"/>
      <c r="T73" s="27">
        <f t="shared" si="72"/>
        <v>400000</v>
      </c>
      <c r="U73" s="48">
        <f t="shared" si="110"/>
        <v>400000</v>
      </c>
      <c r="V73" s="391">
        <f t="shared" si="111"/>
        <v>400000</v>
      </c>
      <c r="W73" s="391">
        <f t="shared" si="112"/>
        <v>0</v>
      </c>
      <c r="Y73" s="27">
        <v>13220</v>
      </c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>
        <f t="shared" si="73"/>
        <v>13220</v>
      </c>
      <c r="AK73" s="31">
        <v>13220</v>
      </c>
      <c r="AM73" s="79" t="e">
        <f t="shared" si="100"/>
        <v>#DIV/0!</v>
      </c>
      <c r="AN73" s="79" t="e">
        <f t="shared" si="101"/>
        <v>#DIV/0!</v>
      </c>
      <c r="AO73" s="79">
        <f t="shared" si="102"/>
        <v>-1</v>
      </c>
      <c r="AP73" s="79" t="e">
        <f t="shared" si="103"/>
        <v>#DIV/0!</v>
      </c>
      <c r="AQ73" s="79" t="e">
        <f t="shared" si="104"/>
        <v>#DIV/0!</v>
      </c>
      <c r="AR73" s="79" t="e">
        <f t="shared" si="105"/>
        <v>#DIV/0!</v>
      </c>
      <c r="AS73" s="79" t="e">
        <f t="shared" si="106"/>
        <v>#DIV/0!</v>
      </c>
      <c r="AT73" s="79">
        <f t="shared" si="107"/>
        <v>-1</v>
      </c>
      <c r="AU73" s="79" t="e">
        <f t="shared" si="108"/>
        <v>#DIV/0!</v>
      </c>
      <c r="AV73" s="79" t="e">
        <f t="shared" si="109"/>
        <v>#DIV/0!</v>
      </c>
      <c r="AW73" s="79">
        <f t="shared" si="66"/>
        <v>-0.96694999999999998</v>
      </c>
      <c r="AY73" s="351" t="s">
        <v>355</v>
      </c>
      <c r="AZ73" s="352" t="s">
        <v>356</v>
      </c>
    </row>
    <row r="74" spans="1:52" x14ac:dyDescent="0.25">
      <c r="A74" s="351" t="s">
        <v>357</v>
      </c>
      <c r="B74" s="352" t="s">
        <v>358</v>
      </c>
      <c r="C74" s="357">
        <v>5000</v>
      </c>
      <c r="D74" s="357"/>
      <c r="E74" s="378"/>
      <c r="F74" s="375">
        <f t="shared" si="67"/>
        <v>5000</v>
      </c>
      <c r="G74" s="142">
        <v>5000</v>
      </c>
      <c r="H74" s="27"/>
      <c r="I74" s="27"/>
      <c r="J74" s="27">
        <v>2500</v>
      </c>
      <c r="K74" s="27"/>
      <c r="L74" s="27"/>
      <c r="M74" s="27"/>
      <c r="N74" s="27"/>
      <c r="O74" s="27">
        <v>2500</v>
      </c>
      <c r="P74" s="27"/>
      <c r="Q74" s="27"/>
      <c r="R74" s="143"/>
      <c r="S74" s="143"/>
      <c r="T74" s="27">
        <f t="shared" si="72"/>
        <v>5000</v>
      </c>
      <c r="U74" s="48">
        <f t="shared" si="110"/>
        <v>5000</v>
      </c>
      <c r="V74" s="391">
        <f t="shared" si="111"/>
        <v>5000</v>
      </c>
      <c r="W74" s="391">
        <f t="shared" si="112"/>
        <v>0</v>
      </c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>
        <f t="shared" si="73"/>
        <v>0</v>
      </c>
      <c r="AK74" s="31">
        <v>0</v>
      </c>
      <c r="AM74" s="79" t="e">
        <f t="shared" si="100"/>
        <v>#DIV/0!</v>
      </c>
      <c r="AN74" s="79" t="e">
        <f t="shared" si="101"/>
        <v>#DIV/0!</v>
      </c>
      <c r="AO74" s="79">
        <f t="shared" si="102"/>
        <v>-1</v>
      </c>
      <c r="AP74" s="79" t="e">
        <f t="shared" si="103"/>
        <v>#DIV/0!</v>
      </c>
      <c r="AQ74" s="79" t="e">
        <f t="shared" si="104"/>
        <v>#DIV/0!</v>
      </c>
      <c r="AR74" s="79" t="e">
        <f t="shared" si="105"/>
        <v>#DIV/0!</v>
      </c>
      <c r="AS74" s="79" t="e">
        <f t="shared" si="106"/>
        <v>#DIV/0!</v>
      </c>
      <c r="AT74" s="79">
        <f t="shared" si="107"/>
        <v>-1</v>
      </c>
      <c r="AU74" s="79" t="e">
        <f t="shared" si="108"/>
        <v>#DIV/0!</v>
      </c>
      <c r="AV74" s="79" t="e">
        <f t="shared" si="109"/>
        <v>#DIV/0!</v>
      </c>
      <c r="AW74" s="79">
        <f t="shared" si="66"/>
        <v>-1</v>
      </c>
      <c r="AY74" s="351" t="s">
        <v>357</v>
      </c>
      <c r="AZ74" s="352" t="s">
        <v>358</v>
      </c>
    </row>
    <row r="75" spans="1:52" x14ac:dyDescent="0.25">
      <c r="A75" s="351" t="s">
        <v>359</v>
      </c>
      <c r="B75" s="352" t="s">
        <v>360</v>
      </c>
      <c r="C75" s="357"/>
      <c r="D75" s="357"/>
      <c r="E75" s="378"/>
      <c r="F75" s="375">
        <f t="shared" si="67"/>
        <v>0</v>
      </c>
      <c r="G75" s="142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143"/>
      <c r="S75" s="143"/>
      <c r="T75" s="27">
        <f t="shared" si="72"/>
        <v>0</v>
      </c>
      <c r="U75" s="48">
        <f t="shared" si="110"/>
        <v>0</v>
      </c>
      <c r="V75" s="391">
        <f t="shared" si="111"/>
        <v>0</v>
      </c>
      <c r="W75" s="391">
        <f t="shared" si="112"/>
        <v>0</v>
      </c>
      <c r="Y75" s="27">
        <v>1614825</v>
      </c>
      <c r="Z75" s="27">
        <v>1656230</v>
      </c>
      <c r="AA75" s="27"/>
      <c r="AB75" s="27"/>
      <c r="AC75" s="27"/>
      <c r="AD75" s="27"/>
      <c r="AE75" s="27">
        <v>644050</v>
      </c>
      <c r="AF75" s="27"/>
      <c r="AG75" s="27"/>
      <c r="AH75" s="27"/>
      <c r="AI75" s="27"/>
      <c r="AJ75" s="27">
        <f t="shared" si="73"/>
        <v>3915105</v>
      </c>
      <c r="AK75" s="31">
        <v>3915105</v>
      </c>
      <c r="AM75" s="79" t="e">
        <f t="shared" si="100"/>
        <v>#DIV/0!</v>
      </c>
      <c r="AN75" s="79" t="e">
        <f t="shared" si="101"/>
        <v>#DIV/0!</v>
      </c>
      <c r="AO75" s="79" t="e">
        <f t="shared" si="102"/>
        <v>#DIV/0!</v>
      </c>
      <c r="AP75" s="79" t="e">
        <f t="shared" si="103"/>
        <v>#DIV/0!</v>
      </c>
      <c r="AQ75" s="79" t="e">
        <f t="shared" si="104"/>
        <v>#DIV/0!</v>
      </c>
      <c r="AR75" s="79" t="e">
        <f t="shared" si="105"/>
        <v>#DIV/0!</v>
      </c>
      <c r="AS75" s="79" t="e">
        <f t="shared" si="106"/>
        <v>#DIV/0!</v>
      </c>
      <c r="AT75" s="79" t="e">
        <f t="shared" si="107"/>
        <v>#DIV/0!</v>
      </c>
      <c r="AU75" s="79" t="e">
        <f t="shared" si="108"/>
        <v>#DIV/0!</v>
      </c>
      <c r="AV75" s="79" t="e">
        <f t="shared" si="109"/>
        <v>#DIV/0!</v>
      </c>
      <c r="AW75" s="79" t="e">
        <f t="shared" ref="AW75:AW138" si="113">(AJ75-T75)/T75</f>
        <v>#DIV/0!</v>
      </c>
      <c r="AY75" s="351" t="s">
        <v>359</v>
      </c>
      <c r="AZ75" s="352" t="s">
        <v>360</v>
      </c>
    </row>
    <row r="76" spans="1:52" x14ac:dyDescent="0.25">
      <c r="A76" s="351" t="s">
        <v>361</v>
      </c>
      <c r="B76" s="352" t="s">
        <v>362</v>
      </c>
      <c r="C76" s="357"/>
      <c r="D76" s="357"/>
      <c r="E76" s="378"/>
      <c r="F76" s="375">
        <f t="shared" ref="F76:F140" si="114">+C76+D76</f>
        <v>0</v>
      </c>
      <c r="G76" s="142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143"/>
      <c r="S76" s="143"/>
      <c r="T76" s="27">
        <f t="shared" si="72"/>
        <v>0</v>
      </c>
      <c r="U76" s="48">
        <f t="shared" si="110"/>
        <v>0</v>
      </c>
      <c r="V76" s="391">
        <f t="shared" si="111"/>
        <v>0</v>
      </c>
      <c r="W76" s="391">
        <f t="shared" si="112"/>
        <v>0</v>
      </c>
      <c r="Y76" s="27">
        <v>505153</v>
      </c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>
        <f t="shared" si="73"/>
        <v>505153</v>
      </c>
      <c r="AK76" s="31">
        <v>505153</v>
      </c>
      <c r="AM76" s="79" t="e">
        <f t="shared" si="100"/>
        <v>#DIV/0!</v>
      </c>
      <c r="AN76" s="79" t="e">
        <f t="shared" si="101"/>
        <v>#DIV/0!</v>
      </c>
      <c r="AO76" s="79" t="e">
        <f t="shared" si="102"/>
        <v>#DIV/0!</v>
      </c>
      <c r="AP76" s="79" t="e">
        <f t="shared" si="103"/>
        <v>#DIV/0!</v>
      </c>
      <c r="AQ76" s="79" t="e">
        <f t="shared" si="104"/>
        <v>#DIV/0!</v>
      </c>
      <c r="AR76" s="79" t="e">
        <f t="shared" si="105"/>
        <v>#DIV/0!</v>
      </c>
      <c r="AS76" s="79" t="e">
        <f t="shared" si="106"/>
        <v>#DIV/0!</v>
      </c>
      <c r="AT76" s="79" t="e">
        <f t="shared" si="107"/>
        <v>#DIV/0!</v>
      </c>
      <c r="AU76" s="79" t="e">
        <f t="shared" si="108"/>
        <v>#DIV/0!</v>
      </c>
      <c r="AV76" s="79" t="e">
        <f t="shared" si="109"/>
        <v>#DIV/0!</v>
      </c>
      <c r="AW76" s="79" t="e">
        <f t="shared" si="113"/>
        <v>#DIV/0!</v>
      </c>
      <c r="AY76" s="351" t="s">
        <v>361</v>
      </c>
      <c r="AZ76" s="352" t="s">
        <v>362</v>
      </c>
    </row>
    <row r="77" spans="1:52" x14ac:dyDescent="0.25">
      <c r="A77" s="351" t="s">
        <v>363</v>
      </c>
      <c r="B77" s="352" t="s">
        <v>364</v>
      </c>
      <c r="C77" s="357">
        <v>128167513</v>
      </c>
      <c r="D77" s="357"/>
      <c r="E77" s="378"/>
      <c r="F77" s="375">
        <f t="shared" si="114"/>
        <v>128167513</v>
      </c>
      <c r="G77" s="142">
        <v>128167513</v>
      </c>
      <c r="H77" s="27"/>
      <c r="I77" s="27"/>
      <c r="J77" s="27">
        <v>64083756.5</v>
      </c>
      <c r="K77" s="27"/>
      <c r="L77" s="27"/>
      <c r="M77" s="27"/>
      <c r="N77" s="27"/>
      <c r="O77" s="27">
        <v>64083756.5</v>
      </c>
      <c r="P77" s="27"/>
      <c r="Q77" s="27"/>
      <c r="R77" s="143"/>
      <c r="S77" s="143"/>
      <c r="T77" s="27">
        <f t="shared" si="72"/>
        <v>128167513</v>
      </c>
      <c r="U77" s="48">
        <f t="shared" si="110"/>
        <v>128167513</v>
      </c>
      <c r="V77" s="391">
        <f t="shared" si="111"/>
        <v>128167513</v>
      </c>
      <c r="W77" s="391">
        <f t="shared" si="112"/>
        <v>0</v>
      </c>
      <c r="Y77" s="27">
        <v>28340400</v>
      </c>
      <c r="Z77" s="27">
        <v>28487300</v>
      </c>
      <c r="AA77" s="27">
        <v>8781000</v>
      </c>
      <c r="AB77" s="27"/>
      <c r="AC77" s="27"/>
      <c r="AD77" s="27">
        <f>80686478-28487300</f>
        <v>52199178</v>
      </c>
      <c r="AE77" s="27">
        <v>32511900</v>
      </c>
      <c r="AF77" s="27">
        <v>4829000</v>
      </c>
      <c r="AG77" s="27">
        <v>12733000</v>
      </c>
      <c r="AH77" s="27">
        <v>10536200</v>
      </c>
      <c r="AI77" s="27"/>
      <c r="AJ77" s="27">
        <f t="shared" si="73"/>
        <v>178417978</v>
      </c>
      <c r="AK77" s="31">
        <v>150319778</v>
      </c>
      <c r="AM77" s="79" t="e">
        <f t="shared" si="100"/>
        <v>#DIV/0!</v>
      </c>
      <c r="AN77" s="79" t="e">
        <f t="shared" si="101"/>
        <v>#DIV/0!</v>
      </c>
      <c r="AO77" s="79">
        <f t="shared" si="102"/>
        <v>-0.8629761974081529</v>
      </c>
      <c r="AP77" s="79" t="e">
        <f t="shared" si="103"/>
        <v>#DIV/0!</v>
      </c>
      <c r="AQ77" s="79" t="e">
        <f t="shared" si="104"/>
        <v>#DIV/0!</v>
      </c>
      <c r="AR77" s="79" t="e">
        <f t="shared" si="105"/>
        <v>#DIV/0!</v>
      </c>
      <c r="AS77" s="79" t="e">
        <f t="shared" si="106"/>
        <v>#DIV/0!</v>
      </c>
      <c r="AT77" s="79">
        <f t="shared" si="107"/>
        <v>-0.92464549109258287</v>
      </c>
      <c r="AU77" s="79" t="e">
        <f t="shared" si="108"/>
        <v>#DIV/0!</v>
      </c>
      <c r="AV77" s="79" t="e">
        <f t="shared" si="109"/>
        <v>#DIV/0!</v>
      </c>
      <c r="AW77" s="79">
        <f t="shared" si="113"/>
        <v>0.39206865939577057</v>
      </c>
      <c r="AY77" s="351" t="s">
        <v>363</v>
      </c>
      <c r="AZ77" s="352" t="s">
        <v>364</v>
      </c>
    </row>
    <row r="78" spans="1:52" x14ac:dyDescent="0.25">
      <c r="A78" s="347" t="s">
        <v>365</v>
      </c>
      <c r="B78" s="348" t="s">
        <v>366</v>
      </c>
      <c r="C78" s="355">
        <f>SUM(C79)</f>
        <v>230000000</v>
      </c>
      <c r="D78" s="355">
        <f t="shared" ref="D78:F79" si="115">SUM(D79)</f>
        <v>0</v>
      </c>
      <c r="E78" s="355">
        <f t="shared" si="115"/>
        <v>0</v>
      </c>
      <c r="F78" s="355">
        <f t="shared" si="115"/>
        <v>230000000</v>
      </c>
      <c r="G78" s="180">
        <f>+G79</f>
        <v>230000000</v>
      </c>
      <c r="H78" s="51">
        <f t="shared" ref="H78:AA79" si="116">+H79</f>
        <v>0</v>
      </c>
      <c r="I78" s="51">
        <f t="shared" si="116"/>
        <v>23000000</v>
      </c>
      <c r="J78" s="51">
        <f t="shared" si="116"/>
        <v>23000000</v>
      </c>
      <c r="K78" s="51">
        <f t="shared" si="116"/>
        <v>23000000</v>
      </c>
      <c r="L78" s="51">
        <f t="shared" si="116"/>
        <v>23000000</v>
      </c>
      <c r="M78" s="51">
        <f t="shared" si="116"/>
        <v>23000000</v>
      </c>
      <c r="N78" s="51">
        <f t="shared" si="116"/>
        <v>23000000</v>
      </c>
      <c r="O78" s="51">
        <f t="shared" si="116"/>
        <v>23000000</v>
      </c>
      <c r="P78" s="51">
        <f t="shared" si="116"/>
        <v>23000000</v>
      </c>
      <c r="Q78" s="51">
        <f t="shared" si="116"/>
        <v>23000000</v>
      </c>
      <c r="R78" s="51">
        <f t="shared" si="116"/>
        <v>23000000</v>
      </c>
      <c r="S78" s="51">
        <f t="shared" si="116"/>
        <v>0</v>
      </c>
      <c r="T78" s="51">
        <f t="shared" ref="T78:T141" si="117">SUM(H78:Q78)</f>
        <v>207000000</v>
      </c>
      <c r="U78" s="48">
        <f t="shared" si="110"/>
        <v>230000000</v>
      </c>
      <c r="V78" s="391">
        <f t="shared" si="111"/>
        <v>230000000</v>
      </c>
      <c r="W78" s="391">
        <f t="shared" si="112"/>
        <v>0</v>
      </c>
      <c r="Y78" s="51">
        <f t="shared" si="116"/>
        <v>8135700</v>
      </c>
      <c r="Z78" s="51">
        <f t="shared" si="116"/>
        <v>24301360</v>
      </c>
      <c r="AA78" s="51">
        <f t="shared" si="116"/>
        <v>7497000</v>
      </c>
      <c r="AB78" s="51">
        <f t="shared" ref="Y78:AG79" si="118">+AB79</f>
        <v>0</v>
      </c>
      <c r="AC78" s="51">
        <f t="shared" si="118"/>
        <v>0</v>
      </c>
      <c r="AD78" s="51">
        <f t="shared" si="118"/>
        <v>0</v>
      </c>
      <c r="AE78" s="51">
        <f t="shared" si="118"/>
        <v>0</v>
      </c>
      <c r="AF78" s="51">
        <f t="shared" si="118"/>
        <v>0</v>
      </c>
      <c r="AG78" s="51">
        <f t="shared" si="118"/>
        <v>0</v>
      </c>
      <c r="AH78" s="51">
        <v>0</v>
      </c>
      <c r="AI78" s="51"/>
      <c r="AJ78" s="51">
        <f t="shared" ref="AJ78:AJ141" si="119">SUM(Y78:AH78)</f>
        <v>39934060</v>
      </c>
      <c r="AK78" s="51">
        <f t="shared" ref="AK78:AK79" si="120">+AK79</f>
        <v>39934060</v>
      </c>
      <c r="AM78" s="79" t="e">
        <f t="shared" si="100"/>
        <v>#DIV/0!</v>
      </c>
      <c r="AN78" s="79">
        <f t="shared" si="101"/>
        <v>5.6580869565217393E-2</v>
      </c>
      <c r="AO78" s="79">
        <f t="shared" si="102"/>
        <v>-0.67404347826086952</v>
      </c>
      <c r="AP78" s="79">
        <f t="shared" si="103"/>
        <v>-1</v>
      </c>
      <c r="AQ78" s="79">
        <f t="shared" si="104"/>
        <v>-1</v>
      </c>
      <c r="AR78" s="79">
        <f t="shared" si="105"/>
        <v>-1</v>
      </c>
      <c r="AS78" s="79">
        <f t="shared" si="106"/>
        <v>-1</v>
      </c>
      <c r="AT78" s="79">
        <f t="shared" si="107"/>
        <v>-1</v>
      </c>
      <c r="AU78" s="79">
        <f t="shared" si="108"/>
        <v>-1</v>
      </c>
      <c r="AV78" s="79">
        <f t="shared" si="109"/>
        <v>-1</v>
      </c>
      <c r="AW78" s="79">
        <f t="shared" si="113"/>
        <v>-0.80708183574879222</v>
      </c>
      <c r="AY78" s="347" t="s">
        <v>365</v>
      </c>
      <c r="AZ78" s="348" t="s">
        <v>366</v>
      </c>
    </row>
    <row r="79" spans="1:52" x14ac:dyDescent="0.25">
      <c r="A79" s="349" t="s">
        <v>367</v>
      </c>
      <c r="B79" s="350" t="s">
        <v>368</v>
      </c>
      <c r="C79" s="356">
        <f>SUM(C80)</f>
        <v>230000000</v>
      </c>
      <c r="D79" s="356">
        <f t="shared" si="115"/>
        <v>0</v>
      </c>
      <c r="E79" s="356">
        <f t="shared" si="115"/>
        <v>0</v>
      </c>
      <c r="F79" s="356">
        <f t="shared" si="115"/>
        <v>230000000</v>
      </c>
      <c r="G79" s="180">
        <f>+G80</f>
        <v>230000000</v>
      </c>
      <c r="H79" s="51">
        <f t="shared" si="116"/>
        <v>0</v>
      </c>
      <c r="I79" s="51">
        <f t="shared" si="116"/>
        <v>23000000</v>
      </c>
      <c r="J79" s="51">
        <f t="shared" si="116"/>
        <v>23000000</v>
      </c>
      <c r="K79" s="51">
        <f t="shared" si="116"/>
        <v>23000000</v>
      </c>
      <c r="L79" s="51">
        <f t="shared" si="116"/>
        <v>23000000</v>
      </c>
      <c r="M79" s="51">
        <f t="shared" si="116"/>
        <v>23000000</v>
      </c>
      <c r="N79" s="51">
        <f t="shared" si="116"/>
        <v>23000000</v>
      </c>
      <c r="O79" s="51">
        <f t="shared" si="116"/>
        <v>23000000</v>
      </c>
      <c r="P79" s="51">
        <f t="shared" si="116"/>
        <v>23000000</v>
      </c>
      <c r="Q79" s="51">
        <f t="shared" si="116"/>
        <v>23000000</v>
      </c>
      <c r="R79" s="51">
        <f t="shared" si="116"/>
        <v>23000000</v>
      </c>
      <c r="S79" s="51">
        <f t="shared" si="116"/>
        <v>0</v>
      </c>
      <c r="T79" s="51">
        <f t="shared" si="117"/>
        <v>207000000</v>
      </c>
      <c r="U79" s="48">
        <f t="shared" si="110"/>
        <v>230000000</v>
      </c>
      <c r="V79" s="391">
        <f t="shared" si="111"/>
        <v>230000000</v>
      </c>
      <c r="W79" s="391">
        <f t="shared" si="112"/>
        <v>0</v>
      </c>
      <c r="Y79" s="51">
        <f t="shared" si="118"/>
        <v>8135700</v>
      </c>
      <c r="Z79" s="51">
        <f t="shared" si="118"/>
        <v>24301360</v>
      </c>
      <c r="AA79" s="51">
        <f t="shared" si="118"/>
        <v>7497000</v>
      </c>
      <c r="AB79" s="51">
        <f t="shared" si="118"/>
        <v>0</v>
      </c>
      <c r="AC79" s="51">
        <f t="shared" si="118"/>
        <v>0</v>
      </c>
      <c r="AD79" s="51">
        <f t="shared" si="118"/>
        <v>0</v>
      </c>
      <c r="AE79" s="51">
        <f t="shared" si="118"/>
        <v>0</v>
      </c>
      <c r="AF79" s="51">
        <f t="shared" si="118"/>
        <v>0</v>
      </c>
      <c r="AG79" s="51">
        <f t="shared" si="118"/>
        <v>0</v>
      </c>
      <c r="AH79" s="51">
        <v>0</v>
      </c>
      <c r="AI79" s="51"/>
      <c r="AJ79" s="51">
        <f t="shared" si="119"/>
        <v>39934060</v>
      </c>
      <c r="AK79" s="51">
        <f t="shared" si="120"/>
        <v>39934060</v>
      </c>
      <c r="AM79" s="79" t="e">
        <f t="shared" si="100"/>
        <v>#DIV/0!</v>
      </c>
      <c r="AN79" s="79">
        <f t="shared" si="101"/>
        <v>5.6580869565217393E-2</v>
      </c>
      <c r="AO79" s="79">
        <f t="shared" si="102"/>
        <v>-0.67404347826086952</v>
      </c>
      <c r="AP79" s="79">
        <f t="shared" si="103"/>
        <v>-1</v>
      </c>
      <c r="AQ79" s="79">
        <f t="shared" si="104"/>
        <v>-1</v>
      </c>
      <c r="AR79" s="79">
        <f t="shared" si="105"/>
        <v>-1</v>
      </c>
      <c r="AS79" s="79">
        <f t="shared" si="106"/>
        <v>-1</v>
      </c>
      <c r="AT79" s="79">
        <f t="shared" si="107"/>
        <v>-1</v>
      </c>
      <c r="AU79" s="79">
        <f t="shared" si="108"/>
        <v>-1</v>
      </c>
      <c r="AV79" s="79">
        <f t="shared" si="109"/>
        <v>-1</v>
      </c>
      <c r="AW79" s="79">
        <f t="shared" si="113"/>
        <v>-0.80708183574879222</v>
      </c>
      <c r="AY79" s="349" t="s">
        <v>367</v>
      </c>
      <c r="AZ79" s="350" t="s">
        <v>368</v>
      </c>
    </row>
    <row r="80" spans="1:52" s="49" customFormat="1" x14ac:dyDescent="0.25">
      <c r="A80" s="351" t="s">
        <v>369</v>
      </c>
      <c r="B80" s="352" t="s">
        <v>370</v>
      </c>
      <c r="C80" s="357">
        <v>230000000</v>
      </c>
      <c r="D80" s="357"/>
      <c r="E80" s="378"/>
      <c r="F80" s="375">
        <f t="shared" si="114"/>
        <v>230000000</v>
      </c>
      <c r="G80" s="142">
        <v>230000000</v>
      </c>
      <c r="H80" s="27"/>
      <c r="I80" s="27">
        <v>23000000</v>
      </c>
      <c r="J80" s="27">
        <v>23000000</v>
      </c>
      <c r="K80" s="27">
        <v>23000000</v>
      </c>
      <c r="L80" s="27">
        <v>23000000</v>
      </c>
      <c r="M80" s="27">
        <v>23000000</v>
      </c>
      <c r="N80" s="27">
        <v>23000000</v>
      </c>
      <c r="O80" s="27">
        <v>23000000</v>
      </c>
      <c r="P80" s="27">
        <v>23000000</v>
      </c>
      <c r="Q80" s="27">
        <v>23000000</v>
      </c>
      <c r="R80" s="143">
        <v>23000000</v>
      </c>
      <c r="S80" s="143"/>
      <c r="T80" s="27">
        <f t="shared" si="117"/>
        <v>207000000</v>
      </c>
      <c r="U80" s="48">
        <f t="shared" si="110"/>
        <v>230000000</v>
      </c>
      <c r="V80" s="391">
        <f t="shared" si="111"/>
        <v>230000000</v>
      </c>
      <c r="W80" s="391">
        <f t="shared" si="112"/>
        <v>0</v>
      </c>
      <c r="Y80" s="27">
        <f>7335700+800000</f>
        <v>8135700</v>
      </c>
      <c r="Z80" s="27">
        <v>24301360</v>
      </c>
      <c r="AA80" s="27">
        <f>7587000-90000</f>
        <v>7497000</v>
      </c>
      <c r="AB80" s="27"/>
      <c r="AC80" s="27"/>
      <c r="AD80" s="27"/>
      <c r="AE80" s="27"/>
      <c r="AF80" s="27"/>
      <c r="AG80" s="27"/>
      <c r="AH80" s="27"/>
      <c r="AI80" s="27"/>
      <c r="AJ80" s="27">
        <f t="shared" si="119"/>
        <v>39934060</v>
      </c>
      <c r="AK80" s="31">
        <v>39934060</v>
      </c>
      <c r="AM80" s="79" t="e">
        <f t="shared" si="100"/>
        <v>#DIV/0!</v>
      </c>
      <c r="AN80" s="79">
        <f t="shared" si="101"/>
        <v>5.6580869565217393E-2</v>
      </c>
      <c r="AO80" s="79">
        <f t="shared" si="102"/>
        <v>-0.67404347826086952</v>
      </c>
      <c r="AP80" s="79">
        <f t="shared" si="103"/>
        <v>-1</v>
      </c>
      <c r="AQ80" s="79">
        <f t="shared" si="104"/>
        <v>-1</v>
      </c>
      <c r="AR80" s="79">
        <f t="shared" si="105"/>
        <v>-1</v>
      </c>
      <c r="AS80" s="79">
        <f t="shared" si="106"/>
        <v>-1</v>
      </c>
      <c r="AT80" s="79">
        <f t="shared" si="107"/>
        <v>-1</v>
      </c>
      <c r="AU80" s="79">
        <f t="shared" si="108"/>
        <v>-1</v>
      </c>
      <c r="AV80" s="79">
        <f t="shared" si="109"/>
        <v>-1</v>
      </c>
      <c r="AW80" s="79">
        <f t="shared" si="113"/>
        <v>-0.80708183574879222</v>
      </c>
      <c r="AY80" s="351" t="s">
        <v>369</v>
      </c>
      <c r="AZ80" s="352" t="s">
        <v>370</v>
      </c>
    </row>
    <row r="81" spans="1:52" x14ac:dyDescent="0.25">
      <c r="A81" s="347" t="s">
        <v>371</v>
      </c>
      <c r="B81" s="348" t="s">
        <v>372</v>
      </c>
      <c r="C81" s="355">
        <f>SUM(C84+C102+C105)+C82+C100</f>
        <v>1693296796</v>
      </c>
      <c r="D81" s="355">
        <f t="shared" ref="D81:F81" si="121">SUM(D84+D102+D105)+D82+D100</f>
        <v>0</v>
      </c>
      <c r="E81" s="355">
        <f t="shared" si="121"/>
        <v>0</v>
      </c>
      <c r="F81" s="355">
        <f t="shared" si="121"/>
        <v>1693296796</v>
      </c>
      <c r="G81" s="180" t="e">
        <f t="shared" ref="G81" si="122">+G84+G102+G105</f>
        <v>#REF!</v>
      </c>
      <c r="H81" s="51">
        <f>+H84+H102+H105+H82+H100</f>
        <v>109274732.99333334</v>
      </c>
      <c r="I81" s="51">
        <f t="shared" ref="I81:S81" si="123">+I84+I102+I105+I82+I100</f>
        <v>158274732.99333334</v>
      </c>
      <c r="J81" s="51">
        <f t="shared" si="123"/>
        <v>118274732.99333334</v>
      </c>
      <c r="K81" s="51">
        <f t="shared" si="123"/>
        <v>109274732.99333334</v>
      </c>
      <c r="L81" s="51">
        <f t="shared" si="123"/>
        <v>211274732.99333334</v>
      </c>
      <c r="M81" s="51">
        <f t="shared" si="123"/>
        <v>115274732.99333334</v>
      </c>
      <c r="N81" s="51">
        <f t="shared" si="123"/>
        <v>109274732.99333334</v>
      </c>
      <c r="O81" s="51">
        <f t="shared" si="123"/>
        <v>158274732.99333334</v>
      </c>
      <c r="P81" s="51">
        <f t="shared" si="123"/>
        <v>118274732.99333334</v>
      </c>
      <c r="Q81" s="51">
        <f t="shared" si="123"/>
        <v>109274732.99333334</v>
      </c>
      <c r="R81" s="51">
        <f t="shared" si="123"/>
        <v>261274732.99333334</v>
      </c>
      <c r="S81" s="51">
        <f t="shared" si="123"/>
        <v>115274733.07333334</v>
      </c>
      <c r="T81" s="51">
        <f t="shared" si="117"/>
        <v>1316747329.9333334</v>
      </c>
      <c r="U81" s="48">
        <f t="shared" si="110"/>
        <v>1693296796</v>
      </c>
      <c r="V81" s="51">
        <f>+V84+V102+V105</f>
        <v>1693296796</v>
      </c>
      <c r="W81" s="391">
        <f t="shared" si="112"/>
        <v>0</v>
      </c>
      <c r="Y81" s="51">
        <f t="shared" ref="Y81:AG81" si="124">+Y84+Y102+Y105+Y82+Y100</f>
        <v>207576839</v>
      </c>
      <c r="Z81" s="51">
        <f t="shared" si="124"/>
        <v>173824289</v>
      </c>
      <c r="AA81" s="51">
        <f t="shared" si="124"/>
        <v>129922034</v>
      </c>
      <c r="AB81" s="51">
        <f t="shared" si="124"/>
        <v>103185459</v>
      </c>
      <c r="AC81" s="51">
        <f t="shared" si="124"/>
        <v>143864674</v>
      </c>
      <c r="AD81" s="51">
        <f t="shared" si="124"/>
        <v>140484766</v>
      </c>
      <c r="AE81" s="51">
        <f t="shared" si="124"/>
        <v>125576117</v>
      </c>
      <c r="AF81" s="51">
        <f t="shared" si="124"/>
        <v>141699372</v>
      </c>
      <c r="AG81" s="51">
        <f t="shared" si="124"/>
        <v>196297149</v>
      </c>
      <c r="AH81" s="51">
        <v>33902045</v>
      </c>
      <c r="AI81" s="51"/>
      <c r="AJ81" s="51">
        <f t="shared" si="119"/>
        <v>1396332744</v>
      </c>
      <c r="AK81" s="51">
        <f>+AK84+AK102+AK108</f>
        <v>853317624</v>
      </c>
      <c r="AM81" s="79">
        <f t="shared" si="100"/>
        <v>0.89958678748420184</v>
      </c>
      <c r="AN81" s="79">
        <f t="shared" si="101"/>
        <v>9.8244083010530933E-2</v>
      </c>
      <c r="AO81" s="79">
        <f t="shared" si="102"/>
        <v>9.8476662866980813E-2</v>
      </c>
      <c r="AP81" s="79">
        <f t="shared" si="103"/>
        <v>-5.5724446324703768E-2</v>
      </c>
      <c r="AQ81" s="79">
        <f t="shared" si="104"/>
        <v>-0.31906351525461601</v>
      </c>
      <c r="AR81" s="79">
        <f t="shared" si="105"/>
        <v>0.21869521925611077</v>
      </c>
      <c r="AS81" s="79">
        <f t="shared" si="106"/>
        <v>0.14917798067428067</v>
      </c>
      <c r="AT81" s="79">
        <f t="shared" si="107"/>
        <v>-0.10472525007533266</v>
      </c>
      <c r="AU81" s="79">
        <f t="shared" si="108"/>
        <v>0.65967103904655999</v>
      </c>
      <c r="AV81" s="79">
        <f t="shared" si="109"/>
        <v>-0.68975403488683606</v>
      </c>
      <c r="AW81" s="79">
        <f t="shared" si="113"/>
        <v>6.0440915472139971E-2</v>
      </c>
      <c r="AY81" s="347" t="s">
        <v>371</v>
      </c>
      <c r="AZ81" s="348" t="s">
        <v>372</v>
      </c>
    </row>
    <row r="82" spans="1:52" x14ac:dyDescent="0.25">
      <c r="A82" s="347">
        <v>1125202</v>
      </c>
      <c r="B82" s="348" t="s">
        <v>883</v>
      </c>
      <c r="C82" s="355">
        <f>+C83</f>
        <v>0</v>
      </c>
      <c r="D82" s="355">
        <v>0</v>
      </c>
      <c r="E82" s="355">
        <f>+E83</f>
        <v>0</v>
      </c>
      <c r="F82" s="355">
        <f t="shared" si="114"/>
        <v>0</v>
      </c>
      <c r="G82" s="180"/>
      <c r="H82" s="18">
        <f>+H83</f>
        <v>0</v>
      </c>
      <c r="I82" s="18">
        <f t="shared" ref="I82:S82" si="125">+I83</f>
        <v>0</v>
      </c>
      <c r="J82" s="18">
        <f t="shared" si="125"/>
        <v>0</v>
      </c>
      <c r="K82" s="18">
        <f t="shared" si="125"/>
        <v>0</v>
      </c>
      <c r="L82" s="18">
        <f t="shared" si="125"/>
        <v>0</v>
      </c>
      <c r="M82" s="18">
        <f t="shared" si="125"/>
        <v>0</v>
      </c>
      <c r="N82" s="18">
        <f t="shared" si="125"/>
        <v>0</v>
      </c>
      <c r="O82" s="18">
        <f t="shared" si="125"/>
        <v>0</v>
      </c>
      <c r="P82" s="18">
        <f t="shared" si="125"/>
        <v>0</v>
      </c>
      <c r="Q82" s="18">
        <f t="shared" si="125"/>
        <v>0</v>
      </c>
      <c r="R82" s="18">
        <f t="shared" si="125"/>
        <v>0</v>
      </c>
      <c r="S82" s="18">
        <f t="shared" si="125"/>
        <v>0</v>
      </c>
      <c r="T82" s="18">
        <f t="shared" si="117"/>
        <v>0</v>
      </c>
      <c r="U82" s="48">
        <f t="shared" si="110"/>
        <v>0</v>
      </c>
      <c r="V82" s="391">
        <f t="shared" si="111"/>
        <v>0</v>
      </c>
      <c r="W82" s="391">
        <f t="shared" si="112"/>
        <v>0</v>
      </c>
      <c r="Y82" s="18">
        <f t="shared" ref="Y82:AG82" si="126">+Y83</f>
        <v>0</v>
      </c>
      <c r="Z82" s="18">
        <f t="shared" si="126"/>
        <v>2240400</v>
      </c>
      <c r="AA82" s="18">
        <f t="shared" si="126"/>
        <v>204100</v>
      </c>
      <c r="AB82" s="18">
        <f t="shared" si="126"/>
        <v>8425100</v>
      </c>
      <c r="AC82" s="18">
        <f t="shared" si="126"/>
        <v>0</v>
      </c>
      <c r="AD82" s="18">
        <f t="shared" si="126"/>
        <v>0</v>
      </c>
      <c r="AE82" s="18">
        <f t="shared" si="126"/>
        <v>0</v>
      </c>
      <c r="AF82" s="18">
        <f t="shared" si="126"/>
        <v>0</v>
      </c>
      <c r="AG82" s="18">
        <f t="shared" si="126"/>
        <v>0</v>
      </c>
      <c r="AH82" s="18">
        <v>0</v>
      </c>
      <c r="AI82" s="18"/>
      <c r="AJ82" s="18">
        <f t="shared" si="119"/>
        <v>10869600</v>
      </c>
      <c r="AK82" s="18">
        <f t="shared" ref="AK82" si="127">+AK83</f>
        <v>10869600</v>
      </c>
      <c r="AM82" s="79" t="e">
        <f t="shared" si="100"/>
        <v>#DIV/0!</v>
      </c>
      <c r="AN82" s="79" t="e">
        <f t="shared" si="101"/>
        <v>#DIV/0!</v>
      </c>
      <c r="AO82" s="79" t="e">
        <f t="shared" si="102"/>
        <v>#DIV/0!</v>
      </c>
      <c r="AP82" s="79" t="e">
        <f t="shared" si="103"/>
        <v>#DIV/0!</v>
      </c>
      <c r="AQ82" s="79" t="e">
        <f t="shared" si="104"/>
        <v>#DIV/0!</v>
      </c>
      <c r="AR82" s="79" t="e">
        <f t="shared" si="105"/>
        <v>#DIV/0!</v>
      </c>
      <c r="AS82" s="79" t="e">
        <f t="shared" si="106"/>
        <v>#DIV/0!</v>
      </c>
      <c r="AT82" s="79" t="e">
        <f t="shared" si="107"/>
        <v>#DIV/0!</v>
      </c>
      <c r="AU82" s="79" t="e">
        <f t="shared" si="108"/>
        <v>#DIV/0!</v>
      </c>
      <c r="AV82" s="79" t="e">
        <f t="shared" si="109"/>
        <v>#DIV/0!</v>
      </c>
      <c r="AW82" s="79" t="e">
        <f t="shared" si="113"/>
        <v>#DIV/0!</v>
      </c>
      <c r="AY82" s="347">
        <v>1125202</v>
      </c>
      <c r="AZ82" s="348" t="s">
        <v>883</v>
      </c>
    </row>
    <row r="83" spans="1:52" x14ac:dyDescent="0.25">
      <c r="A83" s="351">
        <v>112520201</v>
      </c>
      <c r="B83" s="352" t="s">
        <v>884</v>
      </c>
      <c r="C83" s="357"/>
      <c r="D83" s="357"/>
      <c r="E83" s="378"/>
      <c r="F83" s="375">
        <f t="shared" si="114"/>
        <v>0</v>
      </c>
      <c r="G83" s="180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1"/>
      <c r="S83" s="181"/>
      <c r="T83" s="18">
        <f t="shared" si="117"/>
        <v>0</v>
      </c>
      <c r="U83" s="48">
        <f t="shared" si="110"/>
        <v>0</v>
      </c>
      <c r="V83" s="391">
        <f t="shared" si="111"/>
        <v>0</v>
      </c>
      <c r="W83" s="391">
        <f t="shared" si="112"/>
        <v>0</v>
      </c>
      <c r="Y83" s="18"/>
      <c r="Z83" s="18">
        <v>2240400</v>
      </c>
      <c r="AA83" s="18">
        <v>204100</v>
      </c>
      <c r="AB83" s="18">
        <v>8425100</v>
      </c>
      <c r="AC83" s="18"/>
      <c r="AD83" s="18"/>
      <c r="AE83" s="18"/>
      <c r="AF83" s="18"/>
      <c r="AG83" s="18"/>
      <c r="AH83" s="18"/>
      <c r="AI83" s="18"/>
      <c r="AJ83" s="18">
        <f t="shared" si="119"/>
        <v>10869600</v>
      </c>
      <c r="AK83" s="18">
        <v>10869600</v>
      </c>
      <c r="AM83" s="79" t="e">
        <f t="shared" si="100"/>
        <v>#DIV/0!</v>
      </c>
      <c r="AN83" s="79" t="e">
        <f t="shared" si="101"/>
        <v>#DIV/0!</v>
      </c>
      <c r="AO83" s="79" t="e">
        <f t="shared" si="102"/>
        <v>#DIV/0!</v>
      </c>
      <c r="AP83" s="79" t="e">
        <f t="shared" si="103"/>
        <v>#DIV/0!</v>
      </c>
      <c r="AQ83" s="79" t="e">
        <f t="shared" si="104"/>
        <v>#DIV/0!</v>
      </c>
      <c r="AR83" s="79" t="e">
        <f t="shared" si="105"/>
        <v>#DIV/0!</v>
      </c>
      <c r="AS83" s="79" t="e">
        <f t="shared" si="106"/>
        <v>#DIV/0!</v>
      </c>
      <c r="AT83" s="79" t="e">
        <f t="shared" si="107"/>
        <v>#DIV/0!</v>
      </c>
      <c r="AU83" s="79" t="e">
        <f t="shared" si="108"/>
        <v>#DIV/0!</v>
      </c>
      <c r="AV83" s="79" t="e">
        <f t="shared" si="109"/>
        <v>#DIV/0!</v>
      </c>
      <c r="AW83" s="79" t="e">
        <f t="shared" si="113"/>
        <v>#DIV/0!</v>
      </c>
      <c r="AY83" s="351">
        <v>112520201</v>
      </c>
      <c r="AZ83" s="352" t="s">
        <v>884</v>
      </c>
    </row>
    <row r="84" spans="1:52" x14ac:dyDescent="0.25">
      <c r="A84" s="347" t="s">
        <v>373</v>
      </c>
      <c r="B84" s="348" t="s">
        <v>374</v>
      </c>
      <c r="C84" s="355">
        <f>SUM(C91+C85)</f>
        <v>346400000</v>
      </c>
      <c r="D84" s="355">
        <f t="shared" ref="D84:F84" si="128">SUM(D91+D85)</f>
        <v>0</v>
      </c>
      <c r="E84" s="355">
        <f t="shared" si="128"/>
        <v>0</v>
      </c>
      <c r="F84" s="355">
        <f t="shared" si="128"/>
        <v>346400000</v>
      </c>
      <c r="G84" s="180">
        <f>+G85+G91</f>
        <v>346400000</v>
      </c>
      <c r="H84" s="51">
        <f t="shared" ref="H84" si="129">+H85+H91</f>
        <v>28866666.66</v>
      </c>
      <c r="I84" s="51">
        <f t="shared" ref="I84:S84" si="130">+I85+I91</f>
        <v>28866666.66</v>
      </c>
      <c r="J84" s="51">
        <f t="shared" si="130"/>
        <v>28866666.66</v>
      </c>
      <c r="K84" s="51">
        <f t="shared" si="130"/>
        <v>28866666.66</v>
      </c>
      <c r="L84" s="51">
        <f t="shared" si="130"/>
        <v>28866666.66</v>
      </c>
      <c r="M84" s="51">
        <f t="shared" si="130"/>
        <v>28866666.66</v>
      </c>
      <c r="N84" s="51">
        <f t="shared" si="130"/>
        <v>28866666.66</v>
      </c>
      <c r="O84" s="51">
        <f t="shared" si="130"/>
        <v>28866666.66</v>
      </c>
      <c r="P84" s="51">
        <f t="shared" si="130"/>
        <v>28866666.66</v>
      </c>
      <c r="Q84" s="51">
        <f t="shared" si="130"/>
        <v>28866666.66</v>
      </c>
      <c r="R84" s="51">
        <f t="shared" si="130"/>
        <v>28866666.66</v>
      </c>
      <c r="S84" s="51">
        <f t="shared" si="130"/>
        <v>28866666.740000002</v>
      </c>
      <c r="T84" s="51">
        <f t="shared" si="117"/>
        <v>288666666.60000002</v>
      </c>
      <c r="U84" s="48">
        <f t="shared" si="110"/>
        <v>346400000.00000006</v>
      </c>
      <c r="V84" s="391">
        <f t="shared" si="111"/>
        <v>346400000</v>
      </c>
      <c r="W84" s="391">
        <f t="shared" si="112"/>
        <v>0</v>
      </c>
      <c r="Y84" s="51">
        <f t="shared" ref="Y84:AG84" si="131">+Y85+Y91</f>
        <v>127522146</v>
      </c>
      <c r="Z84" s="51">
        <f t="shared" si="131"/>
        <v>7313000</v>
      </c>
      <c r="AA84" s="51">
        <f t="shared" si="131"/>
        <v>26073900</v>
      </c>
      <c r="AB84" s="51">
        <f t="shared" si="131"/>
        <v>55394523</v>
      </c>
      <c r="AC84" s="51">
        <f t="shared" si="131"/>
        <v>81716782</v>
      </c>
      <c r="AD84" s="51">
        <f t="shared" si="131"/>
        <v>53488002</v>
      </c>
      <c r="AE84" s="51">
        <f t="shared" si="131"/>
        <v>31485800</v>
      </c>
      <c r="AF84" s="51">
        <f t="shared" si="131"/>
        <v>76629243</v>
      </c>
      <c r="AG84" s="51">
        <f t="shared" si="131"/>
        <v>80422645</v>
      </c>
      <c r="AH84" s="51">
        <v>31002242</v>
      </c>
      <c r="AI84" s="51"/>
      <c r="AJ84" s="51">
        <f t="shared" si="119"/>
        <v>571048283</v>
      </c>
      <c r="AK84" s="51">
        <f t="shared" ref="AK84" si="132">+AK85+AK91</f>
        <v>382994153</v>
      </c>
      <c r="AM84" s="79">
        <f t="shared" si="100"/>
        <v>3.4176263058701215</v>
      </c>
      <c r="AN84" s="79">
        <f t="shared" si="101"/>
        <v>-0.74666281749345564</v>
      </c>
      <c r="AO84" s="79">
        <f t="shared" si="102"/>
        <v>-9.674711295536885E-2</v>
      </c>
      <c r="AP84" s="79">
        <f t="shared" si="103"/>
        <v>0.91897885725611517</v>
      </c>
      <c r="AQ84" s="79">
        <f t="shared" si="104"/>
        <v>1.8308354048108166</v>
      </c>
      <c r="AR84" s="79">
        <f t="shared" si="105"/>
        <v>0.85293309511615079</v>
      </c>
      <c r="AS84" s="79">
        <f t="shared" si="106"/>
        <v>9.0732101868529341E-2</v>
      </c>
      <c r="AT84" s="79">
        <f t="shared" si="107"/>
        <v>1.6545927142389361</v>
      </c>
      <c r="AU84" s="79">
        <f t="shared" si="108"/>
        <v>1.7860038690036961</v>
      </c>
      <c r="AV84" s="79">
        <f t="shared" si="109"/>
        <v>7.3980669993990916E-2</v>
      </c>
      <c r="AW84" s="79">
        <f t="shared" si="113"/>
        <v>0.97822730877095299</v>
      </c>
      <c r="AY84" s="347" t="s">
        <v>373</v>
      </c>
      <c r="AZ84" s="348" t="s">
        <v>374</v>
      </c>
    </row>
    <row r="85" spans="1:52" x14ac:dyDescent="0.25">
      <c r="A85" s="349" t="s">
        <v>375</v>
      </c>
      <c r="B85" s="350" t="s">
        <v>46</v>
      </c>
      <c r="C85" s="356">
        <f>SUM(C86:C90)</f>
        <v>180600000</v>
      </c>
      <c r="D85" s="356">
        <f t="shared" ref="D85:F85" si="133">SUM(D86:D90)</f>
        <v>0</v>
      </c>
      <c r="E85" s="356">
        <f t="shared" si="133"/>
        <v>0</v>
      </c>
      <c r="F85" s="356">
        <f t="shared" si="133"/>
        <v>180600000</v>
      </c>
      <c r="G85" s="180">
        <f>SUM(G86:G90)</f>
        <v>180600000</v>
      </c>
      <c r="H85" s="51">
        <f t="shared" ref="H85" si="134">SUM(H86:H90)</f>
        <v>15050000</v>
      </c>
      <c r="I85" s="51">
        <f t="shared" ref="I85:S85" si="135">SUM(I86:I90)</f>
        <v>15050000</v>
      </c>
      <c r="J85" s="51">
        <f t="shared" si="135"/>
        <v>15050000</v>
      </c>
      <c r="K85" s="51">
        <f t="shared" si="135"/>
        <v>15050000</v>
      </c>
      <c r="L85" s="51">
        <f t="shared" si="135"/>
        <v>15050000</v>
      </c>
      <c r="M85" s="51">
        <f t="shared" si="135"/>
        <v>15050000</v>
      </c>
      <c r="N85" s="51">
        <f t="shared" si="135"/>
        <v>15050000</v>
      </c>
      <c r="O85" s="51">
        <f t="shared" si="135"/>
        <v>15050000</v>
      </c>
      <c r="P85" s="51">
        <f t="shared" si="135"/>
        <v>15050000</v>
      </c>
      <c r="Q85" s="51">
        <f t="shared" si="135"/>
        <v>15050000</v>
      </c>
      <c r="R85" s="51">
        <f t="shared" si="135"/>
        <v>15050000</v>
      </c>
      <c r="S85" s="51">
        <f t="shared" si="135"/>
        <v>15050000</v>
      </c>
      <c r="T85" s="51">
        <f t="shared" si="117"/>
        <v>150500000</v>
      </c>
      <c r="U85" s="48">
        <f t="shared" si="110"/>
        <v>180600000</v>
      </c>
      <c r="V85" s="391">
        <f t="shared" si="111"/>
        <v>180600000</v>
      </c>
      <c r="W85" s="391">
        <f t="shared" si="112"/>
        <v>0</v>
      </c>
      <c r="Y85" s="51">
        <f t="shared" ref="Y85:AG85" si="136">SUM(Y86:Y90)</f>
        <v>107936146</v>
      </c>
      <c r="Z85" s="51">
        <f t="shared" si="136"/>
        <v>4233000</v>
      </c>
      <c r="AA85" s="51">
        <f t="shared" si="136"/>
        <v>10715900</v>
      </c>
      <c r="AB85" s="51">
        <f t="shared" si="136"/>
        <v>36616423</v>
      </c>
      <c r="AC85" s="51">
        <f t="shared" si="136"/>
        <v>67442433</v>
      </c>
      <c r="AD85" s="51">
        <f t="shared" si="136"/>
        <v>36761592</v>
      </c>
      <c r="AE85" s="51">
        <f t="shared" si="136"/>
        <v>1442500</v>
      </c>
      <c r="AF85" s="51">
        <f t="shared" si="136"/>
        <v>62634543</v>
      </c>
      <c r="AG85" s="51">
        <f t="shared" si="136"/>
        <v>58620429</v>
      </c>
      <c r="AH85" s="51">
        <v>14594792</v>
      </c>
      <c r="AI85" s="51"/>
      <c r="AJ85" s="51">
        <f t="shared" si="119"/>
        <v>400997758</v>
      </c>
      <c r="AK85" s="51">
        <f t="shared" ref="AK85" si="137">SUM(AK86:AK90)</f>
        <v>265147994</v>
      </c>
      <c r="AM85" s="79">
        <f t="shared" si="100"/>
        <v>6.171836943521595</v>
      </c>
      <c r="AN85" s="79">
        <f t="shared" si="101"/>
        <v>-0.71873754152823921</v>
      </c>
      <c r="AO85" s="79">
        <f t="shared" si="102"/>
        <v>-0.2879800664451827</v>
      </c>
      <c r="AP85" s="79">
        <f t="shared" si="103"/>
        <v>1.4329849169435216</v>
      </c>
      <c r="AQ85" s="79">
        <f t="shared" si="104"/>
        <v>3.4812247840531563</v>
      </c>
      <c r="AR85" s="79">
        <f t="shared" si="105"/>
        <v>1.4426306976744185</v>
      </c>
      <c r="AS85" s="79">
        <f t="shared" si="106"/>
        <v>-0.90415282392026575</v>
      </c>
      <c r="AT85" s="79">
        <f t="shared" si="107"/>
        <v>3.1617636544850498</v>
      </c>
      <c r="AU85" s="79">
        <f t="shared" si="108"/>
        <v>2.8950451162790696</v>
      </c>
      <c r="AV85" s="79">
        <f t="shared" si="109"/>
        <v>-3.0246378737541529E-2</v>
      </c>
      <c r="AW85" s="79">
        <f t="shared" si="113"/>
        <v>1.6644369302325581</v>
      </c>
      <c r="AY85" s="349" t="s">
        <v>375</v>
      </c>
      <c r="AZ85" s="350" t="s">
        <v>46</v>
      </c>
    </row>
    <row r="86" spans="1:52" x14ac:dyDescent="0.25">
      <c r="A86" s="351" t="s">
        <v>376</v>
      </c>
      <c r="B86" s="352" t="s">
        <v>47</v>
      </c>
      <c r="C86" s="357">
        <v>169000000</v>
      </c>
      <c r="D86" s="357"/>
      <c r="E86" s="378"/>
      <c r="F86" s="375">
        <f t="shared" si="114"/>
        <v>169000000</v>
      </c>
      <c r="G86" s="142">
        <v>169000000</v>
      </c>
      <c r="H86" s="27">
        <v>14083333.33</v>
      </c>
      <c r="I86" s="27">
        <v>14083333.33</v>
      </c>
      <c r="J86" s="27">
        <v>14083333.33</v>
      </c>
      <c r="K86" s="27">
        <v>14083333.33</v>
      </c>
      <c r="L86" s="27">
        <v>14083333.33</v>
      </c>
      <c r="M86" s="27">
        <v>14083333.33</v>
      </c>
      <c r="N86" s="27">
        <v>14083333.33</v>
      </c>
      <c r="O86" s="27">
        <v>14083333.33</v>
      </c>
      <c r="P86" s="27">
        <v>14083333.33</v>
      </c>
      <c r="Q86" s="27">
        <v>14083333.33</v>
      </c>
      <c r="R86" s="143">
        <v>14083333.33</v>
      </c>
      <c r="S86" s="143">
        <v>14083333.369999999</v>
      </c>
      <c r="T86" s="27">
        <f t="shared" si="117"/>
        <v>140833333.30000001</v>
      </c>
      <c r="U86" s="48">
        <f t="shared" si="110"/>
        <v>169000000.00000003</v>
      </c>
      <c r="V86" s="391">
        <f t="shared" si="111"/>
        <v>169000000</v>
      </c>
      <c r="W86" s="391">
        <f t="shared" si="112"/>
        <v>0</v>
      </c>
      <c r="Y86" s="27">
        <v>106095046</v>
      </c>
      <c r="Z86" s="27">
        <v>348500</v>
      </c>
      <c r="AA86" s="27">
        <v>20400</v>
      </c>
      <c r="AB86" s="27">
        <v>32630623</v>
      </c>
      <c r="AC86" s="27">
        <v>62841433</v>
      </c>
      <c r="AD86" s="27">
        <f>25355492-368900</f>
        <v>24986592</v>
      </c>
      <c r="AE86" s="27"/>
      <c r="AF86" s="27">
        <v>62601543</v>
      </c>
      <c r="AG86" s="27">
        <v>58614429</v>
      </c>
      <c r="AH86" s="27">
        <v>14594792</v>
      </c>
      <c r="AI86" s="27"/>
      <c r="AJ86" s="27">
        <f t="shared" si="119"/>
        <v>362733358</v>
      </c>
      <c r="AK86" s="31">
        <v>226922594</v>
      </c>
      <c r="AM86" s="79">
        <f t="shared" si="100"/>
        <v>6.5333760491203261</v>
      </c>
      <c r="AN86" s="79">
        <f t="shared" si="101"/>
        <v>-0.9752544378639656</v>
      </c>
      <c r="AO86" s="79">
        <f t="shared" si="102"/>
        <v>-0.99855147928959798</v>
      </c>
      <c r="AP86" s="79">
        <f t="shared" si="103"/>
        <v>1.3169673141578622</v>
      </c>
      <c r="AQ86" s="79">
        <f t="shared" si="104"/>
        <v>3.4621135868549384</v>
      </c>
      <c r="AR86" s="79">
        <f t="shared" si="105"/>
        <v>0.77419588207673273</v>
      </c>
      <c r="AS86" s="79">
        <f t="shared" si="106"/>
        <v>-1</v>
      </c>
      <c r="AT86" s="79">
        <f t="shared" si="107"/>
        <v>3.4450799773834508</v>
      </c>
      <c r="AU86" s="79">
        <f t="shared" si="108"/>
        <v>3.1619712909259103</v>
      </c>
      <c r="AV86" s="79">
        <f t="shared" si="109"/>
        <v>3.631659196125836E-2</v>
      </c>
      <c r="AW86" s="79">
        <f t="shared" si="113"/>
        <v>1.5756214775326913</v>
      </c>
      <c r="AY86" s="351" t="s">
        <v>376</v>
      </c>
      <c r="AZ86" s="352" t="s">
        <v>47</v>
      </c>
    </row>
    <row r="87" spans="1:52" x14ac:dyDescent="0.25">
      <c r="A87" s="351" t="s">
        <v>377</v>
      </c>
      <c r="B87" s="352" t="s">
        <v>48</v>
      </c>
      <c r="C87" s="357">
        <v>200000</v>
      </c>
      <c r="D87" s="357"/>
      <c r="E87" s="378"/>
      <c r="F87" s="375">
        <f t="shared" si="114"/>
        <v>200000</v>
      </c>
      <c r="G87" s="142">
        <v>200000</v>
      </c>
      <c r="H87" s="27">
        <v>16666.669999999998</v>
      </c>
      <c r="I87" s="27">
        <v>16666.669999999998</v>
      </c>
      <c r="J87" s="27">
        <v>16666.669999999998</v>
      </c>
      <c r="K87" s="27">
        <v>16666.669999999998</v>
      </c>
      <c r="L87" s="27">
        <v>16666.669999999998</v>
      </c>
      <c r="M87" s="27">
        <v>16666.669999999998</v>
      </c>
      <c r="N87" s="27">
        <v>16666.669999999998</v>
      </c>
      <c r="O87" s="27">
        <v>16666.669999999998</v>
      </c>
      <c r="P87" s="27">
        <v>16666.669999999998</v>
      </c>
      <c r="Q87" s="27">
        <v>16666.669999999998</v>
      </c>
      <c r="R87" s="143">
        <v>16666.669999999998</v>
      </c>
      <c r="S87" s="143">
        <v>16666.63</v>
      </c>
      <c r="T87" s="27">
        <f t="shared" si="117"/>
        <v>166666.69999999995</v>
      </c>
      <c r="U87" s="48">
        <f t="shared" si="110"/>
        <v>199999.99999999994</v>
      </c>
      <c r="V87" s="391">
        <f t="shared" si="111"/>
        <v>200000</v>
      </c>
      <c r="W87" s="391">
        <f t="shared" si="112"/>
        <v>0</v>
      </c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>
        <f t="shared" si="119"/>
        <v>0</v>
      </c>
      <c r="AK87" s="31">
        <v>0</v>
      </c>
      <c r="AM87" s="79">
        <f t="shared" si="100"/>
        <v>-1</v>
      </c>
      <c r="AN87" s="79">
        <f t="shared" si="101"/>
        <v>-1</v>
      </c>
      <c r="AO87" s="79">
        <f t="shared" si="102"/>
        <v>-1</v>
      </c>
      <c r="AP87" s="79">
        <f t="shared" si="103"/>
        <v>-1</v>
      </c>
      <c r="AQ87" s="79">
        <f t="shared" si="104"/>
        <v>-1</v>
      </c>
      <c r="AR87" s="79">
        <f t="shared" si="105"/>
        <v>-1</v>
      </c>
      <c r="AS87" s="79">
        <f t="shared" si="106"/>
        <v>-1</v>
      </c>
      <c r="AT87" s="79">
        <f t="shared" si="107"/>
        <v>-1</v>
      </c>
      <c r="AU87" s="79">
        <f t="shared" si="108"/>
        <v>-1</v>
      </c>
      <c r="AV87" s="79">
        <f t="shared" si="109"/>
        <v>-1</v>
      </c>
      <c r="AW87" s="79">
        <f t="shared" si="113"/>
        <v>-1</v>
      </c>
      <c r="AY87" s="351" t="s">
        <v>377</v>
      </c>
      <c r="AZ87" s="352" t="s">
        <v>48</v>
      </c>
    </row>
    <row r="88" spans="1:52" s="49" customFormat="1" x14ac:dyDescent="0.25">
      <c r="A88" s="351" t="s">
        <v>378</v>
      </c>
      <c r="B88" s="352" t="s">
        <v>49</v>
      </c>
      <c r="C88" s="357">
        <v>200000</v>
      </c>
      <c r="D88" s="357"/>
      <c r="E88" s="378"/>
      <c r="F88" s="375">
        <f t="shared" si="114"/>
        <v>200000</v>
      </c>
      <c r="G88" s="142">
        <v>200000</v>
      </c>
      <c r="H88" s="27">
        <v>16666.669999999998</v>
      </c>
      <c r="I88" s="27">
        <v>16666.669999999998</v>
      </c>
      <c r="J88" s="27">
        <v>16666.669999999998</v>
      </c>
      <c r="K88" s="27">
        <v>16666.669999999998</v>
      </c>
      <c r="L88" s="27">
        <v>16666.669999999998</v>
      </c>
      <c r="M88" s="27">
        <v>16666.669999999998</v>
      </c>
      <c r="N88" s="27">
        <v>16666.669999999998</v>
      </c>
      <c r="O88" s="27">
        <v>16666.669999999998</v>
      </c>
      <c r="P88" s="27">
        <v>16666.669999999998</v>
      </c>
      <c r="Q88" s="27">
        <v>16666.669999999998</v>
      </c>
      <c r="R88" s="143">
        <v>16666.669999999998</v>
      </c>
      <c r="S88" s="143">
        <v>16666.63</v>
      </c>
      <c r="T88" s="27">
        <f t="shared" si="117"/>
        <v>166666.69999999995</v>
      </c>
      <c r="U88" s="48">
        <f t="shared" si="110"/>
        <v>199999.99999999994</v>
      </c>
      <c r="V88" s="391">
        <f t="shared" si="111"/>
        <v>200000</v>
      </c>
      <c r="W88" s="391">
        <f t="shared" si="112"/>
        <v>0</v>
      </c>
      <c r="Y88" s="27">
        <v>1122100</v>
      </c>
      <c r="Z88" s="27"/>
      <c r="AA88" s="27">
        <v>15000</v>
      </c>
      <c r="AB88" s="27">
        <v>353900</v>
      </c>
      <c r="AC88" s="27"/>
      <c r="AD88" s="27"/>
      <c r="AE88" s="27">
        <v>200000</v>
      </c>
      <c r="AF88" s="27">
        <v>8000</v>
      </c>
      <c r="AG88" s="27">
        <v>6000</v>
      </c>
      <c r="AH88" s="27"/>
      <c r="AI88" s="27"/>
      <c r="AJ88" s="27">
        <f t="shared" si="119"/>
        <v>1705000</v>
      </c>
      <c r="AK88" s="31">
        <v>1691000</v>
      </c>
      <c r="AM88" s="79">
        <f t="shared" si="100"/>
        <v>66.325986534802709</v>
      </c>
      <c r="AN88" s="79">
        <f t="shared" si="101"/>
        <v>-1</v>
      </c>
      <c r="AO88" s="79">
        <f t="shared" si="102"/>
        <v>-0.10000017999996391</v>
      </c>
      <c r="AP88" s="79">
        <f t="shared" si="103"/>
        <v>20.233995753200851</v>
      </c>
      <c r="AQ88" s="79">
        <f t="shared" si="104"/>
        <v>-1</v>
      </c>
      <c r="AR88" s="79">
        <f t="shared" si="105"/>
        <v>-1</v>
      </c>
      <c r="AS88" s="79">
        <f t="shared" si="106"/>
        <v>10.999997600000482</v>
      </c>
      <c r="AT88" s="79">
        <f t="shared" si="107"/>
        <v>-0.52000009599998076</v>
      </c>
      <c r="AU88" s="79">
        <f t="shared" si="108"/>
        <v>-0.64000007199998554</v>
      </c>
      <c r="AV88" s="79">
        <f t="shared" si="109"/>
        <v>-1</v>
      </c>
      <c r="AW88" s="79">
        <f t="shared" si="113"/>
        <v>9.229997954000412</v>
      </c>
      <c r="AY88" s="351" t="s">
        <v>378</v>
      </c>
      <c r="AZ88" s="352" t="s">
        <v>49</v>
      </c>
    </row>
    <row r="89" spans="1:52" x14ac:dyDescent="0.25">
      <c r="A89" s="351" t="s">
        <v>379</v>
      </c>
      <c r="B89" s="352" t="s">
        <v>50</v>
      </c>
      <c r="C89" s="357">
        <v>10000000</v>
      </c>
      <c r="D89" s="357"/>
      <c r="E89" s="378"/>
      <c r="F89" s="375">
        <f t="shared" si="114"/>
        <v>10000000</v>
      </c>
      <c r="G89" s="142">
        <v>10000000</v>
      </c>
      <c r="H89" s="27">
        <v>833333.33</v>
      </c>
      <c r="I89" s="27">
        <v>833333.33</v>
      </c>
      <c r="J89" s="27">
        <v>833333.33</v>
      </c>
      <c r="K89" s="27">
        <v>833333.33</v>
      </c>
      <c r="L89" s="27">
        <v>833333.33</v>
      </c>
      <c r="M89" s="27">
        <v>833333.33</v>
      </c>
      <c r="N89" s="27">
        <v>833333.33</v>
      </c>
      <c r="O89" s="27">
        <v>833333.33</v>
      </c>
      <c r="P89" s="27">
        <v>833333.33</v>
      </c>
      <c r="Q89" s="27">
        <v>833333.33</v>
      </c>
      <c r="R89" s="143">
        <v>833333.33</v>
      </c>
      <c r="S89" s="143">
        <v>833333.37</v>
      </c>
      <c r="T89" s="27">
        <f t="shared" si="117"/>
        <v>8333333.2999999998</v>
      </c>
      <c r="U89" s="48">
        <f t="shared" si="110"/>
        <v>9999999.9999999981</v>
      </c>
      <c r="V89" s="391">
        <f t="shared" si="111"/>
        <v>10000000</v>
      </c>
      <c r="W89" s="391">
        <f t="shared" si="112"/>
        <v>0</v>
      </c>
      <c r="Y89" s="27">
        <v>80000</v>
      </c>
      <c r="Z89" s="27">
        <v>3884500</v>
      </c>
      <c r="AA89" s="27">
        <v>10665500</v>
      </c>
      <c r="AB89" s="27">
        <v>3631900</v>
      </c>
      <c r="AC89" s="27">
        <f>17090400-12489400</f>
        <v>4601000</v>
      </c>
      <c r="AD89" s="27">
        <v>5175000</v>
      </c>
      <c r="AE89" s="27">
        <v>42500</v>
      </c>
      <c r="AF89" s="27">
        <v>25000</v>
      </c>
      <c r="AG89" s="27"/>
      <c r="AH89" s="27"/>
      <c r="AI89" s="27"/>
      <c r="AJ89" s="27">
        <f t="shared" si="119"/>
        <v>28105400</v>
      </c>
      <c r="AK89" s="31">
        <v>28080400</v>
      </c>
      <c r="AM89" s="79">
        <f t="shared" si="100"/>
        <v>-0.90399999961599997</v>
      </c>
      <c r="AN89" s="79">
        <f t="shared" si="101"/>
        <v>3.6614000186456002</v>
      </c>
      <c r="AO89" s="79">
        <f t="shared" si="102"/>
        <v>11.7986000511944</v>
      </c>
      <c r="AP89" s="79">
        <f t="shared" si="103"/>
        <v>3.35828001743312</v>
      </c>
      <c r="AQ89" s="79">
        <f t="shared" si="104"/>
        <v>4.5212000220848001</v>
      </c>
      <c r="AR89" s="79">
        <f t="shared" si="105"/>
        <v>5.2100000248400002</v>
      </c>
      <c r="AS89" s="79">
        <f t="shared" si="106"/>
        <v>-0.94899999979600003</v>
      </c>
      <c r="AT89" s="79">
        <f t="shared" si="107"/>
        <v>-0.96999999987999996</v>
      </c>
      <c r="AU89" s="79">
        <f t="shared" si="108"/>
        <v>-1</v>
      </c>
      <c r="AV89" s="79">
        <f t="shared" si="109"/>
        <v>-1</v>
      </c>
      <c r="AW89" s="79">
        <f t="shared" si="113"/>
        <v>2.3726480134905921</v>
      </c>
      <c r="AY89" s="351" t="s">
        <v>379</v>
      </c>
      <c r="AZ89" s="352" t="s">
        <v>50</v>
      </c>
    </row>
    <row r="90" spans="1:52" x14ac:dyDescent="0.25">
      <c r="A90" s="351" t="s">
        <v>380</v>
      </c>
      <c r="B90" s="352" t="s">
        <v>51</v>
      </c>
      <c r="C90" s="357">
        <v>1200000</v>
      </c>
      <c r="D90" s="357"/>
      <c r="E90" s="378"/>
      <c r="F90" s="375">
        <f t="shared" si="114"/>
        <v>1200000</v>
      </c>
      <c r="G90" s="142">
        <v>1200000</v>
      </c>
      <c r="H90" s="27">
        <v>100000</v>
      </c>
      <c r="I90" s="27">
        <v>100000</v>
      </c>
      <c r="J90" s="27">
        <v>100000</v>
      </c>
      <c r="K90" s="27">
        <v>100000</v>
      </c>
      <c r="L90" s="27">
        <v>100000</v>
      </c>
      <c r="M90" s="27">
        <v>100000</v>
      </c>
      <c r="N90" s="27">
        <v>100000</v>
      </c>
      <c r="O90" s="27">
        <v>100000</v>
      </c>
      <c r="P90" s="27">
        <v>100000</v>
      </c>
      <c r="Q90" s="27">
        <v>100000</v>
      </c>
      <c r="R90" s="143">
        <v>100000</v>
      </c>
      <c r="S90" s="143">
        <v>100000</v>
      </c>
      <c r="T90" s="27">
        <f t="shared" si="117"/>
        <v>1000000</v>
      </c>
      <c r="U90" s="48">
        <f t="shared" si="110"/>
        <v>1200000</v>
      </c>
      <c r="V90" s="391">
        <f t="shared" si="111"/>
        <v>1200000</v>
      </c>
      <c r="W90" s="391">
        <f t="shared" si="112"/>
        <v>0</v>
      </c>
      <c r="Y90" s="27">
        <v>639000</v>
      </c>
      <c r="Z90" s="27"/>
      <c r="AA90" s="27">
        <v>15000</v>
      </c>
      <c r="AB90" s="27"/>
      <c r="AC90" s="27"/>
      <c r="AD90" s="27">
        <v>6600000</v>
      </c>
      <c r="AE90" s="27">
        <v>1200000</v>
      </c>
      <c r="AF90" s="27"/>
      <c r="AG90" s="27"/>
      <c r="AH90" s="27"/>
      <c r="AI90" s="27"/>
      <c r="AJ90" s="27">
        <f t="shared" si="119"/>
        <v>8454000</v>
      </c>
      <c r="AK90" s="31">
        <v>8454000</v>
      </c>
      <c r="AM90" s="79">
        <f t="shared" si="100"/>
        <v>5.39</v>
      </c>
      <c r="AN90" s="79">
        <f t="shared" si="101"/>
        <v>-1</v>
      </c>
      <c r="AO90" s="79">
        <f t="shared" si="102"/>
        <v>-0.85</v>
      </c>
      <c r="AP90" s="79">
        <f t="shared" si="103"/>
        <v>-1</v>
      </c>
      <c r="AQ90" s="79">
        <f t="shared" si="104"/>
        <v>-1</v>
      </c>
      <c r="AR90" s="79">
        <f t="shared" si="105"/>
        <v>65</v>
      </c>
      <c r="AS90" s="79">
        <f t="shared" si="106"/>
        <v>11</v>
      </c>
      <c r="AT90" s="79">
        <f t="shared" si="107"/>
        <v>-1</v>
      </c>
      <c r="AU90" s="79">
        <f t="shared" si="108"/>
        <v>-1</v>
      </c>
      <c r="AV90" s="79">
        <f t="shared" si="109"/>
        <v>-1</v>
      </c>
      <c r="AW90" s="79">
        <f t="shared" si="113"/>
        <v>7.4539999999999997</v>
      </c>
      <c r="AY90" s="351" t="s">
        <v>380</v>
      </c>
      <c r="AZ90" s="352" t="s">
        <v>51</v>
      </c>
    </row>
    <row r="91" spans="1:52" s="49" customFormat="1" x14ac:dyDescent="0.25">
      <c r="A91" s="347" t="s">
        <v>381</v>
      </c>
      <c r="B91" s="348" t="s">
        <v>52</v>
      </c>
      <c r="C91" s="355">
        <f>SUM(C92)</f>
        <v>165800000</v>
      </c>
      <c r="D91" s="355">
        <f t="shared" ref="D91:F91" si="138">SUM(D92)</f>
        <v>0</v>
      </c>
      <c r="E91" s="355">
        <f t="shared" si="138"/>
        <v>0</v>
      </c>
      <c r="F91" s="355">
        <f t="shared" si="138"/>
        <v>165800000</v>
      </c>
      <c r="G91" s="180">
        <f>+G92</f>
        <v>165800000</v>
      </c>
      <c r="H91" s="51">
        <f t="shared" ref="H91:AK91" si="139">+H92</f>
        <v>13816666.66</v>
      </c>
      <c r="I91" s="51">
        <f t="shared" si="139"/>
        <v>13816666.66</v>
      </c>
      <c r="J91" s="51">
        <f t="shared" si="139"/>
        <v>13816666.66</v>
      </c>
      <c r="K91" s="51">
        <f t="shared" si="139"/>
        <v>13816666.66</v>
      </c>
      <c r="L91" s="51">
        <f t="shared" si="139"/>
        <v>13816666.66</v>
      </c>
      <c r="M91" s="51">
        <f t="shared" si="139"/>
        <v>13816666.66</v>
      </c>
      <c r="N91" s="51">
        <f t="shared" si="139"/>
        <v>13816666.66</v>
      </c>
      <c r="O91" s="51">
        <f t="shared" si="139"/>
        <v>13816666.66</v>
      </c>
      <c r="P91" s="51">
        <f t="shared" si="139"/>
        <v>13816666.66</v>
      </c>
      <c r="Q91" s="51">
        <f t="shared" si="139"/>
        <v>13816666.66</v>
      </c>
      <c r="R91" s="51">
        <f t="shared" si="139"/>
        <v>13816666.66</v>
      </c>
      <c r="S91" s="51">
        <f t="shared" si="139"/>
        <v>13816666.74</v>
      </c>
      <c r="T91" s="51">
        <f t="shared" si="117"/>
        <v>138166666.59999999</v>
      </c>
      <c r="U91" s="48">
        <f t="shared" si="110"/>
        <v>165800000</v>
      </c>
      <c r="V91" s="391">
        <f t="shared" si="111"/>
        <v>165800000</v>
      </c>
      <c r="W91" s="391">
        <f t="shared" si="112"/>
        <v>0</v>
      </c>
      <c r="Y91" s="51">
        <f t="shared" si="139"/>
        <v>19586000</v>
      </c>
      <c r="Z91" s="51">
        <f t="shared" si="139"/>
        <v>3080000</v>
      </c>
      <c r="AA91" s="51">
        <f t="shared" si="139"/>
        <v>15358000</v>
      </c>
      <c r="AB91" s="51">
        <f t="shared" si="139"/>
        <v>18778100</v>
      </c>
      <c r="AC91" s="51">
        <f t="shared" si="139"/>
        <v>14274349</v>
      </c>
      <c r="AD91" s="51">
        <f t="shared" si="139"/>
        <v>16726410</v>
      </c>
      <c r="AE91" s="51">
        <f t="shared" si="139"/>
        <v>30043300</v>
      </c>
      <c r="AF91" s="51">
        <f t="shared" si="139"/>
        <v>13994700</v>
      </c>
      <c r="AG91" s="51">
        <f t="shared" si="139"/>
        <v>21802216</v>
      </c>
      <c r="AH91" s="51">
        <v>16407450</v>
      </c>
      <c r="AI91" s="51"/>
      <c r="AJ91" s="51">
        <f t="shared" si="119"/>
        <v>170050525</v>
      </c>
      <c r="AK91" s="51">
        <f t="shared" si="139"/>
        <v>117846159</v>
      </c>
      <c r="AM91" s="79">
        <f t="shared" si="100"/>
        <v>0.41756332999641171</v>
      </c>
      <c r="AN91" s="79">
        <f t="shared" si="101"/>
        <v>-0.77708082015781943</v>
      </c>
      <c r="AO91" s="79">
        <f t="shared" si="102"/>
        <v>0.11155609221305479</v>
      </c>
      <c r="AP91" s="79">
        <f t="shared" si="103"/>
        <v>0.3590904711020943</v>
      </c>
      <c r="AQ91" s="79">
        <f t="shared" si="104"/>
        <v>3.3125380474366882E-2</v>
      </c>
      <c r="AR91" s="79">
        <f t="shared" si="105"/>
        <v>0.21059662302079449</v>
      </c>
      <c r="AS91" s="79">
        <f t="shared" si="106"/>
        <v>1.1744246090105788</v>
      </c>
      <c r="AT91" s="79">
        <f t="shared" si="107"/>
        <v>1.2885404590053261E-2</v>
      </c>
      <c r="AU91" s="79">
        <f t="shared" si="108"/>
        <v>0.57796497060456686</v>
      </c>
      <c r="AV91" s="79">
        <f t="shared" si="109"/>
        <v>0.18751146016285233</v>
      </c>
      <c r="AW91" s="79">
        <f t="shared" si="113"/>
        <v>0.23076375210169547</v>
      </c>
      <c r="AY91" s="347" t="s">
        <v>381</v>
      </c>
      <c r="AZ91" s="348" t="s">
        <v>52</v>
      </c>
    </row>
    <row r="92" spans="1:52" x14ac:dyDescent="0.25">
      <c r="A92" s="349" t="s">
        <v>382</v>
      </c>
      <c r="B92" s="350" t="s">
        <v>53</v>
      </c>
      <c r="C92" s="356">
        <f>SUM(C93:C99)</f>
        <v>165800000</v>
      </c>
      <c r="D92" s="356">
        <f t="shared" ref="D92:F92" si="140">SUM(D93:D99)</f>
        <v>0</v>
      </c>
      <c r="E92" s="356">
        <f t="shared" si="140"/>
        <v>0</v>
      </c>
      <c r="F92" s="356">
        <f t="shared" si="140"/>
        <v>165800000</v>
      </c>
      <c r="G92" s="180">
        <f>SUM(G93:G99)</f>
        <v>165800000</v>
      </c>
      <c r="H92" s="51">
        <f t="shared" ref="H92:S92" si="141">SUM(H93:H99)</f>
        <v>13816666.66</v>
      </c>
      <c r="I92" s="51">
        <f t="shared" si="141"/>
        <v>13816666.66</v>
      </c>
      <c r="J92" s="51">
        <f t="shared" si="141"/>
        <v>13816666.66</v>
      </c>
      <c r="K92" s="51">
        <f t="shared" si="141"/>
        <v>13816666.66</v>
      </c>
      <c r="L92" s="51">
        <f t="shared" si="141"/>
        <v>13816666.66</v>
      </c>
      <c r="M92" s="51">
        <f t="shared" si="141"/>
        <v>13816666.66</v>
      </c>
      <c r="N92" s="51">
        <f t="shared" si="141"/>
        <v>13816666.66</v>
      </c>
      <c r="O92" s="51">
        <f t="shared" si="141"/>
        <v>13816666.66</v>
      </c>
      <c r="P92" s="51">
        <f t="shared" si="141"/>
        <v>13816666.66</v>
      </c>
      <c r="Q92" s="51">
        <f t="shared" si="141"/>
        <v>13816666.66</v>
      </c>
      <c r="R92" s="51">
        <f t="shared" si="141"/>
        <v>13816666.66</v>
      </c>
      <c r="S92" s="51">
        <f t="shared" si="141"/>
        <v>13816666.74</v>
      </c>
      <c r="T92" s="51">
        <f t="shared" si="117"/>
        <v>138166666.59999999</v>
      </c>
      <c r="U92" s="48">
        <f t="shared" si="110"/>
        <v>165800000</v>
      </c>
      <c r="V92" s="391">
        <f t="shared" si="111"/>
        <v>165800000</v>
      </c>
      <c r="W92" s="391">
        <f t="shared" si="112"/>
        <v>0</v>
      </c>
      <c r="Y92" s="51">
        <f t="shared" ref="Y92:AG92" si="142">SUM(Y93:Y99)</f>
        <v>19586000</v>
      </c>
      <c r="Z92" s="51">
        <f t="shared" si="142"/>
        <v>3080000</v>
      </c>
      <c r="AA92" s="51">
        <f t="shared" si="142"/>
        <v>15358000</v>
      </c>
      <c r="AB92" s="51">
        <f t="shared" si="142"/>
        <v>18778100</v>
      </c>
      <c r="AC92" s="51">
        <f t="shared" si="142"/>
        <v>14274349</v>
      </c>
      <c r="AD92" s="51">
        <f t="shared" si="142"/>
        <v>16726410</v>
      </c>
      <c r="AE92" s="51">
        <f t="shared" si="142"/>
        <v>30043300</v>
      </c>
      <c r="AF92" s="51">
        <f t="shared" si="142"/>
        <v>13994700</v>
      </c>
      <c r="AG92" s="51">
        <f t="shared" si="142"/>
        <v>21802216</v>
      </c>
      <c r="AH92" s="51">
        <v>16407450</v>
      </c>
      <c r="AI92" s="51"/>
      <c r="AJ92" s="51">
        <f t="shared" si="119"/>
        <v>170050525</v>
      </c>
      <c r="AK92" s="51">
        <f t="shared" ref="AK92" si="143">SUM(AK93:AK99)</f>
        <v>117846159</v>
      </c>
      <c r="AM92" s="79">
        <f t="shared" si="100"/>
        <v>0.41756332999641171</v>
      </c>
      <c r="AN92" s="79">
        <f t="shared" si="101"/>
        <v>-0.77708082015781943</v>
      </c>
      <c r="AO92" s="79">
        <f t="shared" si="102"/>
        <v>0.11155609221305479</v>
      </c>
      <c r="AP92" s="79">
        <f t="shared" si="103"/>
        <v>0.3590904711020943</v>
      </c>
      <c r="AQ92" s="79">
        <f t="shared" si="104"/>
        <v>3.3125380474366882E-2</v>
      </c>
      <c r="AR92" s="79">
        <f t="shared" si="105"/>
        <v>0.21059662302079449</v>
      </c>
      <c r="AS92" s="79">
        <f t="shared" si="106"/>
        <v>1.1744246090105788</v>
      </c>
      <c r="AT92" s="79">
        <f t="shared" si="107"/>
        <v>1.2885404590053261E-2</v>
      </c>
      <c r="AU92" s="79">
        <f t="shared" si="108"/>
        <v>0.57796497060456686</v>
      </c>
      <c r="AV92" s="79">
        <f t="shared" si="109"/>
        <v>0.18751146016285233</v>
      </c>
      <c r="AW92" s="79">
        <f t="shared" si="113"/>
        <v>0.23076375210169547</v>
      </c>
      <c r="AY92" s="349" t="s">
        <v>382</v>
      </c>
      <c r="AZ92" s="350" t="s">
        <v>53</v>
      </c>
    </row>
    <row r="93" spans="1:52" s="49" customFormat="1" x14ac:dyDescent="0.25">
      <c r="A93" s="351" t="s">
        <v>383</v>
      </c>
      <c r="B93" s="352" t="s">
        <v>54</v>
      </c>
      <c r="C93" s="357">
        <v>24000000</v>
      </c>
      <c r="D93" s="357"/>
      <c r="E93" s="378"/>
      <c r="F93" s="375">
        <f t="shared" si="114"/>
        <v>24000000</v>
      </c>
      <c r="G93" s="142">
        <v>24000000</v>
      </c>
      <c r="H93" s="27">
        <v>2000000</v>
      </c>
      <c r="I93" s="27">
        <v>2000000</v>
      </c>
      <c r="J93" s="27">
        <v>2000000</v>
      </c>
      <c r="K93" s="27">
        <v>2000000</v>
      </c>
      <c r="L93" s="27">
        <v>2000000</v>
      </c>
      <c r="M93" s="27">
        <v>2000000</v>
      </c>
      <c r="N93" s="27">
        <v>2000000</v>
      </c>
      <c r="O93" s="27">
        <v>2000000</v>
      </c>
      <c r="P93" s="27">
        <v>2000000</v>
      </c>
      <c r="Q93" s="27">
        <v>2000000</v>
      </c>
      <c r="R93" s="143">
        <v>2000000</v>
      </c>
      <c r="S93" s="143">
        <v>2000000</v>
      </c>
      <c r="T93" s="27">
        <f t="shared" si="117"/>
        <v>20000000</v>
      </c>
      <c r="U93" s="48">
        <f t="shared" si="110"/>
        <v>24000000</v>
      </c>
      <c r="V93" s="391">
        <f t="shared" si="111"/>
        <v>24000000</v>
      </c>
      <c r="W93" s="391">
        <f t="shared" si="112"/>
        <v>0</v>
      </c>
      <c r="Y93" s="27">
        <v>500000</v>
      </c>
      <c r="Z93" s="27"/>
      <c r="AA93" s="27"/>
      <c r="AB93" s="27"/>
      <c r="AC93" s="27"/>
      <c r="AD93" s="27">
        <v>4287500</v>
      </c>
      <c r="AE93" s="27">
        <v>10136500</v>
      </c>
      <c r="AF93" s="27">
        <v>6184500</v>
      </c>
      <c r="AG93" s="27">
        <v>9482000</v>
      </c>
      <c r="AH93" s="27">
        <v>3759000</v>
      </c>
      <c r="AI93" s="27"/>
      <c r="AJ93" s="27">
        <f t="shared" si="119"/>
        <v>34349500</v>
      </c>
      <c r="AK93" s="31">
        <v>14924000</v>
      </c>
      <c r="AM93" s="79">
        <f t="shared" si="100"/>
        <v>-0.75</v>
      </c>
      <c r="AN93" s="79">
        <f t="shared" si="101"/>
        <v>-1</v>
      </c>
      <c r="AO93" s="79">
        <f t="shared" si="102"/>
        <v>-1</v>
      </c>
      <c r="AP93" s="79">
        <f t="shared" si="103"/>
        <v>-1</v>
      </c>
      <c r="AQ93" s="79">
        <f t="shared" si="104"/>
        <v>-1</v>
      </c>
      <c r="AR93" s="79">
        <f t="shared" si="105"/>
        <v>1.14375</v>
      </c>
      <c r="AS93" s="79">
        <f t="shared" si="106"/>
        <v>4.0682499999999999</v>
      </c>
      <c r="AT93" s="79">
        <f t="shared" si="107"/>
        <v>2.0922499999999999</v>
      </c>
      <c r="AU93" s="79">
        <f t="shared" si="108"/>
        <v>3.7410000000000001</v>
      </c>
      <c r="AV93" s="79">
        <f t="shared" si="109"/>
        <v>0.87949999999999995</v>
      </c>
      <c r="AW93" s="79">
        <f t="shared" si="113"/>
        <v>0.71747499999999997</v>
      </c>
      <c r="AY93" s="351" t="s">
        <v>383</v>
      </c>
      <c r="AZ93" s="352" t="s">
        <v>54</v>
      </c>
    </row>
    <row r="94" spans="1:52" s="49" customFormat="1" x14ac:dyDescent="0.25">
      <c r="A94" s="351" t="s">
        <v>384</v>
      </c>
      <c r="B94" s="352" t="s">
        <v>55</v>
      </c>
      <c r="C94" s="357">
        <v>1200000</v>
      </c>
      <c r="D94" s="357"/>
      <c r="E94" s="378"/>
      <c r="F94" s="375">
        <f t="shared" si="114"/>
        <v>1200000</v>
      </c>
      <c r="G94" s="142">
        <v>1200000</v>
      </c>
      <c r="H94" s="27">
        <v>100000</v>
      </c>
      <c r="I94" s="27">
        <v>100000</v>
      </c>
      <c r="J94" s="27">
        <v>100000</v>
      </c>
      <c r="K94" s="27">
        <v>100000</v>
      </c>
      <c r="L94" s="27">
        <v>100000</v>
      </c>
      <c r="M94" s="27">
        <v>100000</v>
      </c>
      <c r="N94" s="27">
        <v>100000</v>
      </c>
      <c r="O94" s="27">
        <v>100000</v>
      </c>
      <c r="P94" s="27">
        <v>100000</v>
      </c>
      <c r="Q94" s="27">
        <v>100000</v>
      </c>
      <c r="R94" s="143">
        <v>100000</v>
      </c>
      <c r="S94" s="143">
        <v>100000</v>
      </c>
      <c r="T94" s="27">
        <f t="shared" si="117"/>
        <v>1000000</v>
      </c>
      <c r="U94" s="48">
        <f t="shared" si="110"/>
        <v>1200000</v>
      </c>
      <c r="V94" s="391">
        <f t="shared" si="111"/>
        <v>1200000</v>
      </c>
      <c r="W94" s="391">
        <f t="shared" si="112"/>
        <v>0</v>
      </c>
      <c r="Y94" s="27"/>
      <c r="Z94" s="27">
        <v>190000</v>
      </c>
      <c r="AA94" s="27"/>
      <c r="AB94" s="27"/>
      <c r="AC94" s="27">
        <v>930000</v>
      </c>
      <c r="AD94" s="27">
        <v>40000</v>
      </c>
      <c r="AE94" s="27">
        <v>956000</v>
      </c>
      <c r="AF94" s="27">
        <v>840000</v>
      </c>
      <c r="AG94" s="27">
        <v>1443000</v>
      </c>
      <c r="AH94" s="27"/>
      <c r="AI94" s="27"/>
      <c r="AJ94" s="27">
        <f t="shared" si="119"/>
        <v>4399000</v>
      </c>
      <c r="AK94" s="31">
        <v>2116000</v>
      </c>
      <c r="AM94" s="79">
        <f t="shared" si="100"/>
        <v>-1</v>
      </c>
      <c r="AN94" s="79">
        <f t="shared" si="101"/>
        <v>0.9</v>
      </c>
      <c r="AO94" s="79">
        <f t="shared" si="102"/>
        <v>-1</v>
      </c>
      <c r="AP94" s="79">
        <f t="shared" si="103"/>
        <v>-1</v>
      </c>
      <c r="AQ94" s="79">
        <f t="shared" si="104"/>
        <v>8.3000000000000007</v>
      </c>
      <c r="AR94" s="79">
        <f t="shared" si="105"/>
        <v>-0.6</v>
      </c>
      <c r="AS94" s="79">
        <f t="shared" si="106"/>
        <v>8.56</v>
      </c>
      <c r="AT94" s="79">
        <f t="shared" si="107"/>
        <v>7.4</v>
      </c>
      <c r="AU94" s="79">
        <f t="shared" si="108"/>
        <v>13.43</v>
      </c>
      <c r="AV94" s="79">
        <f t="shared" si="109"/>
        <v>-1</v>
      </c>
      <c r="AW94" s="79">
        <f t="shared" si="113"/>
        <v>3.399</v>
      </c>
      <c r="AY94" s="351" t="s">
        <v>384</v>
      </c>
      <c r="AZ94" s="352" t="s">
        <v>55</v>
      </c>
    </row>
    <row r="95" spans="1:52" x14ac:dyDescent="0.25">
      <c r="A95" s="351" t="s">
        <v>385</v>
      </c>
      <c r="B95" s="352" t="s">
        <v>56</v>
      </c>
      <c r="C95" s="357">
        <v>600000</v>
      </c>
      <c r="D95" s="357"/>
      <c r="E95" s="378"/>
      <c r="F95" s="375">
        <f t="shared" si="114"/>
        <v>600000</v>
      </c>
      <c r="G95" s="142">
        <v>600000</v>
      </c>
      <c r="H95" s="27">
        <v>50000</v>
      </c>
      <c r="I95" s="27">
        <v>50000</v>
      </c>
      <c r="J95" s="27">
        <v>50000</v>
      </c>
      <c r="K95" s="27">
        <v>50000</v>
      </c>
      <c r="L95" s="27">
        <v>50000</v>
      </c>
      <c r="M95" s="27">
        <v>50000</v>
      </c>
      <c r="N95" s="27">
        <v>50000</v>
      </c>
      <c r="O95" s="27">
        <v>50000</v>
      </c>
      <c r="P95" s="27">
        <v>50000</v>
      </c>
      <c r="Q95" s="27">
        <v>50000</v>
      </c>
      <c r="R95" s="143">
        <v>50000</v>
      </c>
      <c r="S95" s="143">
        <v>50000</v>
      </c>
      <c r="T95" s="27">
        <f t="shared" si="117"/>
        <v>500000</v>
      </c>
      <c r="U95" s="48">
        <f t="shared" si="110"/>
        <v>600000</v>
      </c>
      <c r="V95" s="391">
        <f t="shared" si="111"/>
        <v>600000</v>
      </c>
      <c r="W95" s="391">
        <f t="shared" si="112"/>
        <v>0</v>
      </c>
      <c r="Y95" s="27"/>
      <c r="Z95" s="27"/>
      <c r="AA95" s="27"/>
      <c r="AB95" s="27"/>
      <c r="AC95" s="27"/>
      <c r="AD95" s="27"/>
      <c r="AE95" s="27"/>
      <c r="AF95" s="27">
        <v>300000</v>
      </c>
      <c r="AG95" s="27">
        <v>1200000</v>
      </c>
      <c r="AH95" s="27">
        <v>500000</v>
      </c>
      <c r="AI95" s="27"/>
      <c r="AJ95" s="27">
        <f t="shared" si="119"/>
        <v>2000000</v>
      </c>
      <c r="AK95" s="31">
        <v>0</v>
      </c>
      <c r="AM95" s="79">
        <f t="shared" si="100"/>
        <v>-1</v>
      </c>
      <c r="AN95" s="79">
        <f t="shared" si="101"/>
        <v>-1</v>
      </c>
      <c r="AO95" s="79">
        <f t="shared" si="102"/>
        <v>-1</v>
      </c>
      <c r="AP95" s="79">
        <f t="shared" si="103"/>
        <v>-1</v>
      </c>
      <c r="AQ95" s="79">
        <f t="shared" si="104"/>
        <v>-1</v>
      </c>
      <c r="AR95" s="79">
        <f t="shared" si="105"/>
        <v>-1</v>
      </c>
      <c r="AS95" s="79">
        <f t="shared" si="106"/>
        <v>-1</v>
      </c>
      <c r="AT95" s="79">
        <f t="shared" si="107"/>
        <v>5</v>
      </c>
      <c r="AU95" s="79">
        <f t="shared" si="108"/>
        <v>23</v>
      </c>
      <c r="AV95" s="79">
        <f t="shared" si="109"/>
        <v>9</v>
      </c>
      <c r="AW95" s="79">
        <f t="shared" si="113"/>
        <v>3</v>
      </c>
      <c r="AY95" s="351" t="s">
        <v>385</v>
      </c>
      <c r="AZ95" s="352" t="s">
        <v>56</v>
      </c>
    </row>
    <row r="96" spans="1:52" s="49" customFormat="1" x14ac:dyDescent="0.25">
      <c r="A96" s="351" t="s">
        <v>386</v>
      </c>
      <c r="B96" s="352" t="s">
        <v>57</v>
      </c>
      <c r="C96" s="357">
        <v>28000000</v>
      </c>
      <c r="D96" s="357"/>
      <c r="E96" s="378"/>
      <c r="F96" s="375">
        <f t="shared" si="114"/>
        <v>28000000</v>
      </c>
      <c r="G96" s="142">
        <v>28000000</v>
      </c>
      <c r="H96" s="27">
        <v>2333333.33</v>
      </c>
      <c r="I96" s="27">
        <v>2333333.33</v>
      </c>
      <c r="J96" s="27">
        <v>2333333.33</v>
      </c>
      <c r="K96" s="27">
        <v>2333333.33</v>
      </c>
      <c r="L96" s="27">
        <v>2333333.33</v>
      </c>
      <c r="M96" s="27">
        <v>2333333.33</v>
      </c>
      <c r="N96" s="27">
        <v>2333333.33</v>
      </c>
      <c r="O96" s="27">
        <v>2333333.33</v>
      </c>
      <c r="P96" s="27">
        <v>2333333.33</v>
      </c>
      <c r="Q96" s="27">
        <v>2333333.33</v>
      </c>
      <c r="R96" s="143">
        <v>2333333.33</v>
      </c>
      <c r="S96" s="143">
        <v>2333333.37</v>
      </c>
      <c r="T96" s="27">
        <f t="shared" si="117"/>
        <v>23333333.299999997</v>
      </c>
      <c r="U96" s="48">
        <f t="shared" si="110"/>
        <v>27999999.999999996</v>
      </c>
      <c r="V96" s="391">
        <f t="shared" si="111"/>
        <v>28000000</v>
      </c>
      <c r="W96" s="391">
        <f t="shared" si="112"/>
        <v>0</v>
      </c>
      <c r="Y96" s="27">
        <v>4526000</v>
      </c>
      <c r="Z96" s="27">
        <v>892500</v>
      </c>
      <c r="AA96" s="27">
        <v>1105000</v>
      </c>
      <c r="AB96" s="27">
        <f>4416600-615500</f>
        <v>3801100</v>
      </c>
      <c r="AC96" s="27">
        <v>405000</v>
      </c>
      <c r="AD96" s="27">
        <v>3828600</v>
      </c>
      <c r="AE96" s="27">
        <v>7701000</v>
      </c>
      <c r="AF96" s="27">
        <v>1938500</v>
      </c>
      <c r="AG96" s="27">
        <v>3983200</v>
      </c>
      <c r="AH96" s="27"/>
      <c r="AI96" s="27"/>
      <c r="AJ96" s="27">
        <f t="shared" si="119"/>
        <v>28180900</v>
      </c>
      <c r="AK96" s="31">
        <v>22259200</v>
      </c>
      <c r="AM96" s="79">
        <f t="shared" si="100"/>
        <v>0.93971428848530603</v>
      </c>
      <c r="AN96" s="79">
        <f t="shared" si="101"/>
        <v>-0.61749999945357148</v>
      </c>
      <c r="AO96" s="79">
        <f t="shared" si="102"/>
        <v>-0.52642857075204086</v>
      </c>
      <c r="AP96" s="79">
        <f t="shared" si="103"/>
        <v>0.62904285947006122</v>
      </c>
      <c r="AQ96" s="79">
        <f t="shared" si="104"/>
        <v>-0.8264285711806123</v>
      </c>
      <c r="AR96" s="79">
        <f t="shared" si="105"/>
        <v>0.64082857377261215</v>
      </c>
      <c r="AS96" s="79">
        <f t="shared" si="106"/>
        <v>2.3004285761434691</v>
      </c>
      <c r="AT96" s="79">
        <f t="shared" si="107"/>
        <v>-0.16921428452744899</v>
      </c>
      <c r="AU96" s="79">
        <f t="shared" si="108"/>
        <v>0.70708571672440812</v>
      </c>
      <c r="AV96" s="79">
        <f t="shared" si="109"/>
        <v>-1</v>
      </c>
      <c r="AW96" s="79">
        <f t="shared" si="113"/>
        <v>0.20775285886821854</v>
      </c>
      <c r="AY96" s="351" t="s">
        <v>386</v>
      </c>
      <c r="AZ96" s="352" t="s">
        <v>57</v>
      </c>
    </row>
    <row r="97" spans="1:52" x14ac:dyDescent="0.25">
      <c r="A97" s="351" t="s">
        <v>387</v>
      </c>
      <c r="B97" s="352" t="s">
        <v>58</v>
      </c>
      <c r="C97" s="357">
        <v>40000000</v>
      </c>
      <c r="D97" s="357"/>
      <c r="E97" s="378"/>
      <c r="F97" s="375">
        <f t="shared" si="114"/>
        <v>40000000</v>
      </c>
      <c r="G97" s="142">
        <v>40000000</v>
      </c>
      <c r="H97" s="27">
        <v>3333333.33</v>
      </c>
      <c r="I97" s="27">
        <v>3333333.33</v>
      </c>
      <c r="J97" s="27">
        <v>3333333.33</v>
      </c>
      <c r="K97" s="27">
        <v>3333333.33</v>
      </c>
      <c r="L97" s="27">
        <v>3333333.33</v>
      </c>
      <c r="M97" s="27">
        <v>3333333.33</v>
      </c>
      <c r="N97" s="27">
        <v>3333333.33</v>
      </c>
      <c r="O97" s="27">
        <v>3333333.33</v>
      </c>
      <c r="P97" s="27">
        <v>3333333.33</v>
      </c>
      <c r="Q97" s="27">
        <v>3333333.33</v>
      </c>
      <c r="R97" s="143">
        <v>3333333.33</v>
      </c>
      <c r="S97" s="143">
        <v>3333333.37</v>
      </c>
      <c r="T97" s="27">
        <f t="shared" si="117"/>
        <v>33333333.299999997</v>
      </c>
      <c r="U97" s="48">
        <f t="shared" si="110"/>
        <v>39999999.999999993</v>
      </c>
      <c r="V97" s="391">
        <f t="shared" si="111"/>
        <v>40000000</v>
      </c>
      <c r="W97" s="391">
        <f t="shared" si="112"/>
        <v>0</v>
      </c>
      <c r="Y97" s="27">
        <v>1430000</v>
      </c>
      <c r="Z97" s="27"/>
      <c r="AA97" s="27">
        <f>7828500-4576500</f>
        <v>3252000</v>
      </c>
      <c r="AB97" s="27"/>
      <c r="AC97" s="27">
        <v>2511049</v>
      </c>
      <c r="AD97" s="27">
        <v>1346810</v>
      </c>
      <c r="AE97" s="27">
        <v>2333400</v>
      </c>
      <c r="AF97" s="27">
        <v>1033200</v>
      </c>
      <c r="AG97" s="27">
        <v>1773516</v>
      </c>
      <c r="AH97" s="27">
        <v>1564650</v>
      </c>
      <c r="AI97" s="27"/>
      <c r="AJ97" s="27">
        <f t="shared" si="119"/>
        <v>15244625</v>
      </c>
      <c r="AK97" s="31">
        <v>10873259</v>
      </c>
      <c r="AM97" s="79">
        <f t="shared" si="100"/>
        <v>-0.57099999957100001</v>
      </c>
      <c r="AN97" s="79">
        <f t="shared" si="101"/>
        <v>-1</v>
      </c>
      <c r="AO97" s="79">
        <f t="shared" si="102"/>
        <v>-2.4399999024400022E-2</v>
      </c>
      <c r="AP97" s="79">
        <f t="shared" si="103"/>
        <v>-1</v>
      </c>
      <c r="AQ97" s="79">
        <f t="shared" si="104"/>
        <v>-0.24668529924668531</v>
      </c>
      <c r="AR97" s="79">
        <f t="shared" si="105"/>
        <v>-0.59595699959595705</v>
      </c>
      <c r="AS97" s="79">
        <f t="shared" si="106"/>
        <v>-0.29997999929998004</v>
      </c>
      <c r="AT97" s="79">
        <f t="shared" si="107"/>
        <v>-0.69003999969004004</v>
      </c>
      <c r="AU97" s="79">
        <f t="shared" si="108"/>
        <v>-0.46794519946794522</v>
      </c>
      <c r="AV97" s="79">
        <f t="shared" si="109"/>
        <v>-0.53060499953060503</v>
      </c>
      <c r="AW97" s="79">
        <f t="shared" si="113"/>
        <v>-0.54266124954266126</v>
      </c>
      <c r="AY97" s="351" t="s">
        <v>387</v>
      </c>
      <c r="AZ97" s="352" t="s">
        <v>58</v>
      </c>
    </row>
    <row r="98" spans="1:52" x14ac:dyDescent="0.25">
      <c r="A98" s="351" t="s">
        <v>388</v>
      </c>
      <c r="B98" s="352" t="s">
        <v>59</v>
      </c>
      <c r="C98" s="357">
        <v>12000000</v>
      </c>
      <c r="D98" s="357"/>
      <c r="E98" s="378"/>
      <c r="F98" s="375">
        <f t="shared" si="114"/>
        <v>12000000</v>
      </c>
      <c r="G98" s="142">
        <v>12000000</v>
      </c>
      <c r="H98" s="27">
        <v>1000000</v>
      </c>
      <c r="I98" s="27">
        <v>1000000</v>
      </c>
      <c r="J98" s="27">
        <v>1000000</v>
      </c>
      <c r="K98" s="27">
        <v>1000000</v>
      </c>
      <c r="L98" s="27">
        <v>1000000</v>
      </c>
      <c r="M98" s="27">
        <v>1000000</v>
      </c>
      <c r="N98" s="27">
        <v>1000000</v>
      </c>
      <c r="O98" s="27">
        <v>1000000</v>
      </c>
      <c r="P98" s="27">
        <v>1000000</v>
      </c>
      <c r="Q98" s="27">
        <v>1000000</v>
      </c>
      <c r="R98" s="143">
        <v>1000000</v>
      </c>
      <c r="S98" s="143">
        <v>1000000</v>
      </c>
      <c r="T98" s="27">
        <f t="shared" si="117"/>
        <v>10000000</v>
      </c>
      <c r="U98" s="48">
        <f t="shared" si="110"/>
        <v>12000000</v>
      </c>
      <c r="V98" s="391">
        <f t="shared" si="111"/>
        <v>12000000</v>
      </c>
      <c r="W98" s="391">
        <f t="shared" si="112"/>
        <v>0</v>
      </c>
      <c r="Y98" s="27">
        <v>1946000</v>
      </c>
      <c r="Z98" s="27">
        <v>1997500</v>
      </c>
      <c r="AA98" s="27"/>
      <c r="AB98" s="27">
        <v>934500</v>
      </c>
      <c r="AC98" s="27">
        <v>1484000</v>
      </c>
      <c r="AD98" s="27">
        <v>802000</v>
      </c>
      <c r="AE98" s="27">
        <v>558000</v>
      </c>
      <c r="AF98" s="27">
        <v>1188000</v>
      </c>
      <c r="AG98" s="27">
        <v>637000</v>
      </c>
      <c r="AH98" s="27">
        <v>1499500</v>
      </c>
      <c r="AI98" s="27"/>
      <c r="AJ98" s="27">
        <f t="shared" si="119"/>
        <v>11046500</v>
      </c>
      <c r="AK98" s="31">
        <v>7722000</v>
      </c>
      <c r="AM98" s="79">
        <f t="shared" ref="AM98:AM129" si="144">(Y98-H98)/H98</f>
        <v>0.94599999999999995</v>
      </c>
      <c r="AN98" s="79">
        <f t="shared" ref="AN98:AN129" si="145">(Z98-I98)/I98</f>
        <v>0.99750000000000005</v>
      </c>
      <c r="AO98" s="79">
        <f t="shared" ref="AO98:AO129" si="146">(AA98-J98)/J98</f>
        <v>-1</v>
      </c>
      <c r="AP98" s="79">
        <f t="shared" ref="AP98:AP129" si="147">(AB98-K98)/K98</f>
        <v>-6.5500000000000003E-2</v>
      </c>
      <c r="AQ98" s="79">
        <f t="shared" ref="AQ98:AQ129" si="148">(AC98-L98)/L98</f>
        <v>0.48399999999999999</v>
      </c>
      <c r="AR98" s="79">
        <f t="shared" ref="AR98:AR129" si="149">(AD98-M98)/M98</f>
        <v>-0.19800000000000001</v>
      </c>
      <c r="AS98" s="79">
        <f t="shared" ref="AS98:AS129" si="150">(AE98-N98)/N98</f>
        <v>-0.442</v>
      </c>
      <c r="AT98" s="79">
        <f t="shared" ref="AT98:AT129" si="151">(AF98-O98)/O98</f>
        <v>0.188</v>
      </c>
      <c r="AU98" s="79">
        <f t="shared" ref="AU98:AU129" si="152">(AG98-P98)/P98</f>
        <v>-0.36299999999999999</v>
      </c>
      <c r="AV98" s="79">
        <f t="shared" ref="AV98:AV129" si="153">(AH98-Q98)/Q98</f>
        <v>0.4995</v>
      </c>
      <c r="AW98" s="79">
        <f t="shared" si="113"/>
        <v>0.10465000000000001</v>
      </c>
      <c r="AY98" s="351" t="s">
        <v>388</v>
      </c>
      <c r="AZ98" s="352" t="s">
        <v>59</v>
      </c>
    </row>
    <row r="99" spans="1:52" x14ac:dyDescent="0.25">
      <c r="A99" s="351" t="s">
        <v>389</v>
      </c>
      <c r="B99" s="352" t="s">
        <v>60</v>
      </c>
      <c r="C99" s="357">
        <v>60000000</v>
      </c>
      <c r="D99" s="357"/>
      <c r="E99" s="378"/>
      <c r="F99" s="375">
        <f t="shared" si="114"/>
        <v>60000000</v>
      </c>
      <c r="G99" s="142">
        <v>60000000</v>
      </c>
      <c r="H99" s="27">
        <v>5000000</v>
      </c>
      <c r="I99" s="27">
        <v>5000000</v>
      </c>
      <c r="J99" s="27">
        <v>5000000</v>
      </c>
      <c r="K99" s="27">
        <v>5000000</v>
      </c>
      <c r="L99" s="27">
        <v>5000000</v>
      </c>
      <c r="M99" s="27">
        <v>5000000</v>
      </c>
      <c r="N99" s="27">
        <v>5000000</v>
      </c>
      <c r="O99" s="27">
        <v>5000000</v>
      </c>
      <c r="P99" s="27">
        <v>5000000</v>
      </c>
      <c r="Q99" s="27">
        <v>5000000</v>
      </c>
      <c r="R99" s="143">
        <v>5000000</v>
      </c>
      <c r="S99" s="143">
        <v>5000000</v>
      </c>
      <c r="T99" s="27">
        <f t="shared" si="117"/>
        <v>50000000</v>
      </c>
      <c r="U99" s="48">
        <f t="shared" si="110"/>
        <v>60000000</v>
      </c>
      <c r="V99" s="391">
        <f t="shared" si="111"/>
        <v>60000000</v>
      </c>
      <c r="W99" s="391">
        <f t="shared" si="112"/>
        <v>0</v>
      </c>
      <c r="Y99" s="27">
        <v>11184000</v>
      </c>
      <c r="Z99" s="27"/>
      <c r="AA99" s="27">
        <v>11001000</v>
      </c>
      <c r="AB99" s="27">
        <v>14042500</v>
      </c>
      <c r="AC99" s="27">
        <v>8944300</v>
      </c>
      <c r="AD99" s="27">
        <v>6421500</v>
      </c>
      <c r="AE99" s="27">
        <v>8358400</v>
      </c>
      <c r="AF99" s="27">
        <v>2510500</v>
      </c>
      <c r="AG99" s="27">
        <v>3283500</v>
      </c>
      <c r="AH99" s="27">
        <v>9084300</v>
      </c>
      <c r="AI99" s="27"/>
      <c r="AJ99" s="27">
        <f t="shared" si="119"/>
        <v>74830000</v>
      </c>
      <c r="AK99" s="31">
        <v>59951700</v>
      </c>
      <c r="AM99" s="79">
        <f t="shared" si="144"/>
        <v>1.2367999999999999</v>
      </c>
      <c r="AN99" s="79">
        <f t="shared" si="145"/>
        <v>-1</v>
      </c>
      <c r="AO99" s="79">
        <f t="shared" si="146"/>
        <v>1.2001999999999999</v>
      </c>
      <c r="AP99" s="79">
        <f t="shared" si="147"/>
        <v>1.8085</v>
      </c>
      <c r="AQ99" s="79">
        <f t="shared" si="148"/>
        <v>0.78886000000000001</v>
      </c>
      <c r="AR99" s="79">
        <f t="shared" si="149"/>
        <v>0.2843</v>
      </c>
      <c r="AS99" s="79">
        <f t="shared" si="150"/>
        <v>0.67168000000000005</v>
      </c>
      <c r="AT99" s="79">
        <f t="shared" si="151"/>
        <v>-0.49790000000000001</v>
      </c>
      <c r="AU99" s="79">
        <f t="shared" si="152"/>
        <v>-0.34329999999999999</v>
      </c>
      <c r="AV99" s="79">
        <f t="shared" si="153"/>
        <v>0.81686000000000003</v>
      </c>
      <c r="AW99" s="79">
        <f t="shared" si="113"/>
        <v>0.49659999999999999</v>
      </c>
      <c r="AY99" s="351" t="s">
        <v>389</v>
      </c>
      <c r="AZ99" s="352" t="s">
        <v>60</v>
      </c>
    </row>
    <row r="100" spans="1:52" x14ac:dyDescent="0.25">
      <c r="A100" s="349">
        <v>11255</v>
      </c>
      <c r="B100" s="350" t="s">
        <v>874</v>
      </c>
      <c r="C100" s="356">
        <f>+C101</f>
        <v>0</v>
      </c>
      <c r="D100" s="356">
        <f t="shared" ref="D100:F100" si="154">+D101</f>
        <v>0</v>
      </c>
      <c r="E100" s="356">
        <f t="shared" si="154"/>
        <v>0</v>
      </c>
      <c r="F100" s="356">
        <f t="shared" si="154"/>
        <v>0</v>
      </c>
      <c r="G100" s="142"/>
      <c r="H100" s="27">
        <f>+H101</f>
        <v>0</v>
      </c>
      <c r="I100" s="27">
        <f t="shared" ref="I100:S100" si="155">+I101</f>
        <v>0</v>
      </c>
      <c r="J100" s="27">
        <f t="shared" si="155"/>
        <v>0</v>
      </c>
      <c r="K100" s="27">
        <f t="shared" si="155"/>
        <v>0</v>
      </c>
      <c r="L100" s="27">
        <f t="shared" si="155"/>
        <v>0</v>
      </c>
      <c r="M100" s="27">
        <f t="shared" si="155"/>
        <v>0</v>
      </c>
      <c r="N100" s="27">
        <f t="shared" si="155"/>
        <v>0</v>
      </c>
      <c r="O100" s="27">
        <f t="shared" si="155"/>
        <v>0</v>
      </c>
      <c r="P100" s="27">
        <f t="shared" si="155"/>
        <v>0</v>
      </c>
      <c r="Q100" s="27">
        <f t="shared" si="155"/>
        <v>0</v>
      </c>
      <c r="R100" s="27">
        <f t="shared" si="155"/>
        <v>0</v>
      </c>
      <c r="S100" s="27">
        <f t="shared" si="155"/>
        <v>0</v>
      </c>
      <c r="T100" s="27">
        <f t="shared" si="117"/>
        <v>0</v>
      </c>
      <c r="U100" s="48">
        <f t="shared" si="110"/>
        <v>0</v>
      </c>
      <c r="V100" s="391">
        <f t="shared" si="111"/>
        <v>0</v>
      </c>
      <c r="W100" s="391">
        <f t="shared" si="112"/>
        <v>0</v>
      </c>
      <c r="Y100" s="27">
        <f t="shared" ref="Y100:AG100" si="156">+Y101</f>
        <v>0</v>
      </c>
      <c r="Z100" s="27">
        <f t="shared" si="156"/>
        <v>3882812</v>
      </c>
      <c r="AA100" s="27">
        <f t="shared" si="156"/>
        <v>6971988</v>
      </c>
      <c r="AB100" s="27">
        <f t="shared" si="156"/>
        <v>0</v>
      </c>
      <c r="AC100" s="27">
        <f t="shared" si="156"/>
        <v>0</v>
      </c>
      <c r="AD100" s="27">
        <f t="shared" si="156"/>
        <v>0</v>
      </c>
      <c r="AE100" s="27">
        <f t="shared" si="156"/>
        <v>0</v>
      </c>
      <c r="AF100" s="27">
        <f t="shared" si="156"/>
        <v>0</v>
      </c>
      <c r="AG100" s="27">
        <f t="shared" si="156"/>
        <v>0</v>
      </c>
      <c r="AH100" s="27">
        <v>0</v>
      </c>
      <c r="AI100" s="27"/>
      <c r="AJ100" s="27">
        <f t="shared" si="119"/>
        <v>10854800</v>
      </c>
      <c r="AK100" s="23">
        <f t="shared" ref="AK100" si="157">+AK101</f>
        <v>10854800</v>
      </c>
      <c r="AM100" s="79" t="e">
        <f t="shared" si="144"/>
        <v>#DIV/0!</v>
      </c>
      <c r="AN100" s="79" t="e">
        <f t="shared" si="145"/>
        <v>#DIV/0!</v>
      </c>
      <c r="AO100" s="79" t="e">
        <f t="shared" si="146"/>
        <v>#DIV/0!</v>
      </c>
      <c r="AP100" s="79" t="e">
        <f t="shared" si="147"/>
        <v>#DIV/0!</v>
      </c>
      <c r="AQ100" s="79" t="e">
        <f t="shared" si="148"/>
        <v>#DIV/0!</v>
      </c>
      <c r="AR100" s="79" t="e">
        <f t="shared" si="149"/>
        <v>#DIV/0!</v>
      </c>
      <c r="AS100" s="79" t="e">
        <f t="shared" si="150"/>
        <v>#DIV/0!</v>
      </c>
      <c r="AT100" s="79" t="e">
        <f t="shared" si="151"/>
        <v>#DIV/0!</v>
      </c>
      <c r="AU100" s="79" t="e">
        <f t="shared" si="152"/>
        <v>#DIV/0!</v>
      </c>
      <c r="AV100" s="79" t="e">
        <f t="shared" si="153"/>
        <v>#DIV/0!</v>
      </c>
      <c r="AW100" s="79" t="e">
        <f t="shared" si="113"/>
        <v>#DIV/0!</v>
      </c>
      <c r="AY100" s="349">
        <v>11255</v>
      </c>
      <c r="AZ100" s="350" t="s">
        <v>874</v>
      </c>
    </row>
    <row r="101" spans="1:52" x14ac:dyDescent="0.25">
      <c r="A101" s="351">
        <v>1125501</v>
      </c>
      <c r="B101" s="352" t="s">
        <v>873</v>
      </c>
      <c r="C101" s="357"/>
      <c r="D101" s="357"/>
      <c r="E101" s="378"/>
      <c r="F101" s="375">
        <f t="shared" si="114"/>
        <v>0</v>
      </c>
      <c r="G101" s="142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143"/>
      <c r="S101" s="143"/>
      <c r="T101" s="27">
        <f t="shared" si="117"/>
        <v>0</v>
      </c>
      <c r="U101" s="48">
        <f t="shared" si="110"/>
        <v>0</v>
      </c>
      <c r="V101" s="391">
        <f t="shared" si="111"/>
        <v>0</v>
      </c>
      <c r="W101" s="391">
        <f t="shared" si="112"/>
        <v>0</v>
      </c>
      <c r="Y101" s="27"/>
      <c r="Z101" s="27">
        <v>3882812</v>
      </c>
      <c r="AA101" s="27">
        <v>6971988</v>
      </c>
      <c r="AB101" s="27"/>
      <c r="AC101" s="27"/>
      <c r="AD101" s="27"/>
      <c r="AE101" s="27"/>
      <c r="AF101" s="27"/>
      <c r="AG101" s="27"/>
      <c r="AH101" s="27"/>
      <c r="AI101" s="27"/>
      <c r="AJ101" s="27">
        <f t="shared" si="119"/>
        <v>10854800</v>
      </c>
      <c r="AK101" s="31">
        <v>10854800</v>
      </c>
      <c r="AM101" s="79" t="e">
        <f t="shared" si="144"/>
        <v>#DIV/0!</v>
      </c>
      <c r="AN101" s="79" t="e">
        <f t="shared" si="145"/>
        <v>#DIV/0!</v>
      </c>
      <c r="AO101" s="79" t="e">
        <f t="shared" si="146"/>
        <v>#DIV/0!</v>
      </c>
      <c r="AP101" s="79" t="e">
        <f t="shared" si="147"/>
        <v>#DIV/0!</v>
      </c>
      <c r="AQ101" s="79" t="e">
        <f t="shared" si="148"/>
        <v>#DIV/0!</v>
      </c>
      <c r="AR101" s="79" t="e">
        <f t="shared" si="149"/>
        <v>#DIV/0!</v>
      </c>
      <c r="AS101" s="79" t="e">
        <f t="shared" si="150"/>
        <v>#DIV/0!</v>
      </c>
      <c r="AT101" s="79" t="e">
        <f t="shared" si="151"/>
        <v>#DIV/0!</v>
      </c>
      <c r="AU101" s="79" t="e">
        <f t="shared" si="152"/>
        <v>#DIV/0!</v>
      </c>
      <c r="AV101" s="79" t="e">
        <f t="shared" si="153"/>
        <v>#DIV/0!</v>
      </c>
      <c r="AW101" s="79" t="e">
        <f t="shared" si="113"/>
        <v>#DIV/0!</v>
      </c>
      <c r="AY101" s="351">
        <v>1125501</v>
      </c>
      <c r="AZ101" s="352" t="s">
        <v>873</v>
      </c>
    </row>
    <row r="102" spans="1:52" x14ac:dyDescent="0.25">
      <c r="A102" s="349" t="s">
        <v>390</v>
      </c>
      <c r="B102" s="350" t="s">
        <v>391</v>
      </c>
      <c r="C102" s="356">
        <f>SUM(C103)</f>
        <v>94000000</v>
      </c>
      <c r="D102" s="356">
        <f t="shared" ref="D102:F102" si="158">SUM(D103)</f>
        <v>0</v>
      </c>
      <c r="E102" s="356">
        <f t="shared" si="158"/>
        <v>0</v>
      </c>
      <c r="F102" s="356">
        <f t="shared" si="158"/>
        <v>94000000</v>
      </c>
      <c r="G102" s="180">
        <f>+G103+G104</f>
        <v>94000000</v>
      </c>
      <c r="H102" s="51">
        <f t="shared" ref="H102:AK102" si="159">+H103+H104</f>
        <v>7833333.333333333</v>
      </c>
      <c r="I102" s="51">
        <f t="shared" si="159"/>
        <v>7833333.333333333</v>
      </c>
      <c r="J102" s="51">
        <f t="shared" si="159"/>
        <v>7833333.333333333</v>
      </c>
      <c r="K102" s="51">
        <f t="shared" si="159"/>
        <v>7833333.333333333</v>
      </c>
      <c r="L102" s="51">
        <f t="shared" si="159"/>
        <v>7833333.333333333</v>
      </c>
      <c r="M102" s="51">
        <f t="shared" si="159"/>
        <v>7833333.333333333</v>
      </c>
      <c r="N102" s="51">
        <f t="shared" si="159"/>
        <v>7833333.333333333</v>
      </c>
      <c r="O102" s="51">
        <f t="shared" si="159"/>
        <v>7833333.333333333</v>
      </c>
      <c r="P102" s="51">
        <f t="shared" si="159"/>
        <v>7833333.333333333</v>
      </c>
      <c r="Q102" s="51">
        <f t="shared" si="159"/>
        <v>7833333.333333333</v>
      </c>
      <c r="R102" s="51">
        <f t="shared" si="159"/>
        <v>7833333.333333333</v>
      </c>
      <c r="S102" s="51">
        <f t="shared" si="159"/>
        <v>7833333.333333333</v>
      </c>
      <c r="T102" s="51">
        <f t="shared" si="117"/>
        <v>78333333.333333328</v>
      </c>
      <c r="U102" s="48">
        <f t="shared" si="110"/>
        <v>93999999.999999985</v>
      </c>
      <c r="V102" s="51">
        <f t="shared" si="159"/>
        <v>94000000</v>
      </c>
      <c r="W102" s="391">
        <f t="shared" si="112"/>
        <v>0</v>
      </c>
      <c r="Y102" s="51">
        <f t="shared" si="159"/>
        <v>0</v>
      </c>
      <c r="Z102" s="51">
        <f t="shared" si="159"/>
        <v>48992686</v>
      </c>
      <c r="AA102" s="51">
        <f t="shared" si="159"/>
        <v>0</v>
      </c>
      <c r="AB102" s="51">
        <f t="shared" si="159"/>
        <v>2209168</v>
      </c>
      <c r="AC102" s="51">
        <f t="shared" si="159"/>
        <v>1747118</v>
      </c>
      <c r="AD102" s="51">
        <f t="shared" si="159"/>
        <v>1978168</v>
      </c>
      <c r="AE102" s="51">
        <f t="shared" si="159"/>
        <v>0</v>
      </c>
      <c r="AF102" s="51">
        <f t="shared" si="159"/>
        <v>341400</v>
      </c>
      <c r="AG102" s="51">
        <f t="shared" si="159"/>
        <v>28306014</v>
      </c>
      <c r="AH102" s="51">
        <v>0</v>
      </c>
      <c r="AI102" s="51"/>
      <c r="AJ102" s="51">
        <f t="shared" si="119"/>
        <v>83574554</v>
      </c>
      <c r="AK102" s="51">
        <f t="shared" si="159"/>
        <v>54927140</v>
      </c>
      <c r="AM102" s="79">
        <f t="shared" si="144"/>
        <v>-1</v>
      </c>
      <c r="AN102" s="79">
        <f t="shared" si="145"/>
        <v>5.2543854468085103</v>
      </c>
      <c r="AO102" s="79">
        <f t="shared" si="146"/>
        <v>-1</v>
      </c>
      <c r="AP102" s="79">
        <f t="shared" si="147"/>
        <v>-0.7179785531914894</v>
      </c>
      <c r="AQ102" s="79">
        <f t="shared" si="148"/>
        <v>-0.77696365957446811</v>
      </c>
      <c r="AR102" s="79">
        <f t="shared" si="149"/>
        <v>-0.74746791489361697</v>
      </c>
      <c r="AS102" s="79">
        <f t="shared" si="150"/>
        <v>-1</v>
      </c>
      <c r="AT102" s="79">
        <f t="shared" si="151"/>
        <v>-0.95641702127659578</v>
      </c>
      <c r="AU102" s="79">
        <f t="shared" si="152"/>
        <v>2.6135337021276599</v>
      </c>
      <c r="AV102" s="79">
        <f t="shared" si="153"/>
        <v>-1</v>
      </c>
      <c r="AW102" s="79">
        <f t="shared" si="113"/>
        <v>6.6909200000000071E-2</v>
      </c>
      <c r="AY102" s="349" t="s">
        <v>390</v>
      </c>
      <c r="AZ102" s="350" t="s">
        <v>391</v>
      </c>
    </row>
    <row r="103" spans="1:52" x14ac:dyDescent="0.25">
      <c r="A103" s="351" t="s">
        <v>392</v>
      </c>
      <c r="B103" s="352" t="s">
        <v>393</v>
      </c>
      <c r="C103" s="357">
        <v>94000000</v>
      </c>
      <c r="D103" s="357"/>
      <c r="E103" s="378"/>
      <c r="F103" s="375">
        <f t="shared" si="114"/>
        <v>94000000</v>
      </c>
      <c r="G103" s="142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143"/>
      <c r="S103" s="143"/>
      <c r="T103" s="27">
        <f t="shared" si="117"/>
        <v>0</v>
      </c>
      <c r="U103" s="48">
        <f t="shared" si="110"/>
        <v>0</v>
      </c>
      <c r="V103" s="391">
        <f>+F103</f>
        <v>94000000</v>
      </c>
      <c r="W103" s="391">
        <f t="shared" si="112"/>
        <v>0</v>
      </c>
      <c r="Y103" s="27"/>
      <c r="Z103" s="27">
        <v>48992686</v>
      </c>
      <c r="AA103" s="27"/>
      <c r="AB103" s="27">
        <v>2209168</v>
      </c>
      <c r="AC103" s="27">
        <v>1747118</v>
      </c>
      <c r="AD103" s="27">
        <v>1978168</v>
      </c>
      <c r="AE103" s="27"/>
      <c r="AF103" s="27">
        <v>341400</v>
      </c>
      <c r="AG103" s="27">
        <v>28306014</v>
      </c>
      <c r="AH103" s="27"/>
      <c r="AI103" s="27"/>
      <c r="AJ103" s="27">
        <f t="shared" si="119"/>
        <v>83574554</v>
      </c>
      <c r="AK103" s="31">
        <v>54927140</v>
      </c>
      <c r="AM103" s="79" t="e">
        <f t="shared" si="144"/>
        <v>#DIV/0!</v>
      </c>
      <c r="AN103" s="79" t="e">
        <f t="shared" si="145"/>
        <v>#DIV/0!</v>
      </c>
      <c r="AO103" s="79" t="e">
        <f t="shared" si="146"/>
        <v>#DIV/0!</v>
      </c>
      <c r="AP103" s="79" t="e">
        <f t="shared" si="147"/>
        <v>#DIV/0!</v>
      </c>
      <c r="AQ103" s="79" t="e">
        <f t="shared" si="148"/>
        <v>#DIV/0!</v>
      </c>
      <c r="AR103" s="79" t="e">
        <f t="shared" si="149"/>
        <v>#DIV/0!</v>
      </c>
      <c r="AS103" s="79" t="e">
        <f t="shared" si="150"/>
        <v>#DIV/0!</v>
      </c>
      <c r="AT103" s="79" t="e">
        <f t="shared" si="151"/>
        <v>#DIV/0!</v>
      </c>
      <c r="AU103" s="79" t="e">
        <f t="shared" si="152"/>
        <v>#DIV/0!</v>
      </c>
      <c r="AV103" s="79" t="e">
        <f t="shared" si="153"/>
        <v>#DIV/0!</v>
      </c>
      <c r="AW103" s="79" t="e">
        <f t="shared" si="113"/>
        <v>#DIV/0!</v>
      </c>
      <c r="AY103" s="351" t="s">
        <v>392</v>
      </c>
      <c r="AZ103" s="352" t="s">
        <v>393</v>
      </c>
    </row>
    <row r="104" spans="1:52" x14ac:dyDescent="0.25">
      <c r="A104" s="351"/>
      <c r="B104" s="352"/>
      <c r="C104" s="357"/>
      <c r="D104" s="357"/>
      <c r="E104" s="378"/>
      <c r="F104" s="375"/>
      <c r="G104" s="142">
        <v>94000000</v>
      </c>
      <c r="H104" s="27">
        <v>7833333.333333333</v>
      </c>
      <c r="I104" s="27">
        <v>7833333.333333333</v>
      </c>
      <c r="J104" s="27">
        <v>7833333.333333333</v>
      </c>
      <c r="K104" s="27">
        <v>7833333.333333333</v>
      </c>
      <c r="L104" s="27">
        <v>7833333.333333333</v>
      </c>
      <c r="M104" s="27">
        <v>7833333.333333333</v>
      </c>
      <c r="N104" s="27">
        <v>7833333.333333333</v>
      </c>
      <c r="O104" s="27">
        <v>7833333.333333333</v>
      </c>
      <c r="P104" s="27">
        <v>7833333.333333333</v>
      </c>
      <c r="Q104" s="27">
        <v>7833333.333333333</v>
      </c>
      <c r="R104" s="143">
        <v>7833333.333333333</v>
      </c>
      <c r="S104" s="143">
        <v>7833333.333333333</v>
      </c>
      <c r="T104" s="27">
        <f t="shared" si="117"/>
        <v>78333333.333333328</v>
      </c>
      <c r="U104" s="48">
        <f t="shared" si="110"/>
        <v>93999999.999999985</v>
      </c>
      <c r="V104" s="391">
        <f>+F104</f>
        <v>0</v>
      </c>
      <c r="W104" s="391">
        <f t="shared" si="112"/>
        <v>0</v>
      </c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>
        <f t="shared" si="119"/>
        <v>0</v>
      </c>
      <c r="AK104" s="31"/>
      <c r="AM104" s="79">
        <f t="shared" si="144"/>
        <v>-1</v>
      </c>
      <c r="AN104" s="79">
        <f t="shared" si="145"/>
        <v>-1</v>
      </c>
      <c r="AO104" s="79">
        <f t="shared" si="146"/>
        <v>-1</v>
      </c>
      <c r="AP104" s="79">
        <f t="shared" si="147"/>
        <v>-1</v>
      </c>
      <c r="AQ104" s="79">
        <f t="shared" si="148"/>
        <v>-1</v>
      </c>
      <c r="AR104" s="79">
        <f t="shared" si="149"/>
        <v>-1</v>
      </c>
      <c r="AS104" s="79">
        <f t="shared" si="150"/>
        <v>-1</v>
      </c>
      <c r="AT104" s="79">
        <f t="shared" si="151"/>
        <v>-1</v>
      </c>
      <c r="AU104" s="79">
        <f t="shared" si="152"/>
        <v>-1</v>
      </c>
      <c r="AV104" s="79">
        <f t="shared" si="153"/>
        <v>-1</v>
      </c>
      <c r="AW104" s="79">
        <f t="shared" si="113"/>
        <v>-1</v>
      </c>
      <c r="AY104" s="351"/>
      <c r="AZ104" s="352"/>
    </row>
    <row r="105" spans="1:52" x14ac:dyDescent="0.25">
      <c r="A105" s="347" t="s">
        <v>394</v>
      </c>
      <c r="B105" s="348" t="s">
        <v>395</v>
      </c>
      <c r="C105" s="355">
        <f>+C106+C107</f>
        <v>1252896796</v>
      </c>
      <c r="D105" s="355">
        <f t="shared" ref="D105:F105" si="160">+D106+D107</f>
        <v>0</v>
      </c>
      <c r="E105" s="355">
        <f t="shared" si="160"/>
        <v>0</v>
      </c>
      <c r="F105" s="355">
        <f t="shared" si="160"/>
        <v>1252896796</v>
      </c>
      <c r="G105" s="180" t="e">
        <f>+G106+G108</f>
        <v>#REF!</v>
      </c>
      <c r="H105" s="51">
        <f>+H106+H108</f>
        <v>72574733</v>
      </c>
      <c r="I105" s="51">
        <f t="shared" ref="I105:S105" si="161">+I106+I108</f>
        <v>121574733</v>
      </c>
      <c r="J105" s="51">
        <f t="shared" si="161"/>
        <v>81574733</v>
      </c>
      <c r="K105" s="51">
        <f t="shared" si="161"/>
        <v>72574733</v>
      </c>
      <c r="L105" s="51">
        <f t="shared" si="161"/>
        <v>174574733</v>
      </c>
      <c r="M105" s="51">
        <f t="shared" si="161"/>
        <v>78574733</v>
      </c>
      <c r="N105" s="51">
        <f t="shared" si="161"/>
        <v>72574733</v>
      </c>
      <c r="O105" s="51">
        <f t="shared" si="161"/>
        <v>121574733</v>
      </c>
      <c r="P105" s="51">
        <f t="shared" si="161"/>
        <v>81574733</v>
      </c>
      <c r="Q105" s="51">
        <f t="shared" si="161"/>
        <v>72574733</v>
      </c>
      <c r="R105" s="51">
        <f t="shared" si="161"/>
        <v>224574733</v>
      </c>
      <c r="S105" s="51">
        <f t="shared" si="161"/>
        <v>78574733</v>
      </c>
      <c r="T105" s="51">
        <f t="shared" si="117"/>
        <v>949747330</v>
      </c>
      <c r="U105" s="48">
        <f t="shared" si="110"/>
        <v>1252896796</v>
      </c>
      <c r="V105" s="391">
        <f t="shared" si="111"/>
        <v>1252896796</v>
      </c>
      <c r="W105" s="391">
        <f t="shared" si="112"/>
        <v>0</v>
      </c>
      <c r="Y105" s="51">
        <f t="shared" ref="Y105:AG105" si="162">+Y106+Y108</f>
        <v>80054693</v>
      </c>
      <c r="Z105" s="51">
        <f t="shared" si="162"/>
        <v>111395391</v>
      </c>
      <c r="AA105" s="51">
        <f t="shared" si="162"/>
        <v>96672046</v>
      </c>
      <c r="AB105" s="51">
        <f t="shared" si="162"/>
        <v>37156668</v>
      </c>
      <c r="AC105" s="51">
        <f t="shared" si="162"/>
        <v>60400774</v>
      </c>
      <c r="AD105" s="51">
        <f t="shared" si="162"/>
        <v>85018596</v>
      </c>
      <c r="AE105" s="51">
        <f t="shared" si="162"/>
        <v>94090317</v>
      </c>
      <c r="AF105" s="51">
        <f t="shared" si="162"/>
        <v>64728729</v>
      </c>
      <c r="AG105" s="51">
        <f t="shared" si="162"/>
        <v>87568490</v>
      </c>
      <c r="AH105" s="51">
        <v>2899803</v>
      </c>
      <c r="AI105" s="51"/>
      <c r="AJ105" s="51">
        <f t="shared" si="119"/>
        <v>719985507</v>
      </c>
      <c r="AK105" s="51">
        <f>+AK106+AK108</f>
        <v>564788485</v>
      </c>
      <c r="AM105" s="79">
        <f t="shared" si="144"/>
        <v>0.10306562202578134</v>
      </c>
      <c r="AN105" s="79">
        <f t="shared" si="145"/>
        <v>-8.3729091965186547E-2</v>
      </c>
      <c r="AO105" s="79">
        <f t="shared" si="146"/>
        <v>0.18507339766591696</v>
      </c>
      <c r="AP105" s="79">
        <f t="shared" si="147"/>
        <v>-0.48802198142430647</v>
      </c>
      <c r="AQ105" s="79">
        <f t="shared" si="148"/>
        <v>-0.65401193539273517</v>
      </c>
      <c r="AR105" s="79">
        <f t="shared" si="149"/>
        <v>8.2009352803018756E-2</v>
      </c>
      <c r="AS105" s="79">
        <f t="shared" si="150"/>
        <v>0.29646108377691172</v>
      </c>
      <c r="AT105" s="79">
        <f t="shared" si="151"/>
        <v>-0.467580743113785</v>
      </c>
      <c r="AU105" s="79">
        <f t="shared" si="152"/>
        <v>7.3475655752376162E-2</v>
      </c>
      <c r="AV105" s="79">
        <f t="shared" si="153"/>
        <v>-0.96004390398515138</v>
      </c>
      <c r="AW105" s="79">
        <f t="shared" si="113"/>
        <v>-0.24191889331239289</v>
      </c>
      <c r="AY105" s="347" t="s">
        <v>394</v>
      </c>
      <c r="AZ105" s="348" t="s">
        <v>395</v>
      </c>
    </row>
    <row r="106" spans="1:52" x14ac:dyDescent="0.25">
      <c r="A106" s="351" t="s">
        <v>396</v>
      </c>
      <c r="B106" s="352" t="s">
        <v>397</v>
      </c>
      <c r="C106" s="357"/>
      <c r="D106" s="357"/>
      <c r="E106" s="378"/>
      <c r="F106" s="375">
        <f t="shared" si="114"/>
        <v>0</v>
      </c>
      <c r="G106" s="142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43"/>
      <c r="S106" s="143"/>
      <c r="T106" s="18">
        <f t="shared" si="117"/>
        <v>0</v>
      </c>
      <c r="U106" s="48">
        <f t="shared" si="110"/>
        <v>0</v>
      </c>
      <c r="V106" s="391">
        <f t="shared" si="111"/>
        <v>0</v>
      </c>
      <c r="W106" s="391">
        <f t="shared" si="112"/>
        <v>0</v>
      </c>
      <c r="Y106" s="18"/>
      <c r="Z106" s="18">
        <v>49689377</v>
      </c>
      <c r="AA106" s="18">
        <v>62589797</v>
      </c>
      <c r="AB106" s="18">
        <v>1500000</v>
      </c>
      <c r="AC106" s="18">
        <v>12333733</v>
      </c>
      <c r="AD106" s="18">
        <v>421347</v>
      </c>
      <c r="AE106" s="18">
        <v>22857900</v>
      </c>
      <c r="AF106" s="18"/>
      <c r="AG106" s="18">
        <v>1333165</v>
      </c>
      <c r="AH106" s="18">
        <v>2899803</v>
      </c>
      <c r="AI106" s="18"/>
      <c r="AJ106" s="18">
        <f t="shared" si="119"/>
        <v>153625122</v>
      </c>
      <c r="AK106" s="18">
        <v>149392154</v>
      </c>
      <c r="AM106" s="79" t="e">
        <f t="shared" si="144"/>
        <v>#DIV/0!</v>
      </c>
      <c r="AN106" s="79" t="e">
        <f t="shared" si="145"/>
        <v>#DIV/0!</v>
      </c>
      <c r="AO106" s="79" t="e">
        <f t="shared" si="146"/>
        <v>#DIV/0!</v>
      </c>
      <c r="AP106" s="79" t="e">
        <f t="shared" si="147"/>
        <v>#DIV/0!</v>
      </c>
      <c r="AQ106" s="79" t="e">
        <f t="shared" si="148"/>
        <v>#DIV/0!</v>
      </c>
      <c r="AR106" s="79" t="e">
        <f t="shared" si="149"/>
        <v>#DIV/0!</v>
      </c>
      <c r="AS106" s="79" t="e">
        <f t="shared" si="150"/>
        <v>#DIV/0!</v>
      </c>
      <c r="AT106" s="79" t="e">
        <f t="shared" si="151"/>
        <v>#DIV/0!</v>
      </c>
      <c r="AU106" s="79" t="e">
        <f t="shared" si="152"/>
        <v>#DIV/0!</v>
      </c>
      <c r="AV106" s="79" t="e">
        <f t="shared" si="153"/>
        <v>#DIV/0!</v>
      </c>
      <c r="AW106" s="79" t="e">
        <f t="shared" si="113"/>
        <v>#DIV/0!</v>
      </c>
      <c r="AY106" s="351" t="s">
        <v>396</v>
      </c>
      <c r="AZ106" s="352" t="s">
        <v>397</v>
      </c>
    </row>
    <row r="107" spans="1:52" x14ac:dyDescent="0.25">
      <c r="A107" s="347" t="s">
        <v>398</v>
      </c>
      <c r="B107" s="348" t="s">
        <v>399</v>
      </c>
      <c r="C107" s="355">
        <f>+C108</f>
        <v>1252896796</v>
      </c>
      <c r="D107" s="355">
        <f t="shared" ref="D107:F107" si="163">+D108</f>
        <v>0</v>
      </c>
      <c r="E107" s="355">
        <f t="shared" si="163"/>
        <v>0</v>
      </c>
      <c r="F107" s="355">
        <f t="shared" si="163"/>
        <v>1252896796</v>
      </c>
      <c r="G107" s="359"/>
      <c r="H107" s="360">
        <f t="shared" ref="H107" si="164">+H108</f>
        <v>72574733</v>
      </c>
      <c r="I107" s="360">
        <f t="shared" ref="I107" si="165">+I108</f>
        <v>121574733</v>
      </c>
      <c r="J107" s="360">
        <f t="shared" ref="J107" si="166">+J108</f>
        <v>81574733</v>
      </c>
      <c r="K107" s="360">
        <f t="shared" ref="K107" si="167">+K108</f>
        <v>72574733</v>
      </c>
      <c r="L107" s="360">
        <f t="shared" ref="L107" si="168">+L108</f>
        <v>174574733</v>
      </c>
      <c r="M107" s="360">
        <f t="shared" ref="M107" si="169">+M108</f>
        <v>78574733</v>
      </c>
      <c r="N107" s="360">
        <f t="shared" ref="N107" si="170">+N108</f>
        <v>72574733</v>
      </c>
      <c r="O107" s="360">
        <f t="shared" ref="O107" si="171">+O108</f>
        <v>121574733</v>
      </c>
      <c r="P107" s="360">
        <f t="shared" ref="P107" si="172">+P108</f>
        <v>81574733</v>
      </c>
      <c r="Q107" s="360">
        <f t="shared" ref="Q107" si="173">+Q108</f>
        <v>72574733</v>
      </c>
      <c r="R107" s="360">
        <f t="shared" ref="R107" si="174">+R108</f>
        <v>224574733</v>
      </c>
      <c r="S107" s="360">
        <f t="shared" ref="S107" si="175">+S108</f>
        <v>78574733</v>
      </c>
      <c r="T107" s="360">
        <f t="shared" si="117"/>
        <v>949747330</v>
      </c>
      <c r="U107" s="48">
        <f t="shared" si="110"/>
        <v>1252896796</v>
      </c>
      <c r="V107" s="391">
        <f t="shared" si="111"/>
        <v>1252896796</v>
      </c>
      <c r="W107" s="391">
        <f t="shared" si="112"/>
        <v>0</v>
      </c>
      <c r="Y107" s="360">
        <f t="shared" ref="Y107" si="176">+Y108</f>
        <v>80054693</v>
      </c>
      <c r="Z107" s="360">
        <f t="shared" ref="Z107" si="177">+Z108</f>
        <v>61706014</v>
      </c>
      <c r="AA107" s="360">
        <f t="shared" ref="AA107" si="178">+AA108</f>
        <v>34082249</v>
      </c>
      <c r="AB107" s="360">
        <f t="shared" ref="AB107" si="179">+AB108</f>
        <v>35656668</v>
      </c>
      <c r="AC107" s="360">
        <f t="shared" ref="AC107" si="180">+AC108</f>
        <v>48067041</v>
      </c>
      <c r="AD107" s="360">
        <f t="shared" ref="AD107" si="181">+AD108</f>
        <v>84597249</v>
      </c>
      <c r="AE107" s="360">
        <f t="shared" ref="AE107" si="182">+AE108</f>
        <v>71232417</v>
      </c>
      <c r="AF107" s="360">
        <f t="shared" ref="AF107" si="183">+AF108</f>
        <v>64728729</v>
      </c>
      <c r="AG107" s="360">
        <f t="shared" ref="AG107" si="184">+AG108</f>
        <v>86235325</v>
      </c>
      <c r="AH107" s="360"/>
      <c r="AI107" s="360"/>
      <c r="AJ107" s="360">
        <f t="shared" si="119"/>
        <v>566360385</v>
      </c>
      <c r="AK107" s="360"/>
      <c r="AM107" s="79">
        <f t="shared" si="144"/>
        <v>0.10306562202578134</v>
      </c>
      <c r="AN107" s="79">
        <f t="shared" si="145"/>
        <v>-0.49244376296512204</v>
      </c>
      <c r="AO107" s="79">
        <f t="shared" si="146"/>
        <v>-0.58219600914905845</v>
      </c>
      <c r="AP107" s="79">
        <f t="shared" si="147"/>
        <v>-0.50869033166129596</v>
      </c>
      <c r="AQ107" s="79">
        <f t="shared" si="148"/>
        <v>-0.72466209643293567</v>
      </c>
      <c r="AR107" s="79">
        <f t="shared" si="149"/>
        <v>7.6646980143095109E-2</v>
      </c>
      <c r="AS107" s="79">
        <f t="shared" si="150"/>
        <v>-1.8495638144476537E-2</v>
      </c>
      <c r="AT107" s="79">
        <f t="shared" si="151"/>
        <v>-0.467580743113785</v>
      </c>
      <c r="AU107" s="79">
        <f t="shared" si="152"/>
        <v>5.7132788899229375E-2</v>
      </c>
      <c r="AV107" s="79">
        <f t="shared" si="153"/>
        <v>-1</v>
      </c>
      <c r="AW107" s="79">
        <f t="shared" si="113"/>
        <v>-0.40367256941906854</v>
      </c>
      <c r="AY107" s="347" t="s">
        <v>398</v>
      </c>
      <c r="AZ107" s="348" t="s">
        <v>399</v>
      </c>
    </row>
    <row r="108" spans="1:52" x14ac:dyDescent="0.25">
      <c r="A108" s="349" t="s">
        <v>400</v>
      </c>
      <c r="B108" s="350" t="s">
        <v>401</v>
      </c>
      <c r="C108" s="356">
        <f>+C109+C110+C123</f>
        <v>1252896796</v>
      </c>
      <c r="D108" s="356">
        <f t="shared" ref="D108:F108" si="185">+D109+D110+D123</f>
        <v>0</v>
      </c>
      <c r="E108" s="356">
        <f t="shared" si="185"/>
        <v>0</v>
      </c>
      <c r="F108" s="356">
        <f t="shared" si="185"/>
        <v>1252896796</v>
      </c>
      <c r="G108" s="180" t="e">
        <f>+#REF!+G110</f>
        <v>#REF!</v>
      </c>
      <c r="H108" s="51">
        <f t="shared" ref="H108:S108" si="186">+H109+H110+H123</f>
        <v>72574733</v>
      </c>
      <c r="I108" s="51">
        <f t="shared" si="186"/>
        <v>121574733</v>
      </c>
      <c r="J108" s="51">
        <f t="shared" si="186"/>
        <v>81574733</v>
      </c>
      <c r="K108" s="51">
        <f t="shared" si="186"/>
        <v>72574733</v>
      </c>
      <c r="L108" s="51">
        <f t="shared" si="186"/>
        <v>174574733</v>
      </c>
      <c r="M108" s="51">
        <f t="shared" si="186"/>
        <v>78574733</v>
      </c>
      <c r="N108" s="51">
        <f t="shared" si="186"/>
        <v>72574733</v>
      </c>
      <c r="O108" s="51">
        <f t="shared" si="186"/>
        <v>121574733</v>
      </c>
      <c r="P108" s="51">
        <f t="shared" si="186"/>
        <v>81574733</v>
      </c>
      <c r="Q108" s="51">
        <f t="shared" si="186"/>
        <v>72574733</v>
      </c>
      <c r="R108" s="51">
        <f t="shared" si="186"/>
        <v>224574733</v>
      </c>
      <c r="S108" s="51">
        <f t="shared" si="186"/>
        <v>78574733</v>
      </c>
      <c r="T108" s="51">
        <f t="shared" si="117"/>
        <v>949747330</v>
      </c>
      <c r="U108" s="48">
        <f t="shared" si="110"/>
        <v>1252896796</v>
      </c>
      <c r="V108" s="391">
        <f t="shared" si="111"/>
        <v>1252896796</v>
      </c>
      <c r="W108" s="391">
        <f t="shared" si="112"/>
        <v>0</v>
      </c>
      <c r="Y108" s="51">
        <f t="shared" ref="Y108:AL108" si="187">+Y109+Y110+Y123</f>
        <v>80054693</v>
      </c>
      <c r="Z108" s="51">
        <f t="shared" si="187"/>
        <v>61706014</v>
      </c>
      <c r="AA108" s="51">
        <f t="shared" si="187"/>
        <v>34082249</v>
      </c>
      <c r="AB108" s="51">
        <f t="shared" si="187"/>
        <v>35656668</v>
      </c>
      <c r="AC108" s="51">
        <f t="shared" si="187"/>
        <v>48067041</v>
      </c>
      <c r="AD108" s="51">
        <f t="shared" si="187"/>
        <v>84597249</v>
      </c>
      <c r="AE108" s="51">
        <f t="shared" si="187"/>
        <v>71232417</v>
      </c>
      <c r="AF108" s="51">
        <f t="shared" si="187"/>
        <v>64728729</v>
      </c>
      <c r="AG108" s="51">
        <f t="shared" si="187"/>
        <v>86235325</v>
      </c>
      <c r="AH108" s="51">
        <v>89357494</v>
      </c>
      <c r="AI108" s="51"/>
      <c r="AJ108" s="51">
        <f t="shared" si="119"/>
        <v>655717879</v>
      </c>
      <c r="AK108" s="51">
        <f t="shared" si="187"/>
        <v>415396331</v>
      </c>
      <c r="AL108" s="51">
        <f t="shared" si="187"/>
        <v>0</v>
      </c>
      <c r="AM108" s="79">
        <f t="shared" si="144"/>
        <v>0.10306562202578134</v>
      </c>
      <c r="AN108" s="79">
        <f t="shared" si="145"/>
        <v>-0.49244376296512204</v>
      </c>
      <c r="AO108" s="79">
        <f t="shared" si="146"/>
        <v>-0.58219600914905845</v>
      </c>
      <c r="AP108" s="79">
        <f t="shared" si="147"/>
        <v>-0.50869033166129596</v>
      </c>
      <c r="AQ108" s="79">
        <f t="shared" si="148"/>
        <v>-0.72466209643293567</v>
      </c>
      <c r="AR108" s="79">
        <f t="shared" si="149"/>
        <v>7.6646980143095109E-2</v>
      </c>
      <c r="AS108" s="79">
        <f t="shared" si="150"/>
        <v>-1.8495638144476537E-2</v>
      </c>
      <c r="AT108" s="79">
        <f t="shared" si="151"/>
        <v>-0.467580743113785</v>
      </c>
      <c r="AU108" s="79">
        <f t="shared" si="152"/>
        <v>5.7132788899229375E-2</v>
      </c>
      <c r="AV108" s="79">
        <f t="shared" si="153"/>
        <v>0.2312479881944588</v>
      </c>
      <c r="AW108" s="79">
        <f t="shared" si="113"/>
        <v>-0.30958702563554458</v>
      </c>
      <c r="AY108" s="349" t="s">
        <v>400</v>
      </c>
      <c r="AZ108" s="350" t="s">
        <v>401</v>
      </c>
    </row>
    <row r="109" spans="1:52" s="49" customFormat="1" x14ac:dyDescent="0.25">
      <c r="A109" s="351" t="s">
        <v>402</v>
      </c>
      <c r="B109" s="352" t="s">
        <v>403</v>
      </c>
      <c r="C109" s="357">
        <v>60000000</v>
      </c>
      <c r="D109" s="357"/>
      <c r="E109" s="378"/>
      <c r="F109" s="375">
        <f t="shared" si="114"/>
        <v>60000000</v>
      </c>
      <c r="G109" s="142">
        <v>60000000</v>
      </c>
      <c r="H109" s="27">
        <v>5000000</v>
      </c>
      <c r="I109" s="27">
        <v>5000000</v>
      </c>
      <c r="J109" s="27">
        <v>5000000</v>
      </c>
      <c r="K109" s="27">
        <v>5000000</v>
      </c>
      <c r="L109" s="27">
        <v>5000000</v>
      </c>
      <c r="M109" s="27">
        <v>5000000</v>
      </c>
      <c r="N109" s="27">
        <v>5000000</v>
      </c>
      <c r="O109" s="27">
        <v>5000000</v>
      </c>
      <c r="P109" s="27">
        <v>5000000</v>
      </c>
      <c r="Q109" s="27">
        <v>5000000</v>
      </c>
      <c r="R109" s="143">
        <v>5000000</v>
      </c>
      <c r="S109" s="143">
        <v>5000000</v>
      </c>
      <c r="T109" s="27">
        <f t="shared" si="117"/>
        <v>50000000</v>
      </c>
      <c r="U109" s="48">
        <f t="shared" si="110"/>
        <v>60000000</v>
      </c>
      <c r="V109" s="391">
        <f t="shared" si="111"/>
        <v>60000000</v>
      </c>
      <c r="W109" s="391">
        <f t="shared" si="112"/>
        <v>0</v>
      </c>
      <c r="Y109" s="27"/>
      <c r="Z109" s="27"/>
      <c r="AA109" s="27"/>
      <c r="AB109" s="27">
        <v>771000</v>
      </c>
      <c r="AC109" s="27"/>
      <c r="AD109" s="27"/>
      <c r="AE109" s="27"/>
      <c r="AF109" s="27"/>
      <c r="AG109" s="27"/>
      <c r="AH109" s="27"/>
      <c r="AI109" s="27"/>
      <c r="AJ109" s="27">
        <f t="shared" si="119"/>
        <v>771000</v>
      </c>
      <c r="AK109" s="31">
        <v>771000</v>
      </c>
      <c r="AM109" s="79">
        <f t="shared" si="144"/>
        <v>-1</v>
      </c>
      <c r="AN109" s="79">
        <f t="shared" si="145"/>
        <v>-1</v>
      </c>
      <c r="AO109" s="79">
        <f t="shared" si="146"/>
        <v>-1</v>
      </c>
      <c r="AP109" s="79">
        <f t="shared" si="147"/>
        <v>-0.8458</v>
      </c>
      <c r="AQ109" s="79">
        <f t="shared" si="148"/>
        <v>-1</v>
      </c>
      <c r="AR109" s="79">
        <f t="shared" si="149"/>
        <v>-1</v>
      </c>
      <c r="AS109" s="79">
        <f t="shared" si="150"/>
        <v>-1</v>
      </c>
      <c r="AT109" s="79">
        <f t="shared" si="151"/>
        <v>-1</v>
      </c>
      <c r="AU109" s="79">
        <f t="shared" si="152"/>
        <v>-1</v>
      </c>
      <c r="AV109" s="79">
        <f t="shared" si="153"/>
        <v>-1</v>
      </c>
      <c r="AW109" s="79">
        <f t="shared" si="113"/>
        <v>-0.98458000000000001</v>
      </c>
      <c r="AX109" s="46"/>
      <c r="AY109" s="351" t="s">
        <v>402</v>
      </c>
      <c r="AZ109" s="352" t="s">
        <v>403</v>
      </c>
    </row>
    <row r="110" spans="1:52" s="49" customFormat="1" x14ac:dyDescent="0.25">
      <c r="A110" s="349" t="s">
        <v>404</v>
      </c>
      <c r="B110" s="350" t="s">
        <v>405</v>
      </c>
      <c r="C110" s="356">
        <f>SUM(C111:C122)</f>
        <v>1192896796</v>
      </c>
      <c r="D110" s="356">
        <f t="shared" ref="D110:F110" si="188">SUM(D111:D122)</f>
        <v>0</v>
      </c>
      <c r="E110" s="356">
        <f t="shared" si="188"/>
        <v>0</v>
      </c>
      <c r="F110" s="356">
        <f t="shared" si="188"/>
        <v>1192896796</v>
      </c>
      <c r="G110" s="182">
        <f t="shared" ref="G110:AK110" si="189">SUM(G111:G122)</f>
        <v>1192896796</v>
      </c>
      <c r="H110" s="52">
        <f>SUM(H111:H122)</f>
        <v>67574733</v>
      </c>
      <c r="I110" s="52">
        <f t="shared" ref="I110:S110" si="190">SUM(I111:I122)</f>
        <v>116574733</v>
      </c>
      <c r="J110" s="52">
        <f t="shared" si="190"/>
        <v>76574733</v>
      </c>
      <c r="K110" s="52">
        <f t="shared" si="190"/>
        <v>67574733</v>
      </c>
      <c r="L110" s="52">
        <f t="shared" si="190"/>
        <v>169574733</v>
      </c>
      <c r="M110" s="52">
        <f t="shared" si="190"/>
        <v>73574733</v>
      </c>
      <c r="N110" s="52">
        <f t="shared" si="190"/>
        <v>67574733</v>
      </c>
      <c r="O110" s="52">
        <f t="shared" si="190"/>
        <v>116574733</v>
      </c>
      <c r="P110" s="52">
        <f t="shared" si="190"/>
        <v>76574733</v>
      </c>
      <c r="Q110" s="52">
        <f t="shared" si="190"/>
        <v>67574733</v>
      </c>
      <c r="R110" s="52">
        <f t="shared" si="190"/>
        <v>219574733</v>
      </c>
      <c r="S110" s="52">
        <f t="shared" si="190"/>
        <v>73574733</v>
      </c>
      <c r="T110" s="52">
        <f t="shared" si="117"/>
        <v>899747330</v>
      </c>
      <c r="U110" s="48">
        <f t="shared" si="110"/>
        <v>1192896796</v>
      </c>
      <c r="V110" s="391">
        <f t="shared" si="111"/>
        <v>1192896796</v>
      </c>
      <c r="W110" s="391">
        <f t="shared" si="112"/>
        <v>0</v>
      </c>
      <c r="Y110" s="52">
        <f t="shared" ref="Y110:AG110" si="191">SUM(Y111:Y122)</f>
        <v>76682608</v>
      </c>
      <c r="Z110" s="52">
        <f t="shared" si="191"/>
        <v>54982532</v>
      </c>
      <c r="AA110" s="52">
        <f t="shared" si="191"/>
        <v>34082249</v>
      </c>
      <c r="AB110" s="52">
        <f t="shared" si="191"/>
        <v>32803457</v>
      </c>
      <c r="AC110" s="52">
        <f t="shared" si="191"/>
        <v>45592047</v>
      </c>
      <c r="AD110" s="52">
        <f t="shared" si="191"/>
        <v>58056373</v>
      </c>
      <c r="AE110" s="52">
        <f t="shared" si="191"/>
        <v>63060122</v>
      </c>
      <c r="AF110" s="52">
        <f t="shared" si="191"/>
        <v>61211384</v>
      </c>
      <c r="AG110" s="52">
        <f t="shared" si="191"/>
        <v>85948714</v>
      </c>
      <c r="AH110" s="52">
        <v>85539144</v>
      </c>
      <c r="AI110" s="52"/>
      <c r="AJ110" s="52">
        <f t="shared" si="119"/>
        <v>597958630</v>
      </c>
      <c r="AK110" s="52">
        <f t="shared" si="189"/>
        <v>365259388</v>
      </c>
      <c r="AM110" s="79">
        <f t="shared" si="144"/>
        <v>0.13478225655734372</v>
      </c>
      <c r="AN110" s="79">
        <f t="shared" si="145"/>
        <v>-0.5283494923381038</v>
      </c>
      <c r="AO110" s="79">
        <f t="shared" si="146"/>
        <v>-0.55491520943337802</v>
      </c>
      <c r="AP110" s="79">
        <f t="shared" si="147"/>
        <v>-0.51456031650173151</v>
      </c>
      <c r="AQ110" s="79">
        <f t="shared" si="148"/>
        <v>-0.73113891324835523</v>
      </c>
      <c r="AR110" s="79">
        <f t="shared" si="149"/>
        <v>-0.21091969168274113</v>
      </c>
      <c r="AS110" s="79">
        <f t="shared" si="150"/>
        <v>-6.6809157795710422E-2</v>
      </c>
      <c r="AT110" s="79">
        <f t="shared" si="151"/>
        <v>-0.47491722756079569</v>
      </c>
      <c r="AU110" s="79">
        <f t="shared" si="152"/>
        <v>0.12241611080772558</v>
      </c>
      <c r="AV110" s="79">
        <f t="shared" si="153"/>
        <v>0.26584509035352016</v>
      </c>
      <c r="AW110" s="79">
        <f t="shared" si="113"/>
        <v>-0.33541494365979391</v>
      </c>
      <c r="AY110" s="349" t="s">
        <v>404</v>
      </c>
      <c r="AZ110" s="350" t="s">
        <v>405</v>
      </c>
    </row>
    <row r="111" spans="1:52" s="49" customFormat="1" x14ac:dyDescent="0.25">
      <c r="A111" s="351" t="s">
        <v>406</v>
      </c>
      <c r="B111" s="352" t="s">
        <v>407</v>
      </c>
      <c r="C111" s="357">
        <v>63999996</v>
      </c>
      <c r="D111" s="357"/>
      <c r="E111" s="378"/>
      <c r="F111" s="375">
        <f t="shared" si="114"/>
        <v>63999996</v>
      </c>
      <c r="G111" s="142">
        <v>63999996</v>
      </c>
      <c r="H111" s="27">
        <v>5333333</v>
      </c>
      <c r="I111" s="27">
        <v>5333333</v>
      </c>
      <c r="J111" s="27">
        <v>5333333</v>
      </c>
      <c r="K111" s="27">
        <v>5333333</v>
      </c>
      <c r="L111" s="27">
        <v>5333333</v>
      </c>
      <c r="M111" s="27">
        <v>5333333</v>
      </c>
      <c r="N111" s="27">
        <v>5333333</v>
      </c>
      <c r="O111" s="27">
        <v>5333333</v>
      </c>
      <c r="P111" s="27">
        <v>5333333</v>
      </c>
      <c r="Q111" s="27">
        <v>5333333</v>
      </c>
      <c r="R111" s="143">
        <v>5333333</v>
      </c>
      <c r="S111" s="143">
        <v>5333333</v>
      </c>
      <c r="T111" s="27">
        <f t="shared" si="117"/>
        <v>53333330</v>
      </c>
      <c r="U111" s="48">
        <f t="shared" si="110"/>
        <v>63999996</v>
      </c>
      <c r="V111" s="391">
        <f t="shared" si="111"/>
        <v>63999996</v>
      </c>
      <c r="W111" s="391">
        <f t="shared" si="112"/>
        <v>0</v>
      </c>
      <c r="Y111" s="27">
        <v>20072005</v>
      </c>
      <c r="Z111" s="27">
        <v>8895527</v>
      </c>
      <c r="AA111" s="27">
        <v>5488964</v>
      </c>
      <c r="AB111" s="27">
        <v>10220736</v>
      </c>
      <c r="AC111" s="27">
        <v>19570494</v>
      </c>
      <c r="AD111" s="27">
        <v>20949638</v>
      </c>
      <c r="AE111" s="27">
        <v>21469783</v>
      </c>
      <c r="AF111" s="27">
        <v>20562481</v>
      </c>
      <c r="AG111" s="27">
        <v>41198988</v>
      </c>
      <c r="AH111" s="27">
        <v>34859526</v>
      </c>
      <c r="AI111" s="27"/>
      <c r="AJ111" s="27">
        <f t="shared" si="119"/>
        <v>203288142</v>
      </c>
      <c r="AK111" s="31">
        <v>106667147</v>
      </c>
      <c r="AM111" s="79">
        <f t="shared" si="144"/>
        <v>2.7635011727188235</v>
      </c>
      <c r="AN111" s="79">
        <f t="shared" si="145"/>
        <v>0.66791141674446353</v>
      </c>
      <c r="AO111" s="79">
        <f t="shared" si="146"/>
        <v>2.9180814323800895E-2</v>
      </c>
      <c r="AP111" s="79">
        <f t="shared" si="147"/>
        <v>0.91638811977425749</v>
      </c>
      <c r="AQ111" s="79">
        <f t="shared" si="148"/>
        <v>2.6694678543417409</v>
      </c>
      <c r="AR111" s="79">
        <f t="shared" si="149"/>
        <v>2.9280573705035855</v>
      </c>
      <c r="AS111" s="79">
        <f t="shared" si="150"/>
        <v>3.0255845640990353</v>
      </c>
      <c r="AT111" s="79">
        <f t="shared" si="151"/>
        <v>2.8554654284665895</v>
      </c>
      <c r="AU111" s="79">
        <f t="shared" si="152"/>
        <v>6.7248107328006705</v>
      </c>
      <c r="AV111" s="79">
        <f t="shared" si="153"/>
        <v>5.5361615335100955</v>
      </c>
      <c r="AW111" s="79">
        <f t="shared" si="113"/>
        <v>2.8116529007283062</v>
      </c>
      <c r="AY111" s="351" t="s">
        <v>406</v>
      </c>
      <c r="AZ111" s="352" t="s">
        <v>407</v>
      </c>
    </row>
    <row r="112" spans="1:52" x14ac:dyDescent="0.25">
      <c r="A112" s="351" t="s">
        <v>408</v>
      </c>
      <c r="B112" s="352" t="s">
        <v>409</v>
      </c>
      <c r="C112" s="357">
        <v>164736000</v>
      </c>
      <c r="D112" s="357"/>
      <c r="E112" s="378"/>
      <c r="F112" s="375">
        <f t="shared" si="114"/>
        <v>164736000</v>
      </c>
      <c r="G112" s="142">
        <v>164736000</v>
      </c>
      <c r="H112" s="27">
        <v>13728000</v>
      </c>
      <c r="I112" s="27">
        <v>13728000</v>
      </c>
      <c r="J112" s="27">
        <v>13728000</v>
      </c>
      <c r="K112" s="27">
        <v>13728000</v>
      </c>
      <c r="L112" s="27">
        <v>13728000</v>
      </c>
      <c r="M112" s="27">
        <v>13728000</v>
      </c>
      <c r="N112" s="27">
        <v>13728000</v>
      </c>
      <c r="O112" s="27">
        <v>13728000</v>
      </c>
      <c r="P112" s="27">
        <v>13728000</v>
      </c>
      <c r="Q112" s="27">
        <v>13728000</v>
      </c>
      <c r="R112" s="143">
        <v>13728000</v>
      </c>
      <c r="S112" s="143">
        <v>13728000</v>
      </c>
      <c r="T112" s="27">
        <f t="shared" si="117"/>
        <v>137280000</v>
      </c>
      <c r="U112" s="48">
        <f t="shared" si="110"/>
        <v>164736000</v>
      </c>
      <c r="V112" s="391">
        <f t="shared" si="111"/>
        <v>164736000</v>
      </c>
      <c r="W112" s="391">
        <f t="shared" si="112"/>
        <v>0</v>
      </c>
      <c r="Y112" s="27">
        <v>10842496</v>
      </c>
      <c r="Z112" s="27">
        <f>5474616+23622638</f>
        <v>29097254</v>
      </c>
      <c r="AA112" s="27">
        <v>1844269</v>
      </c>
      <c r="AB112" s="27">
        <v>6082965</v>
      </c>
      <c r="AC112" s="27">
        <v>8863606</v>
      </c>
      <c r="AD112" s="27">
        <v>9656873</v>
      </c>
      <c r="AE112" s="27">
        <v>9528975</v>
      </c>
      <c r="AF112" s="27">
        <v>11255876</v>
      </c>
      <c r="AG112" s="27">
        <v>12471524</v>
      </c>
      <c r="AH112" s="27">
        <v>17456074</v>
      </c>
      <c r="AI112" s="27"/>
      <c r="AJ112" s="27">
        <f t="shared" si="119"/>
        <v>117099912</v>
      </c>
      <c r="AK112" s="31">
        <v>75916438</v>
      </c>
      <c r="AM112" s="79">
        <f t="shared" si="144"/>
        <v>-0.21019114219114218</v>
      </c>
      <c r="AN112" s="79">
        <f t="shared" si="145"/>
        <v>1.1195552156177155</v>
      </c>
      <c r="AO112" s="79">
        <f t="shared" si="146"/>
        <v>-0.86565639568764574</v>
      </c>
      <c r="AP112" s="79">
        <f t="shared" si="147"/>
        <v>-0.55689357517482518</v>
      </c>
      <c r="AQ112" s="79">
        <f t="shared" si="148"/>
        <v>-0.35434105477855476</v>
      </c>
      <c r="AR112" s="79">
        <f t="shared" si="149"/>
        <v>-0.29655645396270397</v>
      </c>
      <c r="AS112" s="79">
        <f t="shared" si="150"/>
        <v>-0.30587303321678322</v>
      </c>
      <c r="AT112" s="79">
        <f t="shared" si="151"/>
        <v>-0.1800789627039627</v>
      </c>
      <c r="AU112" s="79">
        <f t="shared" si="152"/>
        <v>-9.152651515151515E-2</v>
      </c>
      <c r="AV112" s="79">
        <f t="shared" si="153"/>
        <v>0.27156716200466202</v>
      </c>
      <c r="AW112" s="79">
        <f t="shared" si="113"/>
        <v>-0.14699947552447554</v>
      </c>
      <c r="AX112" s="49"/>
      <c r="AY112" s="351" t="s">
        <v>408</v>
      </c>
      <c r="AZ112" s="352" t="s">
        <v>409</v>
      </c>
    </row>
    <row r="113" spans="1:52" x14ac:dyDescent="0.25">
      <c r="A113" s="351" t="s">
        <v>410</v>
      </c>
      <c r="B113" s="352" t="s">
        <v>411</v>
      </c>
      <c r="C113" s="357">
        <v>47712000</v>
      </c>
      <c r="D113" s="357"/>
      <c r="E113" s="378"/>
      <c r="F113" s="375">
        <f t="shared" si="114"/>
        <v>47712000</v>
      </c>
      <c r="G113" s="142">
        <v>47712000</v>
      </c>
      <c r="H113" s="27">
        <v>3976000</v>
      </c>
      <c r="I113" s="27">
        <v>3976000</v>
      </c>
      <c r="J113" s="27">
        <v>3976000</v>
      </c>
      <c r="K113" s="27">
        <v>3976000</v>
      </c>
      <c r="L113" s="27">
        <v>3976000</v>
      </c>
      <c r="M113" s="27">
        <v>3976000</v>
      </c>
      <c r="N113" s="27">
        <v>3976000</v>
      </c>
      <c r="O113" s="27">
        <v>3976000</v>
      </c>
      <c r="P113" s="27">
        <v>3976000</v>
      </c>
      <c r="Q113" s="27">
        <v>3976000</v>
      </c>
      <c r="R113" s="143">
        <v>3976000</v>
      </c>
      <c r="S113" s="143">
        <v>3976000</v>
      </c>
      <c r="T113" s="27">
        <f t="shared" si="117"/>
        <v>39760000</v>
      </c>
      <c r="U113" s="48">
        <f t="shared" si="110"/>
        <v>47712000</v>
      </c>
      <c r="V113" s="391">
        <f t="shared" si="111"/>
        <v>47712000</v>
      </c>
      <c r="W113" s="391">
        <f t="shared" si="112"/>
        <v>0</v>
      </c>
      <c r="Y113" s="27">
        <v>8569672</v>
      </c>
      <c r="Z113" s="27">
        <v>5030078</v>
      </c>
      <c r="AA113" s="27">
        <v>7293231</v>
      </c>
      <c r="AB113" s="27">
        <v>5170202</v>
      </c>
      <c r="AC113" s="27">
        <v>6484081</v>
      </c>
      <c r="AD113" s="27">
        <v>10510279</v>
      </c>
      <c r="AE113" s="27">
        <v>12447958</v>
      </c>
      <c r="AF113" s="27">
        <v>12092771</v>
      </c>
      <c r="AG113" s="27">
        <v>12989681</v>
      </c>
      <c r="AH113" s="27">
        <v>12304008</v>
      </c>
      <c r="AI113" s="27"/>
      <c r="AJ113" s="27">
        <f t="shared" si="119"/>
        <v>92891961</v>
      </c>
      <c r="AK113" s="31">
        <v>55505501</v>
      </c>
      <c r="AM113" s="79">
        <f t="shared" si="144"/>
        <v>1.1553501006036218</v>
      </c>
      <c r="AN113" s="79">
        <f t="shared" si="145"/>
        <v>0.26511016096579476</v>
      </c>
      <c r="AO113" s="79">
        <f t="shared" si="146"/>
        <v>0.83431363179074447</v>
      </c>
      <c r="AP113" s="79">
        <f t="shared" si="147"/>
        <v>0.30035261569416499</v>
      </c>
      <c r="AQ113" s="79">
        <f t="shared" si="148"/>
        <v>0.63080508048289741</v>
      </c>
      <c r="AR113" s="79">
        <f t="shared" si="149"/>
        <v>1.6434303319919517</v>
      </c>
      <c r="AS113" s="79">
        <f t="shared" si="150"/>
        <v>2.1307741448692155</v>
      </c>
      <c r="AT113" s="79">
        <f t="shared" si="151"/>
        <v>2.0414413983903419</v>
      </c>
      <c r="AU113" s="79">
        <f t="shared" si="152"/>
        <v>2.267022384305835</v>
      </c>
      <c r="AV113" s="79">
        <f t="shared" si="153"/>
        <v>2.0945694164989939</v>
      </c>
      <c r="AW113" s="79">
        <f t="shared" si="113"/>
        <v>1.3363169265593562</v>
      </c>
      <c r="AY113" s="351" t="s">
        <v>410</v>
      </c>
      <c r="AZ113" s="352" t="s">
        <v>411</v>
      </c>
    </row>
    <row r="114" spans="1:52" x14ac:dyDescent="0.25">
      <c r="A114" s="351" t="s">
        <v>412</v>
      </c>
      <c r="B114" s="352" t="s">
        <v>413</v>
      </c>
      <c r="C114" s="357">
        <v>48000000</v>
      </c>
      <c r="D114" s="357"/>
      <c r="E114" s="378"/>
      <c r="F114" s="375">
        <f t="shared" si="114"/>
        <v>48000000</v>
      </c>
      <c r="G114" s="142">
        <v>48000000</v>
      </c>
      <c r="H114" s="27">
        <v>4000000</v>
      </c>
      <c r="I114" s="27">
        <v>4000000</v>
      </c>
      <c r="J114" s="27">
        <v>4000000</v>
      </c>
      <c r="K114" s="27">
        <v>4000000</v>
      </c>
      <c r="L114" s="27">
        <v>4000000</v>
      </c>
      <c r="M114" s="27">
        <v>4000000</v>
      </c>
      <c r="N114" s="27">
        <v>4000000</v>
      </c>
      <c r="O114" s="27">
        <v>4000000</v>
      </c>
      <c r="P114" s="27">
        <v>4000000</v>
      </c>
      <c r="Q114" s="27">
        <v>4000000</v>
      </c>
      <c r="R114" s="143">
        <v>4000000</v>
      </c>
      <c r="S114" s="143">
        <v>4000000</v>
      </c>
      <c r="T114" s="27">
        <f t="shared" si="117"/>
        <v>40000000</v>
      </c>
      <c r="U114" s="48">
        <f t="shared" si="110"/>
        <v>48000000</v>
      </c>
      <c r="V114" s="391">
        <f t="shared" si="111"/>
        <v>48000000</v>
      </c>
      <c r="W114" s="391">
        <f t="shared" si="112"/>
        <v>0</v>
      </c>
      <c r="Y114" s="27">
        <v>1060797</v>
      </c>
      <c r="Z114" s="27">
        <v>469066</v>
      </c>
      <c r="AA114" s="27">
        <v>3375024</v>
      </c>
      <c r="AB114" s="27">
        <v>720960</v>
      </c>
      <c r="AC114" s="27">
        <v>1095777</v>
      </c>
      <c r="AD114" s="27">
        <v>2560987</v>
      </c>
      <c r="AE114" s="27">
        <v>2496313</v>
      </c>
      <c r="AF114" s="27">
        <v>1780007</v>
      </c>
      <c r="AG114" s="27">
        <v>2536685</v>
      </c>
      <c r="AH114" s="27">
        <v>2450333</v>
      </c>
      <c r="AI114" s="27"/>
      <c r="AJ114" s="27">
        <f t="shared" si="119"/>
        <v>18545949</v>
      </c>
      <c r="AK114" s="31">
        <v>11778924</v>
      </c>
      <c r="AM114" s="79">
        <f t="shared" si="144"/>
        <v>-0.73480075</v>
      </c>
      <c r="AN114" s="79">
        <f t="shared" si="145"/>
        <v>-0.88273349999999995</v>
      </c>
      <c r="AO114" s="79">
        <f t="shared" si="146"/>
        <v>-0.15624399999999999</v>
      </c>
      <c r="AP114" s="79">
        <f t="shared" si="147"/>
        <v>-0.81976000000000004</v>
      </c>
      <c r="AQ114" s="79">
        <f t="shared" si="148"/>
        <v>-0.72605575</v>
      </c>
      <c r="AR114" s="79">
        <f t="shared" si="149"/>
        <v>-0.35975325000000002</v>
      </c>
      <c r="AS114" s="79">
        <f t="shared" si="150"/>
        <v>-0.37592175</v>
      </c>
      <c r="AT114" s="79">
        <f t="shared" si="151"/>
        <v>-0.55499825000000003</v>
      </c>
      <c r="AU114" s="79">
        <f t="shared" si="152"/>
        <v>-0.36582874999999998</v>
      </c>
      <c r="AV114" s="79">
        <f t="shared" si="153"/>
        <v>-0.38741674999999998</v>
      </c>
      <c r="AW114" s="79">
        <f t="shared" si="113"/>
        <v>-0.53635127500000002</v>
      </c>
      <c r="AY114" s="351" t="s">
        <v>412</v>
      </c>
      <c r="AZ114" s="352" t="s">
        <v>413</v>
      </c>
    </row>
    <row r="115" spans="1:52" x14ac:dyDescent="0.25">
      <c r="A115" s="351" t="s">
        <v>414</v>
      </c>
      <c r="B115" s="352" t="s">
        <v>415</v>
      </c>
      <c r="C115" s="357">
        <v>132099996</v>
      </c>
      <c r="D115" s="357"/>
      <c r="E115" s="378"/>
      <c r="F115" s="375">
        <f t="shared" si="114"/>
        <v>132099996</v>
      </c>
      <c r="G115" s="142">
        <v>132099996</v>
      </c>
      <c r="H115" s="27">
        <v>11008333</v>
      </c>
      <c r="I115" s="27">
        <v>11008333</v>
      </c>
      <c r="J115" s="27">
        <v>11008333</v>
      </c>
      <c r="K115" s="27">
        <v>11008333</v>
      </c>
      <c r="L115" s="27">
        <v>11008333</v>
      </c>
      <c r="M115" s="27">
        <v>11008333</v>
      </c>
      <c r="N115" s="27">
        <v>11008333</v>
      </c>
      <c r="O115" s="27">
        <v>11008333</v>
      </c>
      <c r="P115" s="27">
        <v>11008333</v>
      </c>
      <c r="Q115" s="27">
        <v>11008333</v>
      </c>
      <c r="R115" s="143">
        <v>11008333</v>
      </c>
      <c r="S115" s="143">
        <v>11008333</v>
      </c>
      <c r="T115" s="27">
        <f t="shared" si="117"/>
        <v>110083330</v>
      </c>
      <c r="U115" s="48">
        <f t="shared" si="110"/>
        <v>132099996</v>
      </c>
      <c r="V115" s="391">
        <f t="shared" si="111"/>
        <v>132099996</v>
      </c>
      <c r="W115" s="391">
        <f t="shared" si="112"/>
        <v>0</v>
      </c>
      <c r="Y115" s="27">
        <v>11733612</v>
      </c>
      <c r="Z115" s="27">
        <v>97997</v>
      </c>
      <c r="AA115" s="27">
        <v>16080761</v>
      </c>
      <c r="AB115" s="27">
        <v>5931617</v>
      </c>
      <c r="AC115" s="27">
        <v>6043145</v>
      </c>
      <c r="AD115" s="27">
        <v>6845523</v>
      </c>
      <c r="AE115" s="27">
        <v>9299763</v>
      </c>
      <c r="AF115" s="27">
        <v>10168151</v>
      </c>
      <c r="AG115" s="27">
        <v>10436210</v>
      </c>
      <c r="AH115" s="27">
        <v>11774907</v>
      </c>
      <c r="AI115" s="27"/>
      <c r="AJ115" s="27">
        <f t="shared" si="119"/>
        <v>88411686</v>
      </c>
      <c r="AK115" s="31">
        <v>56032418</v>
      </c>
      <c r="AM115" s="79">
        <f t="shared" si="144"/>
        <v>6.5884544008616014E-2</v>
      </c>
      <c r="AN115" s="79">
        <f t="shared" si="145"/>
        <v>-0.99109792554422182</v>
      </c>
      <c r="AO115" s="79">
        <f t="shared" si="146"/>
        <v>0.46078075581470873</v>
      </c>
      <c r="AP115" s="79">
        <f t="shared" si="147"/>
        <v>-0.46117027891507278</v>
      </c>
      <c r="AQ115" s="79">
        <f t="shared" si="148"/>
        <v>-0.45103904469459638</v>
      </c>
      <c r="AR115" s="79">
        <f t="shared" si="149"/>
        <v>-0.37815080630282533</v>
      </c>
      <c r="AS115" s="79">
        <f t="shared" si="150"/>
        <v>-0.15520696912057438</v>
      </c>
      <c r="AT115" s="79">
        <f t="shared" si="151"/>
        <v>-7.6322364158133663E-2</v>
      </c>
      <c r="AU115" s="79">
        <f t="shared" si="152"/>
        <v>-5.197181080913886E-2</v>
      </c>
      <c r="AV115" s="79">
        <f t="shared" si="153"/>
        <v>6.9635793175951352E-2</v>
      </c>
      <c r="AW115" s="79">
        <f t="shared" si="113"/>
        <v>-0.19686581065452871</v>
      </c>
      <c r="AY115" s="351" t="s">
        <v>414</v>
      </c>
      <c r="AZ115" s="352" t="s">
        <v>415</v>
      </c>
    </row>
    <row r="116" spans="1:52" x14ac:dyDescent="0.25">
      <c r="A116" s="351" t="s">
        <v>416</v>
      </c>
      <c r="B116" s="352" t="s">
        <v>417</v>
      </c>
      <c r="C116" s="357">
        <v>168000000</v>
      </c>
      <c r="D116" s="357"/>
      <c r="E116" s="378"/>
      <c r="F116" s="375">
        <f t="shared" si="114"/>
        <v>168000000</v>
      </c>
      <c r="G116" s="142">
        <v>168000000</v>
      </c>
      <c r="H116" s="27">
        <v>14000000</v>
      </c>
      <c r="I116" s="27">
        <v>14000000</v>
      </c>
      <c r="J116" s="27">
        <v>14000000</v>
      </c>
      <c r="K116" s="27">
        <v>14000000</v>
      </c>
      <c r="L116" s="27">
        <v>14000000</v>
      </c>
      <c r="M116" s="27">
        <v>14000000</v>
      </c>
      <c r="N116" s="27">
        <v>14000000</v>
      </c>
      <c r="O116" s="27">
        <v>14000000</v>
      </c>
      <c r="P116" s="27">
        <v>14000000</v>
      </c>
      <c r="Q116" s="27">
        <v>14000000</v>
      </c>
      <c r="R116" s="143">
        <v>14000000</v>
      </c>
      <c r="S116" s="143">
        <v>14000000</v>
      </c>
      <c r="T116" s="27">
        <f t="shared" si="117"/>
        <v>140000000</v>
      </c>
      <c r="U116" s="48">
        <f t="shared" si="110"/>
        <v>168000000</v>
      </c>
      <c r="V116" s="391">
        <f t="shared" si="111"/>
        <v>168000000</v>
      </c>
      <c r="W116" s="391">
        <f t="shared" si="112"/>
        <v>0</v>
      </c>
      <c r="Y116" s="27">
        <v>6180786</v>
      </c>
      <c r="Z116" s="27">
        <v>8849640</v>
      </c>
      <c r="AA116" s="27"/>
      <c r="AB116" s="27">
        <v>4676977</v>
      </c>
      <c r="AC116" s="27">
        <v>3534944</v>
      </c>
      <c r="AD116" s="27">
        <v>7293640</v>
      </c>
      <c r="AE116" s="27">
        <v>7817330</v>
      </c>
      <c r="AF116" s="27">
        <v>5328301</v>
      </c>
      <c r="AG116" s="27">
        <v>6315626</v>
      </c>
      <c r="AH116" s="27">
        <v>6524696</v>
      </c>
      <c r="AI116" s="27"/>
      <c r="AJ116" s="27">
        <f t="shared" si="119"/>
        <v>56521940</v>
      </c>
      <c r="AK116" s="31">
        <v>38353317</v>
      </c>
      <c r="AM116" s="79">
        <f t="shared" si="144"/>
        <v>-0.55851528571428577</v>
      </c>
      <c r="AN116" s="79">
        <f t="shared" si="145"/>
        <v>-0.36788285714285712</v>
      </c>
      <c r="AO116" s="79">
        <f t="shared" si="146"/>
        <v>-1</v>
      </c>
      <c r="AP116" s="79">
        <f t="shared" si="147"/>
        <v>-0.66593021428571431</v>
      </c>
      <c r="AQ116" s="79">
        <f t="shared" si="148"/>
        <v>-0.74750399999999995</v>
      </c>
      <c r="AR116" s="79">
        <f t="shared" si="149"/>
        <v>-0.47902571428571428</v>
      </c>
      <c r="AS116" s="79">
        <f t="shared" si="150"/>
        <v>-0.44161928571428571</v>
      </c>
      <c r="AT116" s="79">
        <f t="shared" si="151"/>
        <v>-0.61940707142857143</v>
      </c>
      <c r="AU116" s="79">
        <f t="shared" si="152"/>
        <v>-0.54888385714285715</v>
      </c>
      <c r="AV116" s="79">
        <f t="shared" si="153"/>
        <v>-0.53395028571428571</v>
      </c>
      <c r="AW116" s="79">
        <f t="shared" si="113"/>
        <v>-0.59627185714285713</v>
      </c>
      <c r="AY116" s="351" t="s">
        <v>416</v>
      </c>
      <c r="AZ116" s="352" t="s">
        <v>417</v>
      </c>
    </row>
    <row r="117" spans="1:52" x14ac:dyDescent="0.25">
      <c r="A117" s="351" t="s">
        <v>418</v>
      </c>
      <c r="B117" s="352" t="s">
        <v>419</v>
      </c>
      <c r="C117" s="357">
        <v>99840000</v>
      </c>
      <c r="D117" s="357"/>
      <c r="E117" s="378"/>
      <c r="F117" s="375">
        <f t="shared" si="114"/>
        <v>99840000</v>
      </c>
      <c r="G117" s="142">
        <v>99840000</v>
      </c>
      <c r="H117" s="27">
        <v>8320000</v>
      </c>
      <c r="I117" s="27">
        <v>8320000</v>
      </c>
      <c r="J117" s="27">
        <v>8320000</v>
      </c>
      <c r="K117" s="27">
        <v>8320000</v>
      </c>
      <c r="L117" s="27">
        <v>8320000</v>
      </c>
      <c r="M117" s="27">
        <v>8320000</v>
      </c>
      <c r="N117" s="27">
        <v>8320000</v>
      </c>
      <c r="O117" s="27">
        <v>8320000</v>
      </c>
      <c r="P117" s="27">
        <v>8320000</v>
      </c>
      <c r="Q117" s="27">
        <v>8320000</v>
      </c>
      <c r="R117" s="143">
        <v>8320000</v>
      </c>
      <c r="S117" s="143">
        <v>8320000</v>
      </c>
      <c r="T117" s="27">
        <f t="shared" si="117"/>
        <v>83200000</v>
      </c>
      <c r="U117" s="48">
        <f t="shared" si="110"/>
        <v>99840000</v>
      </c>
      <c r="V117" s="391">
        <f t="shared" si="111"/>
        <v>99840000</v>
      </c>
      <c r="W117" s="391">
        <f t="shared" si="112"/>
        <v>0</v>
      </c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>
        <f t="shared" si="119"/>
        <v>0</v>
      </c>
      <c r="AK117" s="31">
        <v>0</v>
      </c>
      <c r="AM117" s="79">
        <f t="shared" si="144"/>
        <v>-1</v>
      </c>
      <c r="AN117" s="79">
        <f t="shared" si="145"/>
        <v>-1</v>
      </c>
      <c r="AO117" s="79">
        <f t="shared" si="146"/>
        <v>-1</v>
      </c>
      <c r="AP117" s="79">
        <f t="shared" si="147"/>
        <v>-1</v>
      </c>
      <c r="AQ117" s="79">
        <f t="shared" si="148"/>
        <v>-1</v>
      </c>
      <c r="AR117" s="79">
        <f t="shared" si="149"/>
        <v>-1</v>
      </c>
      <c r="AS117" s="79">
        <f t="shared" si="150"/>
        <v>-1</v>
      </c>
      <c r="AT117" s="79">
        <f t="shared" si="151"/>
        <v>-1</v>
      </c>
      <c r="AU117" s="79">
        <f t="shared" si="152"/>
        <v>-1</v>
      </c>
      <c r="AV117" s="79">
        <f t="shared" si="153"/>
        <v>-1</v>
      </c>
      <c r="AW117" s="79">
        <f t="shared" si="113"/>
        <v>-1</v>
      </c>
      <c r="AY117" s="351" t="s">
        <v>418</v>
      </c>
      <c r="AZ117" s="352" t="s">
        <v>419</v>
      </c>
    </row>
    <row r="118" spans="1:52" s="49" customFormat="1" x14ac:dyDescent="0.25">
      <c r="A118" s="351" t="s">
        <v>420</v>
      </c>
      <c r="B118" s="352" t="s">
        <v>421</v>
      </c>
      <c r="C118" s="357">
        <v>50400000</v>
      </c>
      <c r="D118" s="357"/>
      <c r="E118" s="378"/>
      <c r="F118" s="375">
        <f t="shared" si="114"/>
        <v>50400000</v>
      </c>
      <c r="G118" s="142">
        <v>50400000</v>
      </c>
      <c r="H118" s="27">
        <v>4200000</v>
      </c>
      <c r="I118" s="27">
        <v>4200000</v>
      </c>
      <c r="J118" s="27">
        <v>4200000</v>
      </c>
      <c r="K118" s="27">
        <v>4200000</v>
      </c>
      <c r="L118" s="27">
        <v>4200000</v>
      </c>
      <c r="M118" s="27">
        <v>4200000</v>
      </c>
      <c r="N118" s="27">
        <v>4200000</v>
      </c>
      <c r="O118" s="27">
        <v>4200000</v>
      </c>
      <c r="P118" s="27">
        <v>4200000</v>
      </c>
      <c r="Q118" s="27">
        <v>4200000</v>
      </c>
      <c r="R118" s="143">
        <v>4200000</v>
      </c>
      <c r="S118" s="143">
        <v>4200000</v>
      </c>
      <c r="T118" s="27">
        <f t="shared" si="117"/>
        <v>42000000</v>
      </c>
      <c r="U118" s="48">
        <f t="shared" si="110"/>
        <v>50400000</v>
      </c>
      <c r="V118" s="391">
        <f t="shared" si="111"/>
        <v>50400000</v>
      </c>
      <c r="W118" s="391">
        <f t="shared" si="112"/>
        <v>0</v>
      </c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>
        <f t="shared" si="119"/>
        <v>0</v>
      </c>
      <c r="AK118" s="31">
        <v>0</v>
      </c>
      <c r="AM118" s="79">
        <f t="shared" si="144"/>
        <v>-1</v>
      </c>
      <c r="AN118" s="79">
        <f t="shared" si="145"/>
        <v>-1</v>
      </c>
      <c r="AO118" s="79">
        <f t="shared" si="146"/>
        <v>-1</v>
      </c>
      <c r="AP118" s="79">
        <f t="shared" si="147"/>
        <v>-1</v>
      </c>
      <c r="AQ118" s="79">
        <f t="shared" si="148"/>
        <v>-1</v>
      </c>
      <c r="AR118" s="79">
        <f t="shared" si="149"/>
        <v>-1</v>
      </c>
      <c r="AS118" s="79">
        <f t="shared" si="150"/>
        <v>-1</v>
      </c>
      <c r="AT118" s="79">
        <f t="shared" si="151"/>
        <v>-1</v>
      </c>
      <c r="AU118" s="79">
        <f t="shared" si="152"/>
        <v>-1</v>
      </c>
      <c r="AV118" s="79">
        <f t="shared" si="153"/>
        <v>-1</v>
      </c>
      <c r="AW118" s="79">
        <f t="shared" si="113"/>
        <v>-1</v>
      </c>
      <c r="AX118" s="46"/>
      <c r="AY118" s="351" t="s">
        <v>420</v>
      </c>
      <c r="AZ118" s="352" t="s">
        <v>421</v>
      </c>
    </row>
    <row r="119" spans="1:52" s="49" customFormat="1" x14ac:dyDescent="0.25">
      <c r="A119" s="351" t="s">
        <v>422</v>
      </c>
      <c r="B119" s="352" t="s">
        <v>423</v>
      </c>
      <c r="C119" s="357">
        <v>36108804</v>
      </c>
      <c r="D119" s="357"/>
      <c r="E119" s="378"/>
      <c r="F119" s="375">
        <f t="shared" si="114"/>
        <v>36108804</v>
      </c>
      <c r="G119" s="142">
        <v>36108804</v>
      </c>
      <c r="H119" s="27">
        <v>3009067</v>
      </c>
      <c r="I119" s="27">
        <v>3009067</v>
      </c>
      <c r="J119" s="27">
        <v>3009067</v>
      </c>
      <c r="K119" s="27">
        <v>3009067</v>
      </c>
      <c r="L119" s="27">
        <v>3009067</v>
      </c>
      <c r="M119" s="27">
        <v>3009067</v>
      </c>
      <c r="N119" s="27">
        <v>3009067</v>
      </c>
      <c r="O119" s="27">
        <v>3009067</v>
      </c>
      <c r="P119" s="27">
        <v>3009067</v>
      </c>
      <c r="Q119" s="27">
        <v>3009067</v>
      </c>
      <c r="R119" s="143">
        <v>3009067</v>
      </c>
      <c r="S119" s="143">
        <v>3009067</v>
      </c>
      <c r="T119" s="27">
        <f t="shared" si="117"/>
        <v>30090670</v>
      </c>
      <c r="U119" s="48">
        <f t="shared" si="110"/>
        <v>36108804</v>
      </c>
      <c r="V119" s="391">
        <f t="shared" si="111"/>
        <v>36108804</v>
      </c>
      <c r="W119" s="391">
        <f t="shared" si="112"/>
        <v>0</v>
      </c>
      <c r="Y119" s="27"/>
      <c r="Z119" s="27"/>
      <c r="AA119" s="27"/>
      <c r="AB119" s="27"/>
      <c r="AC119" s="27"/>
      <c r="AD119" s="27">
        <v>239433</v>
      </c>
      <c r="AE119" s="27"/>
      <c r="AF119" s="27">
        <v>23797</v>
      </c>
      <c r="AG119" s="27"/>
      <c r="AH119" s="27">
        <v>169600</v>
      </c>
      <c r="AI119" s="27"/>
      <c r="AJ119" s="27">
        <f t="shared" si="119"/>
        <v>432830</v>
      </c>
      <c r="AK119" s="31">
        <v>239433</v>
      </c>
      <c r="AM119" s="79">
        <f t="shared" si="144"/>
        <v>-1</v>
      </c>
      <c r="AN119" s="79">
        <f t="shared" si="145"/>
        <v>-1</v>
      </c>
      <c r="AO119" s="79">
        <f t="shared" si="146"/>
        <v>-1</v>
      </c>
      <c r="AP119" s="79">
        <f t="shared" si="147"/>
        <v>-1</v>
      </c>
      <c r="AQ119" s="79">
        <f t="shared" si="148"/>
        <v>-1</v>
      </c>
      <c r="AR119" s="79">
        <f t="shared" si="149"/>
        <v>-0.92042948860892759</v>
      </c>
      <c r="AS119" s="79">
        <f t="shared" si="150"/>
        <v>-1</v>
      </c>
      <c r="AT119" s="79">
        <f t="shared" si="151"/>
        <v>-0.99209156858255398</v>
      </c>
      <c r="AU119" s="79">
        <f t="shared" si="152"/>
        <v>-1</v>
      </c>
      <c r="AV119" s="79">
        <f t="shared" si="153"/>
        <v>-0.94363701439682135</v>
      </c>
      <c r="AW119" s="79">
        <f t="shared" si="113"/>
        <v>-0.98561580715883035</v>
      </c>
      <c r="AY119" s="351" t="s">
        <v>422</v>
      </c>
      <c r="AZ119" s="352" t="s">
        <v>423</v>
      </c>
    </row>
    <row r="120" spans="1:52" s="49" customFormat="1" x14ac:dyDescent="0.25">
      <c r="A120" s="351" t="s">
        <v>424</v>
      </c>
      <c r="B120" s="352" t="s">
        <v>425</v>
      </c>
      <c r="C120" s="357">
        <v>220000000</v>
      </c>
      <c r="D120" s="357"/>
      <c r="E120" s="378"/>
      <c r="F120" s="375">
        <f t="shared" si="114"/>
        <v>220000000</v>
      </c>
      <c r="G120" s="142">
        <v>220000000</v>
      </c>
      <c r="H120" s="27">
        <v>0</v>
      </c>
      <c r="I120" s="27">
        <v>49000000</v>
      </c>
      <c r="J120" s="27">
        <v>6000000</v>
      </c>
      <c r="K120" s="27">
        <v>0</v>
      </c>
      <c r="L120" s="27">
        <v>49000000</v>
      </c>
      <c r="M120" s="27">
        <v>6000000</v>
      </c>
      <c r="N120" s="27">
        <v>0</v>
      </c>
      <c r="O120" s="27">
        <v>49000000</v>
      </c>
      <c r="P120" s="27">
        <v>6000000</v>
      </c>
      <c r="Q120" s="27">
        <v>0</v>
      </c>
      <c r="R120" s="143">
        <v>49000000</v>
      </c>
      <c r="S120" s="143">
        <v>6000000</v>
      </c>
      <c r="T120" s="27">
        <f t="shared" si="117"/>
        <v>165000000</v>
      </c>
      <c r="U120" s="48">
        <f t="shared" si="110"/>
        <v>220000000</v>
      </c>
      <c r="V120" s="391">
        <f t="shared" si="111"/>
        <v>220000000</v>
      </c>
      <c r="W120" s="391">
        <f t="shared" si="112"/>
        <v>0</v>
      </c>
      <c r="Y120" s="27">
        <f>18323240-100000</f>
        <v>18223240</v>
      </c>
      <c r="Z120" s="27">
        <v>2542970</v>
      </c>
      <c r="AA120" s="27"/>
      <c r="AB120" s="27"/>
      <c r="AC120" s="27"/>
      <c r="AD120" s="27"/>
      <c r="AE120" s="27"/>
      <c r="AF120" s="27"/>
      <c r="AG120" s="27"/>
      <c r="AH120" s="27"/>
      <c r="AI120" s="27"/>
      <c r="AJ120" s="27">
        <f t="shared" si="119"/>
        <v>20766210</v>
      </c>
      <c r="AK120" s="31">
        <v>20766210</v>
      </c>
      <c r="AM120" s="79" t="e">
        <f t="shared" si="144"/>
        <v>#DIV/0!</v>
      </c>
      <c r="AN120" s="79">
        <f t="shared" si="145"/>
        <v>-0.94810265306122454</v>
      </c>
      <c r="AO120" s="79">
        <f t="shared" si="146"/>
        <v>-1</v>
      </c>
      <c r="AP120" s="79" t="e">
        <f t="shared" si="147"/>
        <v>#DIV/0!</v>
      </c>
      <c r="AQ120" s="79">
        <f t="shared" si="148"/>
        <v>-1</v>
      </c>
      <c r="AR120" s="79">
        <f t="shared" si="149"/>
        <v>-1</v>
      </c>
      <c r="AS120" s="79" t="e">
        <f t="shared" si="150"/>
        <v>#DIV/0!</v>
      </c>
      <c r="AT120" s="79">
        <f t="shared" si="151"/>
        <v>-1</v>
      </c>
      <c r="AU120" s="79">
        <f t="shared" si="152"/>
        <v>-1</v>
      </c>
      <c r="AV120" s="79" t="e">
        <f t="shared" si="153"/>
        <v>#DIV/0!</v>
      </c>
      <c r="AW120" s="79">
        <f t="shared" si="113"/>
        <v>-0.87414418181818176</v>
      </c>
      <c r="AY120" s="351" t="s">
        <v>424</v>
      </c>
      <c r="AZ120" s="352" t="s">
        <v>425</v>
      </c>
    </row>
    <row r="121" spans="1:52" x14ac:dyDescent="0.25">
      <c r="A121" s="351" t="s">
        <v>426</v>
      </c>
      <c r="B121" s="352" t="s">
        <v>427</v>
      </c>
      <c r="C121" s="357">
        <v>12000000</v>
      </c>
      <c r="D121" s="357"/>
      <c r="E121" s="378"/>
      <c r="F121" s="375">
        <f t="shared" si="114"/>
        <v>12000000</v>
      </c>
      <c r="G121" s="142">
        <v>12000000</v>
      </c>
      <c r="H121" s="27">
        <v>0</v>
      </c>
      <c r="I121" s="27">
        <v>0</v>
      </c>
      <c r="J121" s="27">
        <v>3000000</v>
      </c>
      <c r="K121" s="27">
        <v>0</v>
      </c>
      <c r="L121" s="27">
        <v>3000000</v>
      </c>
      <c r="M121" s="27">
        <v>0</v>
      </c>
      <c r="N121" s="27">
        <v>0</v>
      </c>
      <c r="O121" s="27">
        <v>0</v>
      </c>
      <c r="P121" s="27">
        <v>3000000</v>
      </c>
      <c r="Q121" s="27">
        <v>0</v>
      </c>
      <c r="R121" s="143">
        <v>3000000</v>
      </c>
      <c r="S121" s="143">
        <v>0</v>
      </c>
      <c r="T121" s="27">
        <f t="shared" si="117"/>
        <v>9000000</v>
      </c>
      <c r="U121" s="48">
        <f t="shared" si="110"/>
        <v>12000000</v>
      </c>
      <c r="V121" s="391">
        <f t="shared" si="111"/>
        <v>12000000</v>
      </c>
      <c r="W121" s="391">
        <f t="shared" si="112"/>
        <v>0</v>
      </c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>
        <f t="shared" si="119"/>
        <v>0</v>
      </c>
      <c r="AK121" s="31">
        <v>0</v>
      </c>
      <c r="AM121" s="79" t="e">
        <f t="shared" si="144"/>
        <v>#DIV/0!</v>
      </c>
      <c r="AN121" s="79" t="e">
        <f t="shared" si="145"/>
        <v>#DIV/0!</v>
      </c>
      <c r="AO121" s="79">
        <f t="shared" si="146"/>
        <v>-1</v>
      </c>
      <c r="AP121" s="79" t="e">
        <f t="shared" si="147"/>
        <v>#DIV/0!</v>
      </c>
      <c r="AQ121" s="79">
        <f t="shared" si="148"/>
        <v>-1</v>
      </c>
      <c r="AR121" s="79" t="e">
        <f t="shared" si="149"/>
        <v>#DIV/0!</v>
      </c>
      <c r="AS121" s="79" t="e">
        <f t="shared" si="150"/>
        <v>#DIV/0!</v>
      </c>
      <c r="AT121" s="79" t="e">
        <f t="shared" si="151"/>
        <v>#DIV/0!</v>
      </c>
      <c r="AU121" s="79">
        <f t="shared" si="152"/>
        <v>-1</v>
      </c>
      <c r="AV121" s="79" t="e">
        <f t="shared" si="153"/>
        <v>#DIV/0!</v>
      </c>
      <c r="AW121" s="79">
        <f t="shared" si="113"/>
        <v>-1</v>
      </c>
      <c r="AX121" s="49"/>
      <c r="AY121" s="351" t="s">
        <v>426</v>
      </c>
      <c r="AZ121" s="352" t="s">
        <v>427</v>
      </c>
    </row>
    <row r="122" spans="1:52" x14ac:dyDescent="0.25">
      <c r="A122" s="351" t="s">
        <v>428</v>
      </c>
      <c r="B122" s="352" t="s">
        <v>429</v>
      </c>
      <c r="C122" s="357">
        <v>150000000</v>
      </c>
      <c r="D122" s="357"/>
      <c r="E122" s="378"/>
      <c r="F122" s="375">
        <f t="shared" si="114"/>
        <v>150000000</v>
      </c>
      <c r="G122" s="142">
        <v>150000000</v>
      </c>
      <c r="H122" s="27">
        <v>0</v>
      </c>
      <c r="I122" s="27">
        <v>0</v>
      </c>
      <c r="J122" s="27">
        <v>0</v>
      </c>
      <c r="K122" s="27">
        <v>0</v>
      </c>
      <c r="L122" s="27">
        <v>50000000</v>
      </c>
      <c r="M122" s="27">
        <v>0</v>
      </c>
      <c r="N122" s="27">
        <v>0</v>
      </c>
      <c r="O122" s="27">
        <v>0</v>
      </c>
      <c r="P122" s="27">
        <v>0</v>
      </c>
      <c r="Q122" s="27">
        <v>0</v>
      </c>
      <c r="R122" s="143">
        <v>100000000</v>
      </c>
      <c r="S122" s="143">
        <v>0</v>
      </c>
      <c r="T122" s="27">
        <f t="shared" si="117"/>
        <v>50000000</v>
      </c>
      <c r="U122" s="48">
        <f t="shared" si="110"/>
        <v>150000000</v>
      </c>
      <c r="V122" s="391">
        <f t="shared" si="111"/>
        <v>150000000</v>
      </c>
      <c r="W122" s="391">
        <f t="shared" si="112"/>
        <v>0</v>
      </c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>
        <f t="shared" si="119"/>
        <v>0</v>
      </c>
      <c r="AK122" s="31">
        <v>0</v>
      </c>
      <c r="AM122" s="79" t="e">
        <f t="shared" si="144"/>
        <v>#DIV/0!</v>
      </c>
      <c r="AN122" s="79" t="e">
        <f t="shared" si="145"/>
        <v>#DIV/0!</v>
      </c>
      <c r="AO122" s="79" t="e">
        <f t="shared" si="146"/>
        <v>#DIV/0!</v>
      </c>
      <c r="AP122" s="79" t="e">
        <f t="shared" si="147"/>
        <v>#DIV/0!</v>
      </c>
      <c r="AQ122" s="79">
        <f t="shared" si="148"/>
        <v>-1</v>
      </c>
      <c r="AR122" s="79" t="e">
        <f t="shared" si="149"/>
        <v>#DIV/0!</v>
      </c>
      <c r="AS122" s="79" t="e">
        <f t="shared" si="150"/>
        <v>#DIV/0!</v>
      </c>
      <c r="AT122" s="79" t="e">
        <f t="shared" si="151"/>
        <v>#DIV/0!</v>
      </c>
      <c r="AU122" s="79" t="e">
        <f t="shared" si="152"/>
        <v>#DIV/0!</v>
      </c>
      <c r="AV122" s="79" t="e">
        <f t="shared" si="153"/>
        <v>#DIV/0!</v>
      </c>
      <c r="AW122" s="79">
        <f t="shared" si="113"/>
        <v>-1</v>
      </c>
      <c r="AY122" s="351" t="s">
        <v>428</v>
      </c>
      <c r="AZ122" s="352" t="s">
        <v>429</v>
      </c>
    </row>
    <row r="123" spans="1:52" x14ac:dyDescent="0.25">
      <c r="A123" s="351" t="s">
        <v>430</v>
      </c>
      <c r="B123" s="352" t="s">
        <v>431</v>
      </c>
      <c r="C123" s="357"/>
      <c r="D123" s="357"/>
      <c r="E123" s="378"/>
      <c r="F123" s="375">
        <f t="shared" si="114"/>
        <v>0</v>
      </c>
      <c r="G123" s="142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143"/>
      <c r="S123" s="143"/>
      <c r="T123" s="27">
        <f t="shared" si="117"/>
        <v>0</v>
      </c>
      <c r="U123" s="48">
        <f t="shared" si="110"/>
        <v>0</v>
      </c>
      <c r="V123" s="391">
        <f t="shared" si="111"/>
        <v>0</v>
      </c>
      <c r="W123" s="391">
        <f t="shared" si="112"/>
        <v>0</v>
      </c>
      <c r="Y123" s="27">
        <v>3372085</v>
      </c>
      <c r="Z123" s="27">
        <v>6723482</v>
      </c>
      <c r="AA123" s="27"/>
      <c r="AB123" s="27">
        <v>2082211</v>
      </c>
      <c r="AC123" s="27">
        <v>2474994</v>
      </c>
      <c r="AD123" s="27">
        <v>26540876</v>
      </c>
      <c r="AE123" s="27">
        <v>8172295</v>
      </c>
      <c r="AF123" s="27">
        <v>3517345</v>
      </c>
      <c r="AG123" s="27">
        <v>286611</v>
      </c>
      <c r="AH123" s="27">
        <v>3818350</v>
      </c>
      <c r="AI123" s="27"/>
      <c r="AJ123" s="27">
        <f t="shared" si="119"/>
        <v>56988249</v>
      </c>
      <c r="AK123" s="31">
        <v>49365943</v>
      </c>
      <c r="AM123" s="79" t="e">
        <f t="shared" si="144"/>
        <v>#DIV/0!</v>
      </c>
      <c r="AN123" s="79" t="e">
        <f t="shared" si="145"/>
        <v>#DIV/0!</v>
      </c>
      <c r="AO123" s="79" t="e">
        <f t="shared" si="146"/>
        <v>#DIV/0!</v>
      </c>
      <c r="AP123" s="79" t="e">
        <f t="shared" si="147"/>
        <v>#DIV/0!</v>
      </c>
      <c r="AQ123" s="79" t="e">
        <f t="shared" si="148"/>
        <v>#DIV/0!</v>
      </c>
      <c r="AR123" s="79" t="e">
        <f t="shared" si="149"/>
        <v>#DIV/0!</v>
      </c>
      <c r="AS123" s="79" t="e">
        <f t="shared" si="150"/>
        <v>#DIV/0!</v>
      </c>
      <c r="AT123" s="79" t="e">
        <f t="shared" si="151"/>
        <v>#DIV/0!</v>
      </c>
      <c r="AU123" s="79" t="e">
        <f t="shared" si="152"/>
        <v>#DIV/0!</v>
      </c>
      <c r="AV123" s="79" t="e">
        <f t="shared" si="153"/>
        <v>#DIV/0!</v>
      </c>
      <c r="AW123" s="79" t="e">
        <f t="shared" si="113"/>
        <v>#DIV/0!</v>
      </c>
      <c r="AY123" s="351" t="s">
        <v>430</v>
      </c>
      <c r="AZ123" s="352" t="s">
        <v>431</v>
      </c>
    </row>
    <row r="124" spans="1:52" x14ac:dyDescent="0.25">
      <c r="A124" s="345" t="s">
        <v>432</v>
      </c>
      <c r="B124" s="346" t="s">
        <v>433</v>
      </c>
      <c r="C124" s="354">
        <f>+C125+C143</f>
        <v>81745252610</v>
      </c>
      <c r="D124" s="354">
        <f>+D125+D143</f>
        <v>4134710808</v>
      </c>
      <c r="E124" s="354">
        <f>+E125+E143</f>
        <v>0</v>
      </c>
      <c r="F124" s="354">
        <f>+F125+F143</f>
        <v>85879963418</v>
      </c>
      <c r="G124" s="180">
        <f>+G125</f>
        <v>81745252610</v>
      </c>
      <c r="H124" s="50">
        <f t="shared" ref="H124:R124" si="192">+H125+H143</f>
        <v>4529957578.4666672</v>
      </c>
      <c r="I124" s="50">
        <f t="shared" si="192"/>
        <v>8715811443.6000004</v>
      </c>
      <c r="J124" s="50">
        <f t="shared" si="192"/>
        <v>13035017482.466665</v>
      </c>
      <c r="K124" s="50">
        <f t="shared" si="192"/>
        <v>11564340393.466665</v>
      </c>
      <c r="L124" s="50">
        <f t="shared" si="192"/>
        <v>4529957578.4666672</v>
      </c>
      <c r="M124" s="50">
        <f t="shared" si="192"/>
        <v>8795433684.8500004</v>
      </c>
      <c r="N124" s="50">
        <f t="shared" si="192"/>
        <v>4691023326.7166672</v>
      </c>
      <c r="O124" s="50">
        <f t="shared" si="192"/>
        <v>5566449819.7166672</v>
      </c>
      <c r="P124" s="50">
        <f t="shared" si="192"/>
        <v>5640056477.7166672</v>
      </c>
      <c r="Q124" s="50">
        <f t="shared" si="192"/>
        <v>5566146610.4666672</v>
      </c>
      <c r="R124" s="50">
        <f t="shared" si="192"/>
        <v>4529957578.4666672</v>
      </c>
      <c r="S124" s="50">
        <f>+S125+S143</f>
        <v>8715811443.6000004</v>
      </c>
      <c r="T124" s="50">
        <f t="shared" si="117"/>
        <v>72634194395.933334</v>
      </c>
      <c r="U124" s="50">
        <f t="shared" ref="U124" si="193">+U125+U143</f>
        <v>85879963418.000015</v>
      </c>
      <c r="V124" s="50">
        <f>+V125+V143</f>
        <v>85879963418</v>
      </c>
      <c r="W124" s="391">
        <f t="shared" si="112"/>
        <v>0</v>
      </c>
      <c r="Y124" s="50">
        <f t="shared" ref="Y124:AG124" si="194">+Y125+Y143</f>
        <v>4275804192</v>
      </c>
      <c r="Z124" s="50">
        <f t="shared" si="194"/>
        <v>8547104361</v>
      </c>
      <c r="AA124" s="50">
        <f t="shared" si="194"/>
        <v>4368320834.4200001</v>
      </c>
      <c r="AB124" s="50">
        <f t="shared" si="194"/>
        <v>9000989856</v>
      </c>
      <c r="AC124" s="50">
        <f t="shared" si="194"/>
        <v>7970426310.0600004</v>
      </c>
      <c r="AD124" s="50">
        <f t="shared" si="194"/>
        <v>8021972438</v>
      </c>
      <c r="AE124" s="50">
        <f t="shared" si="194"/>
        <v>5669037887.8400002</v>
      </c>
      <c r="AF124" s="50">
        <f t="shared" si="194"/>
        <v>4285409138.4000001</v>
      </c>
      <c r="AG124" s="50">
        <f t="shared" si="194"/>
        <v>11471249178</v>
      </c>
      <c r="AH124" s="50">
        <v>4527453146.71</v>
      </c>
      <c r="AI124" s="50"/>
      <c r="AJ124" s="50">
        <f t="shared" si="119"/>
        <v>68137767342.429993</v>
      </c>
      <c r="AK124" s="50">
        <f t="shared" ref="AK124" si="195">+AK125</f>
        <v>44929290036.32</v>
      </c>
      <c r="AM124" s="79">
        <f t="shared" si="144"/>
        <v>-5.6105025723595152E-2</v>
      </c>
      <c r="AN124" s="79">
        <f t="shared" si="145"/>
        <v>-1.9356440153817416E-2</v>
      </c>
      <c r="AO124" s="79">
        <f t="shared" si="146"/>
        <v>-0.66487802258065198</v>
      </c>
      <c r="AP124" s="79">
        <f t="shared" si="147"/>
        <v>-0.22165990019758011</v>
      </c>
      <c r="AQ124" s="79">
        <f t="shared" si="148"/>
        <v>0.75949248353841936</v>
      </c>
      <c r="AR124" s="79">
        <f t="shared" si="149"/>
        <v>-8.7938954980955122E-2</v>
      </c>
      <c r="AS124" s="79">
        <f t="shared" si="150"/>
        <v>0.20848639902369942</v>
      </c>
      <c r="AT124" s="79">
        <f t="shared" si="151"/>
        <v>-0.23013603334375737</v>
      </c>
      <c r="AU124" s="79">
        <f t="shared" si="152"/>
        <v>1.0338890618067083</v>
      </c>
      <c r="AV124" s="79">
        <f t="shared" si="153"/>
        <v>-0.18660907382559633</v>
      </c>
      <c r="AW124" s="79">
        <f t="shared" si="113"/>
        <v>-6.1905099807303555E-2</v>
      </c>
      <c r="AY124" s="345" t="s">
        <v>432</v>
      </c>
      <c r="AZ124" s="346" t="s">
        <v>433</v>
      </c>
    </row>
    <row r="125" spans="1:52" s="49" customFormat="1" x14ac:dyDescent="0.25">
      <c r="A125" s="347" t="s">
        <v>434</v>
      </c>
      <c r="B125" s="348" t="s">
        <v>435</v>
      </c>
      <c r="C125" s="355">
        <f t="shared" ref="C125:F125" si="196">+C126</f>
        <v>81745252610</v>
      </c>
      <c r="D125" s="355">
        <f t="shared" si="196"/>
        <v>1923351239</v>
      </c>
      <c r="E125" s="355">
        <f t="shared" si="196"/>
        <v>0</v>
      </c>
      <c r="F125" s="355">
        <f t="shared" si="196"/>
        <v>83668603849</v>
      </c>
      <c r="G125" s="180">
        <f>+G126+G141</f>
        <v>81745252610</v>
      </c>
      <c r="H125" s="50">
        <f>+H126+H141</f>
        <v>4390948191.3000002</v>
      </c>
      <c r="I125" s="50">
        <f t="shared" ref="I125:S125" si="197">+I126+I141</f>
        <v>8576802056.4333334</v>
      </c>
      <c r="J125" s="50">
        <f t="shared" si="197"/>
        <v>12896008095.299999</v>
      </c>
      <c r="K125" s="50">
        <f t="shared" si="197"/>
        <v>11425331006.299999</v>
      </c>
      <c r="L125" s="50">
        <f t="shared" si="197"/>
        <v>4390948191.3000002</v>
      </c>
      <c r="M125" s="50">
        <f t="shared" si="197"/>
        <v>8656424297.6833344</v>
      </c>
      <c r="N125" s="50">
        <f t="shared" si="197"/>
        <v>4552013939.5500002</v>
      </c>
      <c r="O125" s="50">
        <f t="shared" si="197"/>
        <v>5427440432.5500002</v>
      </c>
      <c r="P125" s="50">
        <f t="shared" si="197"/>
        <v>5501047090.5500002</v>
      </c>
      <c r="Q125" s="50">
        <f t="shared" si="197"/>
        <v>4883890300.3000002</v>
      </c>
      <c r="R125" s="50">
        <f t="shared" si="197"/>
        <v>4390948191.3000002</v>
      </c>
      <c r="S125" s="50">
        <f t="shared" si="197"/>
        <v>8576802056.4333334</v>
      </c>
      <c r="T125" s="50">
        <f t="shared" si="117"/>
        <v>70700853601.266678</v>
      </c>
      <c r="U125" s="48">
        <f t="shared" si="110"/>
        <v>83668603849.000015</v>
      </c>
      <c r="V125" s="50">
        <f t="shared" ref="V125" si="198">+V126+V141</f>
        <v>83668603849</v>
      </c>
      <c r="W125" s="391">
        <f t="shared" si="112"/>
        <v>0</v>
      </c>
      <c r="Y125" s="50">
        <f t="shared" ref="Y125:AG125" si="199">+Y126+Y141</f>
        <v>4007869219</v>
      </c>
      <c r="Z125" s="50">
        <f t="shared" si="199"/>
        <v>8015738438</v>
      </c>
      <c r="AA125" s="50">
        <f t="shared" si="199"/>
        <v>4246648034.4200001</v>
      </c>
      <c r="AB125" s="50">
        <f t="shared" si="199"/>
        <v>9000989856</v>
      </c>
      <c r="AC125" s="50">
        <f t="shared" si="199"/>
        <v>7963426310.0600004</v>
      </c>
      <c r="AD125" s="50">
        <f t="shared" si="199"/>
        <v>8021972438</v>
      </c>
      <c r="AE125" s="50">
        <f t="shared" si="199"/>
        <v>5669037887.8400002</v>
      </c>
      <c r="AF125" s="50">
        <f t="shared" si="199"/>
        <v>4285409138.4000001</v>
      </c>
      <c r="AG125" s="50">
        <f t="shared" si="199"/>
        <v>10844691649</v>
      </c>
      <c r="AH125" s="50">
        <v>4368290543.71</v>
      </c>
      <c r="AI125" s="50"/>
      <c r="AJ125" s="50">
        <f t="shared" si="119"/>
        <v>66424073514.429993</v>
      </c>
      <c r="AK125" s="50">
        <f>+AK126+AK141+AK143</f>
        <v>44929290036.32</v>
      </c>
      <c r="AM125" s="79">
        <f t="shared" si="144"/>
        <v>-8.7242881402930975E-2</v>
      </c>
      <c r="AN125" s="79">
        <f t="shared" si="145"/>
        <v>-6.5416412171071123E-2</v>
      </c>
      <c r="AO125" s="79">
        <f t="shared" si="146"/>
        <v>-0.67070057625291757</v>
      </c>
      <c r="AP125" s="79">
        <f t="shared" si="147"/>
        <v>-0.21219001436047694</v>
      </c>
      <c r="AQ125" s="79">
        <f t="shared" si="148"/>
        <v>0.81360060814161406</v>
      </c>
      <c r="AR125" s="79">
        <f t="shared" si="149"/>
        <v>-7.3292601871783117E-2</v>
      </c>
      <c r="AS125" s="79">
        <f t="shared" si="150"/>
        <v>0.24539115282244192</v>
      </c>
      <c r="AT125" s="79">
        <f t="shared" si="151"/>
        <v>-0.21041802454447833</v>
      </c>
      <c r="AU125" s="79">
        <f t="shared" si="152"/>
        <v>0.97138680518289056</v>
      </c>
      <c r="AV125" s="79">
        <f t="shared" si="153"/>
        <v>-0.10557152697683006</v>
      </c>
      <c r="AW125" s="79">
        <f t="shared" si="113"/>
        <v>-6.0491208648717959E-2</v>
      </c>
      <c r="AX125" s="46"/>
      <c r="AY125" s="347" t="s">
        <v>434</v>
      </c>
      <c r="AZ125" s="348" t="s">
        <v>435</v>
      </c>
    </row>
    <row r="126" spans="1:52" s="77" customFormat="1" x14ac:dyDescent="0.25">
      <c r="A126" s="349" t="s">
        <v>436</v>
      </c>
      <c r="B126" s="350" t="s">
        <v>437</v>
      </c>
      <c r="C126" s="356">
        <f>+C127+C128+C129+C130+C131+C132+C133+C139+C140+C141</f>
        <v>81745252610</v>
      </c>
      <c r="D126" s="356">
        <f t="shared" ref="D126:F126" si="200">+D127+D128+D129+D130+D131+D132+D133+D139+D140+D141</f>
        <v>1923351239</v>
      </c>
      <c r="E126" s="356">
        <f t="shared" si="200"/>
        <v>0</v>
      </c>
      <c r="F126" s="356">
        <f t="shared" si="200"/>
        <v>83668603849</v>
      </c>
      <c r="G126" s="182">
        <f>SUM(G127:G133)</f>
        <v>80649929936</v>
      </c>
      <c r="H126" s="52">
        <f>+H127+H128+H129+H130+H131+H132+H133+H139+H140</f>
        <v>4299671301.8000002</v>
      </c>
      <c r="I126" s="52">
        <f t="shared" ref="I126:S126" si="201">+I127+I128+I129+I130+I131+I132+I133+I139+I140</f>
        <v>8485525166.9333334</v>
      </c>
      <c r="J126" s="52">
        <f t="shared" si="201"/>
        <v>12804731205.799999</v>
      </c>
      <c r="K126" s="52">
        <f t="shared" si="201"/>
        <v>11334054116.799999</v>
      </c>
      <c r="L126" s="52">
        <f t="shared" si="201"/>
        <v>4299671301.8000002</v>
      </c>
      <c r="M126" s="52">
        <f t="shared" si="201"/>
        <v>8565147408.1833334</v>
      </c>
      <c r="N126" s="52">
        <f t="shared" si="201"/>
        <v>4460737050.0500002</v>
      </c>
      <c r="O126" s="52">
        <f t="shared" si="201"/>
        <v>5336163543.0500002</v>
      </c>
      <c r="P126" s="52">
        <f t="shared" si="201"/>
        <v>5409770201.0500002</v>
      </c>
      <c r="Q126" s="52">
        <f t="shared" si="201"/>
        <v>4792613410.8000002</v>
      </c>
      <c r="R126" s="52">
        <f t="shared" si="201"/>
        <v>4299671301.8000002</v>
      </c>
      <c r="S126" s="52">
        <f t="shared" si="201"/>
        <v>8485525166.9333334</v>
      </c>
      <c r="T126" s="52">
        <f t="shared" si="117"/>
        <v>69788084706.266678</v>
      </c>
      <c r="U126" s="48">
        <f t="shared" si="110"/>
        <v>82573281175.000015</v>
      </c>
      <c r="V126" s="52">
        <f t="shared" ref="V126" si="202">+V127+V128+V129+V130+V131+V132+V133+V139+V140</f>
        <v>82573281175</v>
      </c>
      <c r="W126" s="391">
        <f t="shared" si="112"/>
        <v>-1095322674</v>
      </c>
      <c r="X126" s="78"/>
      <c r="Y126" s="52">
        <f t="shared" ref="Y126:AG126" si="203">+Y127+Y128+Y129+Y130+Y131+Y132+Y133+Y139+Y140</f>
        <v>4007869219</v>
      </c>
      <c r="Z126" s="52">
        <f t="shared" si="203"/>
        <v>8015738438</v>
      </c>
      <c r="AA126" s="52">
        <f t="shared" si="203"/>
        <v>4246648034.4200001</v>
      </c>
      <c r="AB126" s="52">
        <f t="shared" si="203"/>
        <v>8242184506</v>
      </c>
      <c r="AC126" s="52">
        <f t="shared" si="203"/>
        <v>7963426310.0600004</v>
      </c>
      <c r="AD126" s="52">
        <f t="shared" si="203"/>
        <v>8021972438</v>
      </c>
      <c r="AE126" s="52">
        <f t="shared" si="203"/>
        <v>5262200158.8400002</v>
      </c>
      <c r="AF126" s="52">
        <f t="shared" si="203"/>
        <v>4008354445.4000001</v>
      </c>
      <c r="AG126" s="52">
        <f t="shared" si="203"/>
        <v>10844691649</v>
      </c>
      <c r="AH126" s="52">
        <v>4368290543.71</v>
      </c>
      <c r="AI126" s="52"/>
      <c r="AJ126" s="52">
        <f t="shared" si="119"/>
        <v>64981375742.429993</v>
      </c>
      <c r="AK126" s="52">
        <f t="shared" ref="AK126" si="204">SUM(AK127:AK133)+AK139</f>
        <v>42835673261.32</v>
      </c>
      <c r="AL126" s="78"/>
      <c r="AM126" s="79">
        <f t="shared" si="144"/>
        <v>-6.7866137273758842E-2</v>
      </c>
      <c r="AN126" s="79">
        <f t="shared" si="145"/>
        <v>-5.5363306300005258E-2</v>
      </c>
      <c r="AO126" s="79">
        <f t="shared" si="146"/>
        <v>-0.66835320740692716</v>
      </c>
      <c r="AP126" s="79">
        <f t="shared" si="147"/>
        <v>-0.27279467513897332</v>
      </c>
      <c r="AQ126" s="79">
        <f t="shared" si="148"/>
        <v>0.85210118427569514</v>
      </c>
      <c r="AR126" s="79">
        <f t="shared" si="149"/>
        <v>-6.3416885232397968E-2</v>
      </c>
      <c r="AS126" s="79">
        <f t="shared" si="150"/>
        <v>0.17967055663615419</v>
      </c>
      <c r="AT126" s="79">
        <f t="shared" si="151"/>
        <v>-0.24883215946021436</v>
      </c>
      <c r="AU126" s="79">
        <f t="shared" si="152"/>
        <v>1.0046492264856497</v>
      </c>
      <c r="AV126" s="79">
        <f t="shared" si="153"/>
        <v>-8.8536844247400007E-2</v>
      </c>
      <c r="AW126" s="79">
        <f t="shared" si="113"/>
        <v>-6.8875782793979767E-2</v>
      </c>
      <c r="AX126" s="49"/>
      <c r="AY126" s="349" t="s">
        <v>436</v>
      </c>
      <c r="AZ126" s="350" t="s">
        <v>437</v>
      </c>
    </row>
    <row r="127" spans="1:52" s="49" customFormat="1" x14ac:dyDescent="0.25">
      <c r="A127" s="351" t="s">
        <v>438</v>
      </c>
      <c r="B127" s="352" t="s">
        <v>439</v>
      </c>
      <c r="C127" s="357">
        <v>62787807977</v>
      </c>
      <c r="D127" s="357"/>
      <c r="E127" s="378"/>
      <c r="F127" s="375">
        <f t="shared" si="114"/>
        <v>62787807977</v>
      </c>
      <c r="G127" s="185">
        <v>62787807977</v>
      </c>
      <c r="H127" s="27">
        <v>4185853865.1333332</v>
      </c>
      <c r="I127" s="27">
        <v>8371707730.2666664</v>
      </c>
      <c r="J127" s="27">
        <v>4185853865.1333332</v>
      </c>
      <c r="K127" s="27">
        <v>4185853865.1333332</v>
      </c>
      <c r="L127" s="27">
        <v>4185853865.1333332</v>
      </c>
      <c r="M127" s="27">
        <v>8371707730.2666664</v>
      </c>
      <c r="N127" s="27">
        <v>4185853865.1333332</v>
      </c>
      <c r="O127" s="27">
        <v>4185853865.1333332</v>
      </c>
      <c r="P127" s="27">
        <v>4185853865.1333332</v>
      </c>
      <c r="Q127" s="27">
        <v>4185853865.1333332</v>
      </c>
      <c r="R127" s="184">
        <v>4185853865.1333332</v>
      </c>
      <c r="S127" s="184">
        <v>8371707730.2666664</v>
      </c>
      <c r="T127" s="27">
        <f t="shared" si="117"/>
        <v>50230246381.599991</v>
      </c>
      <c r="U127" s="48">
        <f t="shared" si="110"/>
        <v>62787807976.999985</v>
      </c>
      <c r="V127" s="391">
        <f t="shared" si="111"/>
        <v>62787807977</v>
      </c>
      <c r="W127" s="391">
        <f t="shared" si="112"/>
        <v>0</v>
      </c>
      <c r="Y127" s="27">
        <v>4007869219</v>
      </c>
      <c r="Z127" s="27">
        <v>8015738438</v>
      </c>
      <c r="AA127" s="27">
        <v>4007869219</v>
      </c>
      <c r="AB127" s="27">
        <v>4007869219</v>
      </c>
      <c r="AC127" s="27">
        <v>6932235062</v>
      </c>
      <c r="AD127" s="27">
        <v>8015738438</v>
      </c>
      <c r="AE127" s="27">
        <v>4007869219</v>
      </c>
      <c r="AF127" s="27">
        <v>4007869219</v>
      </c>
      <c r="AG127" s="27">
        <v>4007869219</v>
      </c>
      <c r="AH127" s="27">
        <v>4357392698</v>
      </c>
      <c r="AI127" s="27"/>
      <c r="AJ127" s="27">
        <f t="shared" si="119"/>
        <v>51368319950</v>
      </c>
      <c r="AK127" s="76">
        <v>36070822971</v>
      </c>
      <c r="AM127" s="79">
        <f t="shared" si="144"/>
        <v>-4.2520511195071026E-2</v>
      </c>
      <c r="AN127" s="79">
        <f t="shared" si="145"/>
        <v>-4.2520511195071026E-2</v>
      </c>
      <c r="AO127" s="79">
        <f t="shared" si="146"/>
        <v>-4.2520511195071026E-2</v>
      </c>
      <c r="AP127" s="79">
        <f t="shared" si="147"/>
        <v>-4.2520511195071026E-2</v>
      </c>
      <c r="AQ127" s="79">
        <f t="shared" si="148"/>
        <v>0.65611014750014107</v>
      </c>
      <c r="AR127" s="79">
        <f t="shared" si="149"/>
        <v>-4.2520511195071026E-2</v>
      </c>
      <c r="AS127" s="79">
        <f t="shared" si="150"/>
        <v>-4.2520511195071026E-2</v>
      </c>
      <c r="AT127" s="79">
        <f t="shared" si="151"/>
        <v>-4.2520511195071026E-2</v>
      </c>
      <c r="AU127" s="79">
        <f t="shared" si="152"/>
        <v>-4.2520511195071026E-2</v>
      </c>
      <c r="AV127" s="79">
        <f t="shared" si="153"/>
        <v>4.0980607157723295E-2</v>
      </c>
      <c r="AW127" s="79">
        <f t="shared" si="113"/>
        <v>2.2657136892262997E-2</v>
      </c>
      <c r="AX127" s="77"/>
      <c r="AY127" s="351" t="s">
        <v>438</v>
      </c>
      <c r="AZ127" s="352" t="s">
        <v>439</v>
      </c>
    </row>
    <row r="128" spans="1:52" s="49" customFormat="1" x14ac:dyDescent="0.25">
      <c r="A128" s="351" t="s">
        <v>440</v>
      </c>
      <c r="B128" s="352" t="s">
        <v>441</v>
      </c>
      <c r="C128" s="357">
        <v>1334382815</v>
      </c>
      <c r="D128" s="357">
        <v>81443507</v>
      </c>
      <c r="E128" s="378"/>
      <c r="F128" s="375">
        <f t="shared" si="114"/>
        <v>1415826322</v>
      </c>
      <c r="G128" s="142">
        <v>1334382815</v>
      </c>
      <c r="H128" s="27">
        <v>0</v>
      </c>
      <c r="I128" s="27">
        <v>0</v>
      </c>
      <c r="J128" s="27">
        <v>0</v>
      </c>
      <c r="K128" s="27">
        <v>1334382815</v>
      </c>
      <c r="L128" s="27">
        <v>0</v>
      </c>
      <c r="M128" s="27">
        <v>0</v>
      </c>
      <c r="N128" s="27">
        <v>81443507</v>
      </c>
      <c r="O128" s="27">
        <v>0</v>
      </c>
      <c r="P128" s="27">
        <v>0</v>
      </c>
      <c r="Q128" s="27">
        <v>0</v>
      </c>
      <c r="R128" s="143">
        <v>0</v>
      </c>
      <c r="S128" s="143">
        <v>0</v>
      </c>
      <c r="T128" s="27">
        <f t="shared" si="117"/>
        <v>1415826322</v>
      </c>
      <c r="U128" s="48">
        <f t="shared" si="110"/>
        <v>1415826322</v>
      </c>
      <c r="V128" s="391">
        <f t="shared" si="111"/>
        <v>1415826322</v>
      </c>
      <c r="W128" s="391">
        <f t="shared" si="112"/>
        <v>0</v>
      </c>
      <c r="Y128" s="27"/>
      <c r="Z128" s="27"/>
      <c r="AA128" s="27"/>
      <c r="AB128" s="27">
        <v>1415826322</v>
      </c>
      <c r="AC128" s="27"/>
      <c r="AD128" s="27"/>
      <c r="AE128" s="27"/>
      <c r="AF128" s="27"/>
      <c r="AG128" s="27"/>
      <c r="AH128" s="27"/>
      <c r="AI128" s="27"/>
      <c r="AJ128" s="27">
        <f t="shared" si="119"/>
        <v>1415826322</v>
      </c>
      <c r="AK128" s="31">
        <v>1415826322</v>
      </c>
      <c r="AM128" s="79" t="e">
        <f t="shared" si="144"/>
        <v>#DIV/0!</v>
      </c>
      <c r="AN128" s="79" t="e">
        <f t="shared" si="145"/>
        <v>#DIV/0!</v>
      </c>
      <c r="AO128" s="79" t="e">
        <f t="shared" si="146"/>
        <v>#DIV/0!</v>
      </c>
      <c r="AP128" s="79">
        <f t="shared" si="147"/>
        <v>6.1034589238171504E-2</v>
      </c>
      <c r="AQ128" s="79" t="e">
        <f t="shared" si="148"/>
        <v>#DIV/0!</v>
      </c>
      <c r="AR128" s="79" t="e">
        <f t="shared" si="149"/>
        <v>#DIV/0!</v>
      </c>
      <c r="AS128" s="79">
        <f t="shared" si="150"/>
        <v>-1</v>
      </c>
      <c r="AT128" s="79" t="e">
        <f t="shared" si="151"/>
        <v>#DIV/0!</v>
      </c>
      <c r="AU128" s="79" t="e">
        <f t="shared" si="152"/>
        <v>#DIV/0!</v>
      </c>
      <c r="AV128" s="79" t="e">
        <f t="shared" si="153"/>
        <v>#DIV/0!</v>
      </c>
      <c r="AW128" s="79">
        <f t="shared" si="113"/>
        <v>0</v>
      </c>
      <c r="AY128" s="351" t="s">
        <v>440</v>
      </c>
      <c r="AZ128" s="352" t="s">
        <v>441</v>
      </c>
    </row>
    <row r="129" spans="1:52" s="49" customFormat="1" x14ac:dyDescent="0.25">
      <c r="A129" s="351" t="s">
        <v>442</v>
      </c>
      <c r="B129" s="352" t="s">
        <v>443</v>
      </c>
      <c r="C129" s="357">
        <v>956870000</v>
      </c>
      <c r="D129" s="357"/>
      <c r="E129" s="378"/>
      <c r="F129" s="375">
        <f t="shared" si="114"/>
        <v>956870000</v>
      </c>
      <c r="G129" s="142">
        <v>956870000</v>
      </c>
      <c r="H129" s="27">
        <v>0</v>
      </c>
      <c r="I129" s="27">
        <v>0</v>
      </c>
      <c r="J129" s="27">
        <v>0</v>
      </c>
      <c r="K129" s="27">
        <v>0</v>
      </c>
      <c r="L129" s="27">
        <v>0</v>
      </c>
      <c r="M129" s="27">
        <v>0</v>
      </c>
      <c r="N129" s="27">
        <v>0</v>
      </c>
      <c r="O129" s="27">
        <v>956870000</v>
      </c>
      <c r="P129" s="27">
        <v>0</v>
      </c>
      <c r="Q129" s="27">
        <v>0</v>
      </c>
      <c r="R129" s="143">
        <v>0</v>
      </c>
      <c r="S129" s="143">
        <v>0</v>
      </c>
      <c r="T129" s="27">
        <f t="shared" si="117"/>
        <v>956870000</v>
      </c>
      <c r="U129" s="48">
        <f t="shared" si="110"/>
        <v>956870000</v>
      </c>
      <c r="V129" s="391">
        <f t="shared" si="111"/>
        <v>956870000</v>
      </c>
      <c r="W129" s="391">
        <f t="shared" si="112"/>
        <v>0</v>
      </c>
      <c r="Y129" s="27"/>
      <c r="Z129" s="27"/>
      <c r="AA129" s="27"/>
      <c r="AB129" s="27"/>
      <c r="AC129" s="27"/>
      <c r="AD129" s="27"/>
      <c r="AE129" s="27">
        <v>1235953462</v>
      </c>
      <c r="AF129" s="27"/>
      <c r="AG129" s="27"/>
      <c r="AH129" s="27"/>
      <c r="AI129" s="27"/>
      <c r="AJ129" s="27">
        <f t="shared" si="119"/>
        <v>1235953462</v>
      </c>
      <c r="AK129" s="31">
        <v>1235953462</v>
      </c>
      <c r="AM129" s="79" t="e">
        <f t="shared" si="144"/>
        <v>#DIV/0!</v>
      </c>
      <c r="AN129" s="79" t="e">
        <f t="shared" si="145"/>
        <v>#DIV/0!</v>
      </c>
      <c r="AO129" s="79" t="e">
        <f t="shared" si="146"/>
        <v>#DIV/0!</v>
      </c>
      <c r="AP129" s="79" t="e">
        <f t="shared" si="147"/>
        <v>#DIV/0!</v>
      </c>
      <c r="AQ129" s="79" t="e">
        <f t="shared" si="148"/>
        <v>#DIV/0!</v>
      </c>
      <c r="AR129" s="79" t="e">
        <f t="shared" si="149"/>
        <v>#DIV/0!</v>
      </c>
      <c r="AS129" s="79" t="e">
        <f t="shared" si="150"/>
        <v>#DIV/0!</v>
      </c>
      <c r="AT129" s="79">
        <f t="shared" si="151"/>
        <v>-1</v>
      </c>
      <c r="AU129" s="79" t="e">
        <f t="shared" si="152"/>
        <v>#DIV/0!</v>
      </c>
      <c r="AV129" s="79" t="e">
        <f t="shared" si="153"/>
        <v>#DIV/0!</v>
      </c>
      <c r="AW129" s="79">
        <f t="shared" si="113"/>
        <v>0.29166288210519714</v>
      </c>
      <c r="AY129" s="351" t="s">
        <v>442</v>
      </c>
      <c r="AZ129" s="352" t="s">
        <v>443</v>
      </c>
    </row>
    <row r="130" spans="1:52" s="49" customFormat="1" x14ac:dyDescent="0.25">
      <c r="A130" s="351" t="s">
        <v>444</v>
      </c>
      <c r="B130" s="352" t="s">
        <v>445</v>
      </c>
      <c r="C130" s="357">
        <v>2500000000</v>
      </c>
      <c r="D130" s="357">
        <v>318488965</v>
      </c>
      <c r="E130" s="378"/>
      <c r="F130" s="375">
        <f t="shared" si="114"/>
        <v>2818488965</v>
      </c>
      <c r="G130" s="142">
        <v>2500000000</v>
      </c>
      <c r="H130" s="27">
        <v>0</v>
      </c>
      <c r="I130" s="27">
        <v>0</v>
      </c>
      <c r="J130" s="27">
        <v>0</v>
      </c>
      <c r="K130" s="27">
        <v>2500000000</v>
      </c>
      <c r="L130" s="27">
        <v>0</v>
      </c>
      <c r="M130" s="27">
        <v>79622241.25</v>
      </c>
      <c r="N130" s="27">
        <v>79622241.25</v>
      </c>
      <c r="O130" s="27">
        <v>79622241.25</v>
      </c>
      <c r="P130" s="27">
        <v>79622241.25</v>
      </c>
      <c r="Q130" s="27">
        <v>0</v>
      </c>
      <c r="R130" s="143">
        <v>0</v>
      </c>
      <c r="S130" s="143">
        <v>0</v>
      </c>
      <c r="T130" s="27">
        <f t="shared" si="117"/>
        <v>2818488965</v>
      </c>
      <c r="U130" s="48">
        <f t="shared" si="110"/>
        <v>2818488965</v>
      </c>
      <c r="V130" s="391">
        <f t="shared" si="111"/>
        <v>2818488965</v>
      </c>
      <c r="W130" s="391">
        <f t="shared" si="112"/>
        <v>0</v>
      </c>
      <c r="Y130" s="27"/>
      <c r="Z130" s="27"/>
      <c r="AA130" s="27"/>
      <c r="AB130" s="27">
        <v>2818488965</v>
      </c>
      <c r="AC130" s="27"/>
      <c r="AD130" s="27"/>
      <c r="AE130" s="27"/>
      <c r="AF130" s="27"/>
      <c r="AG130" s="27"/>
      <c r="AH130" s="27"/>
      <c r="AI130" s="27"/>
      <c r="AJ130" s="27">
        <f t="shared" si="119"/>
        <v>2818488965</v>
      </c>
      <c r="AK130" s="31">
        <v>2818488965</v>
      </c>
      <c r="AM130" s="79" t="e">
        <f t="shared" ref="AM130:AM159" si="205">(Y130-H130)/H130</f>
        <v>#DIV/0!</v>
      </c>
      <c r="AN130" s="79" t="e">
        <f t="shared" ref="AN130:AN159" si="206">(Z130-I130)/I130</f>
        <v>#DIV/0!</v>
      </c>
      <c r="AO130" s="79" t="e">
        <f t="shared" ref="AO130:AO159" si="207">(AA130-J130)/J130</f>
        <v>#DIV/0!</v>
      </c>
      <c r="AP130" s="79">
        <f t="shared" ref="AP130:AP159" si="208">(AB130-K130)/K130</f>
        <v>0.12739558600000001</v>
      </c>
      <c r="AQ130" s="79" t="e">
        <f t="shared" ref="AQ130:AQ159" si="209">(AC130-L130)/L130</f>
        <v>#DIV/0!</v>
      </c>
      <c r="AR130" s="79">
        <f t="shared" ref="AR130:AR159" si="210">(AD130-M130)/M130</f>
        <v>-1</v>
      </c>
      <c r="AS130" s="79">
        <f t="shared" ref="AS130:AS159" si="211">(AE130-N130)/N130</f>
        <v>-1</v>
      </c>
      <c r="AT130" s="79">
        <f t="shared" ref="AT130:AT159" si="212">(AF130-O130)/O130</f>
        <v>-1</v>
      </c>
      <c r="AU130" s="79">
        <f t="shared" ref="AU130:AU159" si="213">(AG130-P130)/P130</f>
        <v>-1</v>
      </c>
      <c r="AV130" s="79" t="e">
        <f t="shared" ref="AV130:AV159" si="214">(AH130-Q130)/Q130</f>
        <v>#DIV/0!</v>
      </c>
      <c r="AW130" s="79">
        <f t="shared" si="113"/>
        <v>0</v>
      </c>
      <c r="AY130" s="351" t="s">
        <v>444</v>
      </c>
      <c r="AZ130" s="352" t="s">
        <v>445</v>
      </c>
    </row>
    <row r="131" spans="1:52" x14ac:dyDescent="0.25">
      <c r="A131" s="351" t="s">
        <v>446</v>
      </c>
      <c r="B131" s="352" t="s">
        <v>447</v>
      </c>
      <c r="C131" s="357">
        <v>3200000000</v>
      </c>
      <c r="D131" s="357">
        <v>492942109</v>
      </c>
      <c r="E131" s="378"/>
      <c r="F131" s="375">
        <f t="shared" si="114"/>
        <v>3692942109</v>
      </c>
      <c r="G131" s="142">
        <v>3200000000</v>
      </c>
      <c r="H131" s="27">
        <v>0</v>
      </c>
      <c r="I131" s="27">
        <v>0</v>
      </c>
      <c r="J131" s="27">
        <v>0</v>
      </c>
      <c r="K131" s="27">
        <v>3200000000</v>
      </c>
      <c r="L131" s="27">
        <v>0</v>
      </c>
      <c r="M131" s="27">
        <v>0</v>
      </c>
      <c r="N131" s="27">
        <v>0</v>
      </c>
      <c r="O131" s="27"/>
      <c r="P131" s="27">
        <v>0</v>
      </c>
      <c r="Q131" s="27">
        <v>492942109</v>
      </c>
      <c r="R131" s="143">
        <v>0</v>
      </c>
      <c r="S131" s="143">
        <v>0</v>
      </c>
      <c r="T131" s="27">
        <f t="shared" si="117"/>
        <v>3692942109</v>
      </c>
      <c r="U131" s="48">
        <f t="shared" ref="U131:U182" si="215">SUM(H131:S131)</f>
        <v>3692942109</v>
      </c>
      <c r="V131" s="391">
        <f t="shared" ref="V131:V182" si="216">+F131</f>
        <v>3692942109</v>
      </c>
      <c r="W131" s="391">
        <f t="shared" ref="W131:W182" si="217">+V131-F131</f>
        <v>0</v>
      </c>
      <c r="Y131" s="27"/>
      <c r="Z131" s="27"/>
      <c r="AA131" s="27"/>
      <c r="AB131" s="27"/>
      <c r="AC131" s="27"/>
      <c r="AD131" s="27"/>
      <c r="AE131" s="27"/>
      <c r="AF131" s="27"/>
      <c r="AG131" s="27">
        <v>3692942109</v>
      </c>
      <c r="AH131" s="27"/>
      <c r="AI131" s="27"/>
      <c r="AJ131" s="27">
        <f t="shared" si="119"/>
        <v>3692942109</v>
      </c>
      <c r="AK131" s="31">
        <v>0</v>
      </c>
      <c r="AM131" s="79" t="e">
        <f t="shared" si="205"/>
        <v>#DIV/0!</v>
      </c>
      <c r="AN131" s="79" t="e">
        <f t="shared" si="206"/>
        <v>#DIV/0!</v>
      </c>
      <c r="AO131" s="79" t="e">
        <f t="shared" si="207"/>
        <v>#DIV/0!</v>
      </c>
      <c r="AP131" s="79">
        <f t="shared" si="208"/>
        <v>-1</v>
      </c>
      <c r="AQ131" s="79" t="e">
        <f t="shared" si="209"/>
        <v>#DIV/0!</v>
      </c>
      <c r="AR131" s="79" t="e">
        <f t="shared" si="210"/>
        <v>#DIV/0!</v>
      </c>
      <c r="AS131" s="79" t="e">
        <f t="shared" si="211"/>
        <v>#DIV/0!</v>
      </c>
      <c r="AT131" s="79" t="e">
        <f t="shared" si="212"/>
        <v>#DIV/0!</v>
      </c>
      <c r="AU131" s="79" t="e">
        <f t="shared" si="213"/>
        <v>#DIV/0!</v>
      </c>
      <c r="AV131" s="79">
        <f t="shared" si="214"/>
        <v>-1</v>
      </c>
      <c r="AW131" s="79">
        <f t="shared" si="113"/>
        <v>0</v>
      </c>
      <c r="AX131" s="49"/>
      <c r="AY131" s="351" t="s">
        <v>446</v>
      </c>
      <c r="AZ131" s="352" t="s">
        <v>447</v>
      </c>
    </row>
    <row r="132" spans="1:52" x14ac:dyDescent="0.25">
      <c r="A132" s="351" t="s">
        <v>448</v>
      </c>
      <c r="B132" s="352" t="s">
        <v>449</v>
      </c>
      <c r="C132" s="357">
        <v>8505059904</v>
      </c>
      <c r="D132" s="357"/>
      <c r="E132" s="378"/>
      <c r="F132" s="375">
        <f t="shared" si="114"/>
        <v>8505059904</v>
      </c>
      <c r="G132" s="142">
        <v>8505059904</v>
      </c>
      <c r="H132" s="27">
        <v>0</v>
      </c>
      <c r="I132" s="27">
        <v>0</v>
      </c>
      <c r="J132" s="27">
        <v>8505059904</v>
      </c>
      <c r="K132" s="27">
        <v>0</v>
      </c>
      <c r="L132" s="27">
        <v>0</v>
      </c>
      <c r="M132" s="27">
        <v>0</v>
      </c>
      <c r="N132" s="27">
        <v>0</v>
      </c>
      <c r="O132" s="27">
        <v>0</v>
      </c>
      <c r="P132" s="27">
        <v>0</v>
      </c>
      <c r="Q132" s="27">
        <v>0</v>
      </c>
      <c r="R132" s="143">
        <v>0</v>
      </c>
      <c r="S132" s="143">
        <v>0</v>
      </c>
      <c r="T132" s="27">
        <f t="shared" si="117"/>
        <v>8505059904</v>
      </c>
      <c r="U132" s="48">
        <f t="shared" si="215"/>
        <v>8505059904</v>
      </c>
      <c r="V132" s="391">
        <f t="shared" si="216"/>
        <v>8505059904</v>
      </c>
      <c r="W132" s="391">
        <f t="shared" si="217"/>
        <v>0</v>
      </c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>
        <f t="shared" si="119"/>
        <v>0</v>
      </c>
      <c r="AK132" s="31">
        <v>0</v>
      </c>
      <c r="AM132" s="79" t="e">
        <f t="shared" si="205"/>
        <v>#DIV/0!</v>
      </c>
      <c r="AN132" s="79" t="e">
        <f t="shared" si="206"/>
        <v>#DIV/0!</v>
      </c>
      <c r="AO132" s="79">
        <f t="shared" si="207"/>
        <v>-1</v>
      </c>
      <c r="AP132" s="79" t="e">
        <f t="shared" si="208"/>
        <v>#DIV/0!</v>
      </c>
      <c r="AQ132" s="79" t="e">
        <f t="shared" si="209"/>
        <v>#DIV/0!</v>
      </c>
      <c r="AR132" s="79" t="e">
        <f t="shared" si="210"/>
        <v>#DIV/0!</v>
      </c>
      <c r="AS132" s="79" t="e">
        <f t="shared" si="211"/>
        <v>#DIV/0!</v>
      </c>
      <c r="AT132" s="79" t="e">
        <f t="shared" si="212"/>
        <v>#DIV/0!</v>
      </c>
      <c r="AU132" s="79" t="e">
        <f t="shared" si="213"/>
        <v>#DIV/0!</v>
      </c>
      <c r="AV132" s="79" t="e">
        <f t="shared" si="214"/>
        <v>#DIV/0!</v>
      </c>
      <c r="AW132" s="79">
        <f t="shared" si="113"/>
        <v>-1</v>
      </c>
      <c r="AY132" s="351" t="s">
        <v>448</v>
      </c>
      <c r="AZ132" s="352" t="s">
        <v>449</v>
      </c>
    </row>
    <row r="133" spans="1:52" x14ac:dyDescent="0.25">
      <c r="A133" s="347" t="s">
        <v>450</v>
      </c>
      <c r="B133" s="348" t="s">
        <v>451</v>
      </c>
      <c r="C133" s="355">
        <f>+C134</f>
        <v>1365809240</v>
      </c>
      <c r="D133" s="355">
        <f t="shared" ref="D133:F134" si="218">+D134</f>
        <v>0</v>
      </c>
      <c r="E133" s="355">
        <f t="shared" si="218"/>
        <v>0</v>
      </c>
      <c r="F133" s="355">
        <f t="shared" si="218"/>
        <v>1365809240</v>
      </c>
      <c r="G133" s="180">
        <f>+G134</f>
        <v>1365809240</v>
      </c>
      <c r="H133" s="50">
        <f t="shared" ref="H133:AA134" si="219">+H134</f>
        <v>113817436.66666667</v>
      </c>
      <c r="I133" s="50">
        <f t="shared" si="219"/>
        <v>113817436.66666667</v>
      </c>
      <c r="J133" s="50">
        <f t="shared" si="219"/>
        <v>113817436.66666667</v>
      </c>
      <c r="K133" s="50">
        <f t="shared" si="219"/>
        <v>113817436.66666667</v>
      </c>
      <c r="L133" s="50">
        <f t="shared" si="219"/>
        <v>113817436.66666667</v>
      </c>
      <c r="M133" s="50">
        <f t="shared" si="219"/>
        <v>113817436.66666667</v>
      </c>
      <c r="N133" s="50">
        <f t="shared" si="219"/>
        <v>113817436.66666667</v>
      </c>
      <c r="O133" s="50">
        <f t="shared" si="219"/>
        <v>113817436.66666667</v>
      </c>
      <c r="P133" s="50">
        <f t="shared" si="219"/>
        <v>113817436.66666667</v>
      </c>
      <c r="Q133" s="50">
        <f t="shared" si="219"/>
        <v>113817436.66666667</v>
      </c>
      <c r="R133" s="50">
        <f t="shared" si="219"/>
        <v>113817436.66666667</v>
      </c>
      <c r="S133" s="50">
        <f t="shared" si="219"/>
        <v>113817436.66666667</v>
      </c>
      <c r="T133" s="50">
        <f t="shared" si="117"/>
        <v>1138174366.6666665</v>
      </c>
      <c r="U133" s="48">
        <f t="shared" si="215"/>
        <v>1365809240</v>
      </c>
      <c r="V133" s="391">
        <f t="shared" si="216"/>
        <v>1365809240</v>
      </c>
      <c r="W133" s="391">
        <f t="shared" si="217"/>
        <v>0</v>
      </c>
      <c r="Y133" s="50">
        <f t="shared" si="219"/>
        <v>0</v>
      </c>
      <c r="Z133" s="50">
        <f t="shared" si="219"/>
        <v>0</v>
      </c>
      <c r="AA133" s="50">
        <f t="shared" si="219"/>
        <v>238778815.41999999</v>
      </c>
      <c r="AB133" s="50">
        <f t="shared" ref="Y133:AG134" si="220">+AB134</f>
        <v>0</v>
      </c>
      <c r="AC133" s="50">
        <f t="shared" si="220"/>
        <v>714590.06</v>
      </c>
      <c r="AD133" s="50">
        <f t="shared" si="220"/>
        <v>6234000</v>
      </c>
      <c r="AE133" s="50">
        <f t="shared" si="220"/>
        <v>18377477.84</v>
      </c>
      <c r="AF133" s="50">
        <f t="shared" si="220"/>
        <v>485226.4</v>
      </c>
      <c r="AG133" s="50">
        <f t="shared" si="220"/>
        <v>0</v>
      </c>
      <c r="AH133" s="50">
        <v>10897845.710000001</v>
      </c>
      <c r="AI133" s="50"/>
      <c r="AJ133" s="50">
        <f t="shared" si="119"/>
        <v>275487955.43000001</v>
      </c>
      <c r="AK133" s="50">
        <f t="shared" ref="AK133:AK134" si="221">+AK134</f>
        <v>264104883.31999999</v>
      </c>
      <c r="AM133" s="79">
        <f t="shared" si="205"/>
        <v>-1</v>
      </c>
      <c r="AN133" s="79">
        <f t="shared" si="206"/>
        <v>-1</v>
      </c>
      <c r="AO133" s="79">
        <f t="shared" si="207"/>
        <v>1.0979106753150973</v>
      </c>
      <c r="AP133" s="79">
        <f t="shared" si="208"/>
        <v>-1</v>
      </c>
      <c r="AQ133" s="79">
        <f t="shared" si="209"/>
        <v>-0.99372161172375728</v>
      </c>
      <c r="AR133" s="79">
        <f t="shared" si="210"/>
        <v>-0.9452280759207633</v>
      </c>
      <c r="AS133" s="79">
        <f t="shared" si="211"/>
        <v>-0.83853547946417462</v>
      </c>
      <c r="AT133" s="79">
        <f t="shared" si="212"/>
        <v>-0.99573680084343252</v>
      </c>
      <c r="AU133" s="79">
        <f t="shared" si="213"/>
        <v>-1</v>
      </c>
      <c r="AV133" s="79">
        <f t="shared" si="214"/>
        <v>-0.90425152745342396</v>
      </c>
      <c r="AW133" s="79">
        <f t="shared" si="113"/>
        <v>-0.7579562820090453</v>
      </c>
      <c r="AY133" s="347" t="s">
        <v>450</v>
      </c>
      <c r="AZ133" s="348" t="s">
        <v>451</v>
      </c>
    </row>
    <row r="134" spans="1:52" x14ac:dyDescent="0.25">
      <c r="A134" s="347" t="s">
        <v>452</v>
      </c>
      <c r="B134" s="348" t="s">
        <v>453</v>
      </c>
      <c r="C134" s="355">
        <f>+C135</f>
        <v>1365809240</v>
      </c>
      <c r="D134" s="355">
        <f t="shared" si="218"/>
        <v>0</v>
      </c>
      <c r="E134" s="355">
        <f t="shared" si="218"/>
        <v>0</v>
      </c>
      <c r="F134" s="355">
        <f t="shared" si="218"/>
        <v>1365809240</v>
      </c>
      <c r="G134" s="180">
        <f>+G135</f>
        <v>1365809240</v>
      </c>
      <c r="H134" s="50">
        <f t="shared" si="219"/>
        <v>113817436.66666667</v>
      </c>
      <c r="I134" s="50">
        <f t="shared" si="219"/>
        <v>113817436.66666667</v>
      </c>
      <c r="J134" s="50">
        <f t="shared" si="219"/>
        <v>113817436.66666667</v>
      </c>
      <c r="K134" s="50">
        <f t="shared" si="219"/>
        <v>113817436.66666667</v>
      </c>
      <c r="L134" s="50">
        <f t="shared" si="219"/>
        <v>113817436.66666667</v>
      </c>
      <c r="M134" s="50">
        <f t="shared" si="219"/>
        <v>113817436.66666667</v>
      </c>
      <c r="N134" s="50">
        <f t="shared" si="219"/>
        <v>113817436.66666667</v>
      </c>
      <c r="O134" s="50">
        <f t="shared" si="219"/>
        <v>113817436.66666667</v>
      </c>
      <c r="P134" s="50">
        <f t="shared" si="219"/>
        <v>113817436.66666667</v>
      </c>
      <c r="Q134" s="50">
        <f t="shared" si="219"/>
        <v>113817436.66666667</v>
      </c>
      <c r="R134" s="50">
        <f t="shared" si="219"/>
        <v>113817436.66666667</v>
      </c>
      <c r="S134" s="50">
        <f t="shared" si="219"/>
        <v>113817436.66666667</v>
      </c>
      <c r="T134" s="50">
        <f t="shared" si="117"/>
        <v>1138174366.6666665</v>
      </c>
      <c r="U134" s="48">
        <f t="shared" si="215"/>
        <v>1365809240</v>
      </c>
      <c r="V134" s="391">
        <f t="shared" si="216"/>
        <v>1365809240</v>
      </c>
      <c r="W134" s="391">
        <f t="shared" si="217"/>
        <v>0</v>
      </c>
      <c r="Y134" s="50">
        <f t="shared" si="220"/>
        <v>0</v>
      </c>
      <c r="Z134" s="50">
        <f t="shared" si="220"/>
        <v>0</v>
      </c>
      <c r="AA134" s="50">
        <f t="shared" si="220"/>
        <v>238778815.41999999</v>
      </c>
      <c r="AB134" s="50">
        <f t="shared" si="220"/>
        <v>0</v>
      </c>
      <c r="AC134" s="50">
        <f t="shared" si="220"/>
        <v>714590.06</v>
      </c>
      <c r="AD134" s="50">
        <f t="shared" si="220"/>
        <v>6234000</v>
      </c>
      <c r="AE134" s="50">
        <f t="shared" si="220"/>
        <v>18377477.84</v>
      </c>
      <c r="AF134" s="50">
        <f t="shared" si="220"/>
        <v>485226.4</v>
      </c>
      <c r="AG134" s="50">
        <f t="shared" si="220"/>
        <v>0</v>
      </c>
      <c r="AH134" s="50">
        <v>10897845.710000001</v>
      </c>
      <c r="AI134" s="50"/>
      <c r="AJ134" s="50">
        <f t="shared" si="119"/>
        <v>275487955.43000001</v>
      </c>
      <c r="AK134" s="50">
        <f t="shared" si="221"/>
        <v>264104883.31999999</v>
      </c>
      <c r="AM134" s="79">
        <f t="shared" si="205"/>
        <v>-1</v>
      </c>
      <c r="AN134" s="79">
        <f t="shared" si="206"/>
        <v>-1</v>
      </c>
      <c r="AO134" s="79">
        <f t="shared" si="207"/>
        <v>1.0979106753150973</v>
      </c>
      <c r="AP134" s="79">
        <f t="shared" si="208"/>
        <v>-1</v>
      </c>
      <c r="AQ134" s="79">
        <f t="shared" si="209"/>
        <v>-0.99372161172375728</v>
      </c>
      <c r="AR134" s="79">
        <f t="shared" si="210"/>
        <v>-0.9452280759207633</v>
      </c>
      <c r="AS134" s="79">
        <f t="shared" si="211"/>
        <v>-0.83853547946417462</v>
      </c>
      <c r="AT134" s="79">
        <f t="shared" si="212"/>
        <v>-0.99573680084343252</v>
      </c>
      <c r="AU134" s="79">
        <f t="shared" si="213"/>
        <v>-1</v>
      </c>
      <c r="AV134" s="79">
        <f t="shared" si="214"/>
        <v>-0.90425152745342396</v>
      </c>
      <c r="AW134" s="79">
        <f t="shared" si="113"/>
        <v>-0.7579562820090453</v>
      </c>
      <c r="AY134" s="347" t="s">
        <v>452</v>
      </c>
      <c r="AZ134" s="348" t="s">
        <v>453</v>
      </c>
    </row>
    <row r="135" spans="1:52" x14ac:dyDescent="0.25">
      <c r="A135" s="349" t="s">
        <v>454</v>
      </c>
      <c r="B135" s="350" t="s">
        <v>455</v>
      </c>
      <c r="C135" s="356">
        <f>+C136+C137+C138</f>
        <v>1365809240</v>
      </c>
      <c r="D135" s="356">
        <f t="shared" ref="D135:F135" si="222">+D136+D137+D138</f>
        <v>0</v>
      </c>
      <c r="E135" s="356">
        <f t="shared" si="222"/>
        <v>0</v>
      </c>
      <c r="F135" s="356">
        <f t="shared" si="222"/>
        <v>1365809240</v>
      </c>
      <c r="G135" s="182">
        <f>+G136+G137+G138</f>
        <v>1365809240</v>
      </c>
      <c r="H135" s="52">
        <f t="shared" ref="H135" si="223">+H136+H137+H138</f>
        <v>113817436.66666667</v>
      </c>
      <c r="I135" s="52">
        <f t="shared" ref="I135:S135" si="224">+I136+I137+I138</f>
        <v>113817436.66666667</v>
      </c>
      <c r="J135" s="52">
        <f t="shared" si="224"/>
        <v>113817436.66666667</v>
      </c>
      <c r="K135" s="52">
        <f t="shared" si="224"/>
        <v>113817436.66666667</v>
      </c>
      <c r="L135" s="52">
        <f t="shared" si="224"/>
        <v>113817436.66666667</v>
      </c>
      <c r="M135" s="52">
        <f t="shared" si="224"/>
        <v>113817436.66666667</v>
      </c>
      <c r="N135" s="52">
        <f t="shared" si="224"/>
        <v>113817436.66666667</v>
      </c>
      <c r="O135" s="52">
        <f t="shared" si="224"/>
        <v>113817436.66666667</v>
      </c>
      <c r="P135" s="52">
        <f t="shared" si="224"/>
        <v>113817436.66666667</v>
      </c>
      <c r="Q135" s="52">
        <f t="shared" si="224"/>
        <v>113817436.66666667</v>
      </c>
      <c r="R135" s="52">
        <f t="shared" si="224"/>
        <v>113817436.66666667</v>
      </c>
      <c r="S135" s="52">
        <f t="shared" si="224"/>
        <v>113817436.66666667</v>
      </c>
      <c r="T135" s="52">
        <f t="shared" si="117"/>
        <v>1138174366.6666665</v>
      </c>
      <c r="U135" s="48">
        <f t="shared" si="215"/>
        <v>1365809240</v>
      </c>
      <c r="V135" s="391">
        <f t="shared" si="216"/>
        <v>1365809240</v>
      </c>
      <c r="W135" s="391">
        <f t="shared" si="217"/>
        <v>0</v>
      </c>
      <c r="Y135" s="52">
        <f t="shared" ref="Y135:AG135" si="225">+Y136+Y137+Y138</f>
        <v>0</v>
      </c>
      <c r="Z135" s="52">
        <f t="shared" si="225"/>
        <v>0</v>
      </c>
      <c r="AA135" s="52">
        <f t="shared" si="225"/>
        <v>238778815.41999999</v>
      </c>
      <c r="AB135" s="52">
        <f t="shared" si="225"/>
        <v>0</v>
      </c>
      <c r="AC135" s="52">
        <f t="shared" si="225"/>
        <v>714590.06</v>
      </c>
      <c r="AD135" s="52">
        <f t="shared" si="225"/>
        <v>6234000</v>
      </c>
      <c r="AE135" s="52">
        <f t="shared" si="225"/>
        <v>18377477.84</v>
      </c>
      <c r="AF135" s="52">
        <f t="shared" si="225"/>
        <v>485226.4</v>
      </c>
      <c r="AG135" s="52">
        <f t="shared" si="225"/>
        <v>0</v>
      </c>
      <c r="AH135" s="52">
        <v>10897845.710000001</v>
      </c>
      <c r="AI135" s="52"/>
      <c r="AJ135" s="52">
        <f t="shared" si="119"/>
        <v>275487955.43000001</v>
      </c>
      <c r="AK135" s="52">
        <f t="shared" ref="AK135" si="226">+AK136+AK137+AK138</f>
        <v>264104883.31999999</v>
      </c>
      <c r="AM135" s="79">
        <f t="shared" si="205"/>
        <v>-1</v>
      </c>
      <c r="AN135" s="79">
        <f t="shared" si="206"/>
        <v>-1</v>
      </c>
      <c r="AO135" s="79">
        <f t="shared" si="207"/>
        <v>1.0979106753150973</v>
      </c>
      <c r="AP135" s="79">
        <f t="shared" si="208"/>
        <v>-1</v>
      </c>
      <c r="AQ135" s="79">
        <f t="shared" si="209"/>
        <v>-0.99372161172375728</v>
      </c>
      <c r="AR135" s="79">
        <f t="shared" si="210"/>
        <v>-0.9452280759207633</v>
      </c>
      <c r="AS135" s="79">
        <f t="shared" si="211"/>
        <v>-0.83853547946417462</v>
      </c>
      <c r="AT135" s="79">
        <f t="shared" si="212"/>
        <v>-0.99573680084343252</v>
      </c>
      <c r="AU135" s="79">
        <f t="shared" si="213"/>
        <v>-1</v>
      </c>
      <c r="AV135" s="79">
        <f t="shared" si="214"/>
        <v>-0.90425152745342396</v>
      </c>
      <c r="AW135" s="79">
        <f t="shared" si="113"/>
        <v>-0.7579562820090453</v>
      </c>
      <c r="AY135" s="349" t="s">
        <v>454</v>
      </c>
      <c r="AZ135" s="350" t="s">
        <v>455</v>
      </c>
    </row>
    <row r="136" spans="1:52" x14ac:dyDescent="0.25">
      <c r="A136" s="351" t="s">
        <v>456</v>
      </c>
      <c r="B136" s="352" t="s">
        <v>457</v>
      </c>
      <c r="C136" s="357">
        <v>515924814</v>
      </c>
      <c r="D136" s="357"/>
      <c r="E136" s="378"/>
      <c r="F136" s="375">
        <f t="shared" si="114"/>
        <v>515924814</v>
      </c>
      <c r="G136" s="142">
        <v>515924814</v>
      </c>
      <c r="H136" s="27">
        <v>42993734.5</v>
      </c>
      <c r="I136" s="27">
        <v>42993734.5</v>
      </c>
      <c r="J136" s="27">
        <v>42993734.5</v>
      </c>
      <c r="K136" s="27">
        <v>42993734.5</v>
      </c>
      <c r="L136" s="27">
        <v>42993734.5</v>
      </c>
      <c r="M136" s="27">
        <v>42993734.5</v>
      </c>
      <c r="N136" s="27">
        <v>42993734.5</v>
      </c>
      <c r="O136" s="27">
        <v>42993734.5</v>
      </c>
      <c r="P136" s="27">
        <v>42993734.5</v>
      </c>
      <c r="Q136" s="27">
        <v>42993734.5</v>
      </c>
      <c r="R136" s="143">
        <v>42993734.5</v>
      </c>
      <c r="S136" s="143">
        <v>42993734.5</v>
      </c>
      <c r="T136" s="27">
        <f t="shared" si="117"/>
        <v>429937345</v>
      </c>
      <c r="U136" s="48">
        <f t="shared" si="215"/>
        <v>515924814</v>
      </c>
      <c r="V136" s="391">
        <f t="shared" si="216"/>
        <v>515924814</v>
      </c>
      <c r="W136" s="391">
        <f t="shared" si="217"/>
        <v>0</v>
      </c>
      <c r="Y136" s="27"/>
      <c r="Z136" s="27"/>
      <c r="AA136" s="27">
        <v>238778815.41999999</v>
      </c>
      <c r="AB136" s="27"/>
      <c r="AC136" s="27">
        <v>714590.06</v>
      </c>
      <c r="AD136" s="27">
        <v>6234000</v>
      </c>
      <c r="AE136" s="27">
        <v>18377477.84</v>
      </c>
      <c r="AF136" s="27">
        <v>485226.4</v>
      </c>
      <c r="AG136" s="27"/>
      <c r="AH136" s="27">
        <v>10897845.710000001</v>
      </c>
      <c r="AI136" s="27"/>
      <c r="AJ136" s="27">
        <f t="shared" si="119"/>
        <v>275487955.43000001</v>
      </c>
      <c r="AK136" s="31">
        <v>264104883.31999999</v>
      </c>
      <c r="AM136" s="79">
        <f t="shared" si="205"/>
        <v>-1</v>
      </c>
      <c r="AN136" s="79">
        <f t="shared" si="206"/>
        <v>-1</v>
      </c>
      <c r="AO136" s="79">
        <f t="shared" si="207"/>
        <v>4.5538049484861567</v>
      </c>
      <c r="AP136" s="79">
        <f t="shared" si="208"/>
        <v>-1</v>
      </c>
      <c r="AQ136" s="79">
        <f t="shared" si="209"/>
        <v>-0.98337920470714169</v>
      </c>
      <c r="AR136" s="79">
        <f t="shared" si="210"/>
        <v>-0.85500212827522581</v>
      </c>
      <c r="AS136" s="79">
        <f t="shared" si="211"/>
        <v>-0.57255451163471272</v>
      </c>
      <c r="AT136" s="79">
        <f t="shared" si="212"/>
        <v>-0.98871402064410108</v>
      </c>
      <c r="AU136" s="79">
        <f t="shared" si="213"/>
        <v>-1</v>
      </c>
      <c r="AV136" s="79">
        <f t="shared" si="214"/>
        <v>-0.74652479397899241</v>
      </c>
      <c r="AW136" s="79">
        <f t="shared" si="113"/>
        <v>-0.3592369710754017</v>
      </c>
      <c r="AY136" s="351" t="s">
        <v>456</v>
      </c>
      <c r="AZ136" s="352" t="s">
        <v>457</v>
      </c>
    </row>
    <row r="137" spans="1:52" x14ac:dyDescent="0.25">
      <c r="A137" s="351" t="s">
        <v>458</v>
      </c>
      <c r="B137" s="352" t="s">
        <v>459</v>
      </c>
      <c r="C137" s="357">
        <v>474667785</v>
      </c>
      <c r="D137" s="357"/>
      <c r="E137" s="378"/>
      <c r="F137" s="375">
        <f t="shared" si="114"/>
        <v>474667785</v>
      </c>
      <c r="G137" s="142">
        <v>474667785</v>
      </c>
      <c r="H137" s="27">
        <v>39555648.75</v>
      </c>
      <c r="I137" s="27">
        <v>39555648.75</v>
      </c>
      <c r="J137" s="27">
        <v>39555648.75</v>
      </c>
      <c r="K137" s="27">
        <v>39555648.75</v>
      </c>
      <c r="L137" s="27">
        <v>39555648.75</v>
      </c>
      <c r="M137" s="27">
        <v>39555648.75</v>
      </c>
      <c r="N137" s="27">
        <v>39555648.75</v>
      </c>
      <c r="O137" s="27">
        <v>39555648.75</v>
      </c>
      <c r="P137" s="27">
        <v>39555648.75</v>
      </c>
      <c r="Q137" s="27">
        <v>39555648.75</v>
      </c>
      <c r="R137" s="143">
        <v>39555648.75</v>
      </c>
      <c r="S137" s="143">
        <v>39555648.75</v>
      </c>
      <c r="T137" s="27">
        <f t="shared" si="117"/>
        <v>395556487.5</v>
      </c>
      <c r="U137" s="48">
        <f t="shared" si="215"/>
        <v>474667785</v>
      </c>
      <c r="V137" s="391">
        <f t="shared" si="216"/>
        <v>474667785</v>
      </c>
      <c r="W137" s="391">
        <f t="shared" si="217"/>
        <v>0</v>
      </c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>
        <f t="shared" si="119"/>
        <v>0</v>
      </c>
      <c r="AK137" s="31">
        <v>0</v>
      </c>
      <c r="AM137" s="79">
        <f t="shared" si="205"/>
        <v>-1</v>
      </c>
      <c r="AN137" s="79">
        <f t="shared" si="206"/>
        <v>-1</v>
      </c>
      <c r="AO137" s="79">
        <f t="shared" si="207"/>
        <v>-1</v>
      </c>
      <c r="AP137" s="79">
        <f t="shared" si="208"/>
        <v>-1</v>
      </c>
      <c r="AQ137" s="79">
        <f t="shared" si="209"/>
        <v>-1</v>
      </c>
      <c r="AR137" s="79">
        <f t="shared" si="210"/>
        <v>-1</v>
      </c>
      <c r="AS137" s="79">
        <f t="shared" si="211"/>
        <v>-1</v>
      </c>
      <c r="AT137" s="79">
        <f t="shared" si="212"/>
        <v>-1</v>
      </c>
      <c r="AU137" s="79">
        <f t="shared" si="213"/>
        <v>-1</v>
      </c>
      <c r="AV137" s="79">
        <f t="shared" si="214"/>
        <v>-1</v>
      </c>
      <c r="AW137" s="79">
        <f t="shared" si="113"/>
        <v>-1</v>
      </c>
      <c r="AY137" s="351" t="s">
        <v>458</v>
      </c>
      <c r="AZ137" s="352" t="s">
        <v>459</v>
      </c>
    </row>
    <row r="138" spans="1:52" x14ac:dyDescent="0.25">
      <c r="A138" s="351" t="s">
        <v>460</v>
      </c>
      <c r="B138" s="352" t="s">
        <v>461</v>
      </c>
      <c r="C138" s="357">
        <v>375216641</v>
      </c>
      <c r="D138" s="357"/>
      <c r="E138" s="378"/>
      <c r="F138" s="375">
        <f t="shared" si="114"/>
        <v>375216641</v>
      </c>
      <c r="G138" s="142">
        <v>375216641</v>
      </c>
      <c r="H138" s="27">
        <v>31268053.416666668</v>
      </c>
      <c r="I138" s="27">
        <v>31268053.416666668</v>
      </c>
      <c r="J138" s="27">
        <v>31268053.416666668</v>
      </c>
      <c r="K138" s="27">
        <v>31268053.416666668</v>
      </c>
      <c r="L138" s="27">
        <v>31268053.416666668</v>
      </c>
      <c r="M138" s="27">
        <v>31268053.416666668</v>
      </c>
      <c r="N138" s="27">
        <v>31268053.416666668</v>
      </c>
      <c r="O138" s="27">
        <v>31268053.416666668</v>
      </c>
      <c r="P138" s="27">
        <v>31268053.416666668</v>
      </c>
      <c r="Q138" s="27">
        <v>31268053.416666668</v>
      </c>
      <c r="R138" s="143">
        <v>31268053.416666668</v>
      </c>
      <c r="S138" s="143">
        <v>31268053.416666668</v>
      </c>
      <c r="T138" s="27">
        <f t="shared" si="117"/>
        <v>312680534.16666669</v>
      </c>
      <c r="U138" s="48">
        <f t="shared" si="215"/>
        <v>375216641.00000006</v>
      </c>
      <c r="V138" s="391">
        <f t="shared" si="216"/>
        <v>375216641</v>
      </c>
      <c r="W138" s="391">
        <f t="shared" si="217"/>
        <v>0</v>
      </c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>
        <f t="shared" si="119"/>
        <v>0</v>
      </c>
      <c r="AK138" s="31">
        <v>0</v>
      </c>
      <c r="AM138" s="79">
        <f t="shared" si="205"/>
        <v>-1</v>
      </c>
      <c r="AN138" s="79">
        <f t="shared" si="206"/>
        <v>-1</v>
      </c>
      <c r="AO138" s="79">
        <f t="shared" si="207"/>
        <v>-1</v>
      </c>
      <c r="AP138" s="79">
        <f t="shared" si="208"/>
        <v>-1</v>
      </c>
      <c r="AQ138" s="79">
        <f t="shared" si="209"/>
        <v>-1</v>
      </c>
      <c r="AR138" s="79">
        <f t="shared" si="210"/>
        <v>-1</v>
      </c>
      <c r="AS138" s="79">
        <f t="shared" si="211"/>
        <v>-1</v>
      </c>
      <c r="AT138" s="79">
        <f t="shared" si="212"/>
        <v>-1</v>
      </c>
      <c r="AU138" s="79">
        <f t="shared" si="213"/>
        <v>-1</v>
      </c>
      <c r="AV138" s="79">
        <f t="shared" si="214"/>
        <v>-1</v>
      </c>
      <c r="AW138" s="79">
        <f t="shared" si="113"/>
        <v>-1</v>
      </c>
      <c r="AY138" s="351" t="s">
        <v>460</v>
      </c>
      <c r="AZ138" s="352" t="s">
        <v>461</v>
      </c>
    </row>
    <row r="139" spans="1:52" x14ac:dyDescent="0.25">
      <c r="A139" s="351" t="s">
        <v>887</v>
      </c>
      <c r="B139" s="352" t="s">
        <v>888</v>
      </c>
      <c r="C139" s="357">
        <v>0</v>
      </c>
      <c r="D139" s="357">
        <v>1030476658</v>
      </c>
      <c r="E139" s="378"/>
      <c r="F139" s="375">
        <f t="shared" si="114"/>
        <v>1030476658</v>
      </c>
      <c r="G139" s="142"/>
      <c r="H139" s="27"/>
      <c r="I139" s="27"/>
      <c r="J139" s="27"/>
      <c r="K139" s="27"/>
      <c r="L139" s="27"/>
      <c r="M139" s="27"/>
      <c r="N139" s="27"/>
      <c r="O139" s="27"/>
      <c r="P139" s="27">
        <v>1030476658</v>
      </c>
      <c r="Q139" s="27"/>
      <c r="R139" s="143"/>
      <c r="S139" s="143"/>
      <c r="T139" s="27">
        <f t="shared" si="117"/>
        <v>1030476658</v>
      </c>
      <c r="U139" s="48">
        <f t="shared" si="215"/>
        <v>1030476658</v>
      </c>
      <c r="V139" s="391">
        <f t="shared" si="216"/>
        <v>1030476658</v>
      </c>
      <c r="W139" s="391">
        <f t="shared" si="217"/>
        <v>0</v>
      </c>
      <c r="Y139" s="27"/>
      <c r="Z139" s="27">
        <f t="shared" ref="Z139" si="227">+Z141</f>
        <v>0</v>
      </c>
      <c r="AA139" s="27">
        <v>0</v>
      </c>
      <c r="AB139" s="27"/>
      <c r="AC139" s="27">
        <v>1030476658</v>
      </c>
      <c r="AD139" s="27"/>
      <c r="AE139" s="27"/>
      <c r="AF139" s="27"/>
      <c r="AG139" s="27"/>
      <c r="AH139" s="27"/>
      <c r="AI139" s="27"/>
      <c r="AJ139" s="27">
        <f t="shared" si="119"/>
        <v>1030476658</v>
      </c>
      <c r="AK139" s="18">
        <v>1030476658</v>
      </c>
      <c r="AM139" s="79" t="e">
        <f t="shared" si="205"/>
        <v>#DIV/0!</v>
      </c>
      <c r="AN139" s="79" t="e">
        <f t="shared" si="206"/>
        <v>#DIV/0!</v>
      </c>
      <c r="AO139" s="79" t="e">
        <f t="shared" si="207"/>
        <v>#DIV/0!</v>
      </c>
      <c r="AP139" s="79" t="e">
        <f t="shared" si="208"/>
        <v>#DIV/0!</v>
      </c>
      <c r="AQ139" s="79" t="e">
        <f t="shared" si="209"/>
        <v>#DIV/0!</v>
      </c>
      <c r="AR139" s="79" t="e">
        <f t="shared" si="210"/>
        <v>#DIV/0!</v>
      </c>
      <c r="AS139" s="79" t="e">
        <f t="shared" si="211"/>
        <v>#DIV/0!</v>
      </c>
      <c r="AT139" s="79" t="e">
        <f t="shared" si="212"/>
        <v>#DIV/0!</v>
      </c>
      <c r="AU139" s="79">
        <f t="shared" si="213"/>
        <v>-1</v>
      </c>
      <c r="AV139" s="79" t="e">
        <f t="shared" si="214"/>
        <v>#DIV/0!</v>
      </c>
      <c r="AW139" s="79">
        <f t="shared" ref="AW139:AW182" si="228">(AJ139-T139)/T139</f>
        <v>0</v>
      </c>
      <c r="AY139" s="351" t="s">
        <v>887</v>
      </c>
      <c r="AZ139" s="352" t="s">
        <v>888</v>
      </c>
    </row>
    <row r="140" spans="1:52" x14ac:dyDescent="0.25">
      <c r="A140" s="351" t="s">
        <v>1005</v>
      </c>
      <c r="B140" s="352" t="s">
        <v>1006</v>
      </c>
      <c r="C140" s="357"/>
      <c r="D140" s="357"/>
      <c r="E140" s="378"/>
      <c r="F140" s="375">
        <f t="shared" si="114"/>
        <v>0</v>
      </c>
      <c r="G140" s="142"/>
      <c r="H140" s="334"/>
      <c r="I140" s="334"/>
      <c r="J140" s="334"/>
      <c r="K140" s="334"/>
      <c r="L140" s="334"/>
      <c r="M140" s="334"/>
      <c r="N140" s="334"/>
      <c r="O140" s="334"/>
      <c r="P140" s="334"/>
      <c r="Q140" s="334"/>
      <c r="R140" s="143"/>
      <c r="S140" s="143"/>
      <c r="T140" s="334">
        <f t="shared" si="117"/>
        <v>0</v>
      </c>
      <c r="U140" s="48">
        <f t="shared" si="215"/>
        <v>0</v>
      </c>
      <c r="V140" s="391">
        <f t="shared" si="216"/>
        <v>0</v>
      </c>
      <c r="W140" s="391">
        <f t="shared" si="217"/>
        <v>0</v>
      </c>
      <c r="Y140" s="334"/>
      <c r="Z140" s="334"/>
      <c r="AA140" s="334"/>
      <c r="AB140" s="334"/>
      <c r="AC140" s="334"/>
      <c r="AD140" s="334"/>
      <c r="AE140" s="334"/>
      <c r="AF140" s="334"/>
      <c r="AG140" s="334">
        <v>3143880321</v>
      </c>
      <c r="AH140" s="334">
        <v>150815000</v>
      </c>
      <c r="AI140" s="334"/>
      <c r="AJ140" s="334">
        <f t="shared" si="119"/>
        <v>3294695321</v>
      </c>
      <c r="AK140" s="332"/>
      <c r="AM140" s="79" t="e">
        <f t="shared" si="205"/>
        <v>#DIV/0!</v>
      </c>
      <c r="AN140" s="79" t="e">
        <f t="shared" si="206"/>
        <v>#DIV/0!</v>
      </c>
      <c r="AO140" s="79" t="e">
        <f t="shared" si="207"/>
        <v>#DIV/0!</v>
      </c>
      <c r="AP140" s="79" t="e">
        <f t="shared" si="208"/>
        <v>#DIV/0!</v>
      </c>
      <c r="AQ140" s="79" t="e">
        <f t="shared" si="209"/>
        <v>#DIV/0!</v>
      </c>
      <c r="AR140" s="79" t="e">
        <f t="shared" si="210"/>
        <v>#DIV/0!</v>
      </c>
      <c r="AS140" s="79" t="e">
        <f t="shared" si="211"/>
        <v>#DIV/0!</v>
      </c>
      <c r="AT140" s="79" t="e">
        <f t="shared" si="212"/>
        <v>#DIV/0!</v>
      </c>
      <c r="AU140" s="79" t="e">
        <f t="shared" si="213"/>
        <v>#DIV/0!</v>
      </c>
      <c r="AV140" s="79" t="e">
        <f t="shared" si="214"/>
        <v>#DIV/0!</v>
      </c>
      <c r="AW140" s="79" t="e">
        <f t="shared" si="228"/>
        <v>#DIV/0!</v>
      </c>
      <c r="AY140" s="351" t="s">
        <v>1005</v>
      </c>
      <c r="AZ140" s="352" t="s">
        <v>1006</v>
      </c>
    </row>
    <row r="141" spans="1:52" x14ac:dyDescent="0.25">
      <c r="A141" s="347" t="s">
        <v>462</v>
      </c>
      <c r="B141" s="348" t="s">
        <v>463</v>
      </c>
      <c r="C141" s="355">
        <f t="shared" ref="C141:F141" si="229">+C142</f>
        <v>1095322674</v>
      </c>
      <c r="D141" s="355">
        <f t="shared" si="229"/>
        <v>0</v>
      </c>
      <c r="E141" s="355">
        <f t="shared" si="229"/>
        <v>0</v>
      </c>
      <c r="F141" s="355">
        <f t="shared" si="229"/>
        <v>1095322674</v>
      </c>
      <c r="G141" s="182">
        <f>+G142</f>
        <v>1095322674</v>
      </c>
      <c r="H141" s="52">
        <f t="shared" ref="H141:AK141" si="230">+H142</f>
        <v>91276889.5</v>
      </c>
      <c r="I141" s="52">
        <f t="shared" si="230"/>
        <v>91276889.5</v>
      </c>
      <c r="J141" s="52">
        <f t="shared" si="230"/>
        <v>91276889.5</v>
      </c>
      <c r="K141" s="52">
        <f t="shared" si="230"/>
        <v>91276889.5</v>
      </c>
      <c r="L141" s="52">
        <f t="shared" si="230"/>
        <v>91276889.5</v>
      </c>
      <c r="M141" s="52">
        <f t="shared" si="230"/>
        <v>91276889.5</v>
      </c>
      <c r="N141" s="52">
        <f t="shared" si="230"/>
        <v>91276889.5</v>
      </c>
      <c r="O141" s="52">
        <f t="shared" si="230"/>
        <v>91276889.5</v>
      </c>
      <c r="P141" s="52">
        <f t="shared" si="230"/>
        <v>91276889.5</v>
      </c>
      <c r="Q141" s="52">
        <f t="shared" si="230"/>
        <v>91276889.5</v>
      </c>
      <c r="R141" s="52">
        <f t="shared" si="230"/>
        <v>91276889.5</v>
      </c>
      <c r="S141" s="52">
        <f t="shared" si="230"/>
        <v>91276889.5</v>
      </c>
      <c r="T141" s="52">
        <f t="shared" si="117"/>
        <v>912768895</v>
      </c>
      <c r="U141" s="48">
        <f t="shared" si="215"/>
        <v>1095322674</v>
      </c>
      <c r="V141" s="391">
        <f t="shared" si="216"/>
        <v>1095322674</v>
      </c>
      <c r="W141" s="391">
        <f t="shared" si="217"/>
        <v>0</v>
      </c>
      <c r="Y141" s="52">
        <f t="shared" si="230"/>
        <v>0</v>
      </c>
      <c r="Z141" s="52">
        <f t="shared" si="230"/>
        <v>0</v>
      </c>
      <c r="AA141" s="52">
        <f t="shared" si="230"/>
        <v>0</v>
      </c>
      <c r="AB141" s="52">
        <f t="shared" si="230"/>
        <v>758805350</v>
      </c>
      <c r="AC141" s="52">
        <f t="shared" si="230"/>
        <v>0</v>
      </c>
      <c r="AD141" s="52">
        <f t="shared" si="230"/>
        <v>0</v>
      </c>
      <c r="AE141" s="52">
        <f t="shared" si="230"/>
        <v>406837729</v>
      </c>
      <c r="AF141" s="52">
        <f t="shared" si="230"/>
        <v>277054693</v>
      </c>
      <c r="AG141" s="52">
        <f t="shared" si="230"/>
        <v>0</v>
      </c>
      <c r="AH141" s="52"/>
      <c r="AI141" s="52"/>
      <c r="AJ141" s="52">
        <f t="shared" si="119"/>
        <v>1442697772</v>
      </c>
      <c r="AK141" s="52">
        <f t="shared" si="230"/>
        <v>1165643079</v>
      </c>
      <c r="AM141" s="79">
        <f t="shared" si="205"/>
        <v>-1</v>
      </c>
      <c r="AN141" s="79">
        <f t="shared" si="206"/>
        <v>-1</v>
      </c>
      <c r="AO141" s="79">
        <f t="shared" si="207"/>
        <v>-1</v>
      </c>
      <c r="AP141" s="79">
        <f t="shared" si="208"/>
        <v>7.3132253318075655</v>
      </c>
      <c r="AQ141" s="79">
        <f t="shared" si="209"/>
        <v>-1</v>
      </c>
      <c r="AR141" s="79">
        <f t="shared" si="210"/>
        <v>-1</v>
      </c>
      <c r="AS141" s="79">
        <f t="shared" si="211"/>
        <v>3.4571822202595981</v>
      </c>
      <c r="AT141" s="79">
        <f t="shared" si="212"/>
        <v>2.0353213668614334</v>
      </c>
      <c r="AU141" s="79">
        <f t="shared" si="213"/>
        <v>-1</v>
      </c>
      <c r="AV141" s="79">
        <f t="shared" si="214"/>
        <v>-1</v>
      </c>
      <c r="AW141" s="79">
        <f t="shared" si="228"/>
        <v>0.58057289189285965</v>
      </c>
      <c r="AY141" s="347" t="s">
        <v>462</v>
      </c>
      <c r="AZ141" s="348" t="s">
        <v>463</v>
      </c>
    </row>
    <row r="142" spans="1:52" x14ac:dyDescent="0.25">
      <c r="A142" s="351" t="s">
        <v>464</v>
      </c>
      <c r="B142" s="352" t="s">
        <v>465</v>
      </c>
      <c r="C142" s="357">
        <v>1095322674</v>
      </c>
      <c r="D142" s="357"/>
      <c r="E142" s="378"/>
      <c r="F142" s="375">
        <f t="shared" ref="F142:F182" si="231">+C142+D142</f>
        <v>1095322674</v>
      </c>
      <c r="G142" s="142">
        <v>1095322674</v>
      </c>
      <c r="H142" s="27">
        <v>91276889.5</v>
      </c>
      <c r="I142" s="27">
        <v>91276889.5</v>
      </c>
      <c r="J142" s="27">
        <v>91276889.5</v>
      </c>
      <c r="K142" s="27">
        <v>91276889.5</v>
      </c>
      <c r="L142" s="27">
        <v>91276889.5</v>
      </c>
      <c r="M142" s="27">
        <v>91276889.5</v>
      </c>
      <c r="N142" s="27">
        <v>91276889.5</v>
      </c>
      <c r="O142" s="27">
        <v>91276889.5</v>
      </c>
      <c r="P142" s="27">
        <v>91276889.5</v>
      </c>
      <c r="Q142" s="27">
        <v>91276889.5</v>
      </c>
      <c r="R142" s="143">
        <v>91276889.5</v>
      </c>
      <c r="S142" s="143">
        <v>91276889.5</v>
      </c>
      <c r="T142" s="27">
        <f t="shared" ref="T142:T182" si="232">SUM(H142:Q142)</f>
        <v>912768895</v>
      </c>
      <c r="U142" s="48">
        <f t="shared" si="215"/>
        <v>1095322674</v>
      </c>
      <c r="V142" s="391">
        <f t="shared" si="216"/>
        <v>1095322674</v>
      </c>
      <c r="W142" s="391">
        <f t="shared" si="217"/>
        <v>0</v>
      </c>
      <c r="Y142" s="27"/>
      <c r="Z142" s="27"/>
      <c r="AA142" s="27"/>
      <c r="AB142" s="27">
        <v>758805350</v>
      </c>
      <c r="AC142" s="27"/>
      <c r="AD142" s="27"/>
      <c r="AE142" s="27">
        <v>406837729</v>
      </c>
      <c r="AF142" s="27">
        <v>277054693</v>
      </c>
      <c r="AG142" s="27"/>
      <c r="AH142" s="27">
        <v>8347603</v>
      </c>
      <c r="AI142" s="27"/>
      <c r="AJ142" s="27">
        <f t="shared" ref="AJ142:AJ182" si="233">SUM(Y142:AH142)</f>
        <v>1451045375</v>
      </c>
      <c r="AK142" s="31">
        <v>1165643079</v>
      </c>
      <c r="AM142" s="79">
        <f t="shared" si="205"/>
        <v>-1</v>
      </c>
      <c r="AN142" s="79">
        <f t="shared" si="206"/>
        <v>-1</v>
      </c>
      <c r="AO142" s="79">
        <f t="shared" si="207"/>
        <v>-1</v>
      </c>
      <c r="AP142" s="79">
        <f t="shared" si="208"/>
        <v>7.3132253318075655</v>
      </c>
      <c r="AQ142" s="79">
        <f t="shared" si="209"/>
        <v>-1</v>
      </c>
      <c r="AR142" s="79">
        <f t="shared" si="210"/>
        <v>-1</v>
      </c>
      <c r="AS142" s="79">
        <f t="shared" si="211"/>
        <v>3.4571822202595981</v>
      </c>
      <c r="AT142" s="79">
        <f t="shared" si="212"/>
        <v>2.0353213668614334</v>
      </c>
      <c r="AU142" s="79">
        <f t="shared" si="213"/>
        <v>-1</v>
      </c>
      <c r="AV142" s="79">
        <f t="shared" si="214"/>
        <v>-0.90854636868404681</v>
      </c>
      <c r="AW142" s="79">
        <f t="shared" si="228"/>
        <v>0.58971825502445496</v>
      </c>
      <c r="AY142" s="351" t="s">
        <v>464</v>
      </c>
      <c r="AZ142" s="352" t="s">
        <v>465</v>
      </c>
    </row>
    <row r="143" spans="1:52" x14ac:dyDescent="0.25">
      <c r="A143" s="347" t="s">
        <v>466</v>
      </c>
      <c r="B143" s="348" t="s">
        <v>467</v>
      </c>
      <c r="C143" s="355">
        <f t="shared" ref="C143:F144" si="234">+C144</f>
        <v>0</v>
      </c>
      <c r="D143" s="355">
        <f t="shared" si="234"/>
        <v>2211359569</v>
      </c>
      <c r="E143" s="355">
        <f t="shared" si="234"/>
        <v>0</v>
      </c>
      <c r="F143" s="355">
        <f t="shared" si="234"/>
        <v>2211359569</v>
      </c>
      <c r="G143" s="142"/>
      <c r="H143" s="18">
        <f t="shared" ref="H143:S144" si="235">+H144</f>
        <v>139009387.16666666</v>
      </c>
      <c r="I143" s="18">
        <f t="shared" si="235"/>
        <v>139009387.16666666</v>
      </c>
      <c r="J143" s="18">
        <f t="shared" si="235"/>
        <v>139009387.16666666</v>
      </c>
      <c r="K143" s="18">
        <f t="shared" si="235"/>
        <v>139009387.16666666</v>
      </c>
      <c r="L143" s="18">
        <f t="shared" si="235"/>
        <v>139009387.16666666</v>
      </c>
      <c r="M143" s="18">
        <f t="shared" si="235"/>
        <v>139009387.16666666</v>
      </c>
      <c r="N143" s="18">
        <f t="shared" si="235"/>
        <v>139009387.16666666</v>
      </c>
      <c r="O143" s="18">
        <f t="shared" si="235"/>
        <v>139009387.16666666</v>
      </c>
      <c r="P143" s="18">
        <f t="shared" si="235"/>
        <v>139009387.16666666</v>
      </c>
      <c r="Q143" s="18">
        <f t="shared" si="235"/>
        <v>682256310.16666663</v>
      </c>
      <c r="R143" s="18">
        <f t="shared" si="235"/>
        <v>139009387.16666666</v>
      </c>
      <c r="S143" s="18">
        <f t="shared" si="235"/>
        <v>139009387.16666666</v>
      </c>
      <c r="T143" s="18">
        <f t="shared" si="232"/>
        <v>1933340794.6666665</v>
      </c>
      <c r="U143" s="48">
        <f t="shared" si="215"/>
        <v>2211359569</v>
      </c>
      <c r="V143" s="391">
        <f t="shared" si="216"/>
        <v>2211359569</v>
      </c>
      <c r="W143" s="391">
        <f t="shared" si="217"/>
        <v>0</v>
      </c>
      <c r="Y143" s="18">
        <f t="shared" ref="Y143:AG144" si="236">+Y144</f>
        <v>267934973</v>
      </c>
      <c r="Z143" s="18">
        <f t="shared" si="236"/>
        <v>531365923</v>
      </c>
      <c r="AA143" s="18">
        <f t="shared" si="236"/>
        <v>121672800</v>
      </c>
      <c r="AB143" s="18">
        <f t="shared" si="236"/>
        <v>0</v>
      </c>
      <c r="AC143" s="18">
        <f t="shared" si="236"/>
        <v>7000000</v>
      </c>
      <c r="AD143" s="18">
        <f t="shared" si="236"/>
        <v>0</v>
      </c>
      <c r="AE143" s="18">
        <f t="shared" si="236"/>
        <v>0</v>
      </c>
      <c r="AF143" s="18">
        <f t="shared" si="236"/>
        <v>0</v>
      </c>
      <c r="AG143" s="18">
        <f t="shared" si="236"/>
        <v>626557529</v>
      </c>
      <c r="AH143" s="18">
        <v>8347603</v>
      </c>
      <c r="AI143" s="18"/>
      <c r="AJ143" s="18">
        <f t="shared" si="233"/>
        <v>1562878828</v>
      </c>
      <c r="AK143" s="18">
        <f t="shared" ref="AK143:AK144" si="237">+AK144</f>
        <v>927973696</v>
      </c>
      <c r="AM143" s="79">
        <f t="shared" si="205"/>
        <v>0.9274595655814003</v>
      </c>
      <c r="AN143" s="79">
        <f t="shared" si="206"/>
        <v>2.8225182761428456</v>
      </c>
      <c r="AO143" s="79">
        <f t="shared" si="207"/>
        <v>-0.12471522621620357</v>
      </c>
      <c r="AP143" s="79">
        <f t="shared" si="208"/>
        <v>-1</v>
      </c>
      <c r="AQ143" s="79">
        <f t="shared" si="209"/>
        <v>-0.94964368851142922</v>
      </c>
      <c r="AR143" s="79">
        <f t="shared" si="210"/>
        <v>-1</v>
      </c>
      <c r="AS143" s="79">
        <f t="shared" si="211"/>
        <v>-1</v>
      </c>
      <c r="AT143" s="79">
        <f t="shared" si="212"/>
        <v>-1</v>
      </c>
      <c r="AU143" s="79">
        <f t="shared" si="213"/>
        <v>3.5073037279761747</v>
      </c>
      <c r="AV143" s="79">
        <f t="shared" si="214"/>
        <v>-0.98776471118609255</v>
      </c>
      <c r="AW143" s="79">
        <f t="shared" si="228"/>
        <v>-0.19161751910921584</v>
      </c>
      <c r="AY143" s="347" t="s">
        <v>466</v>
      </c>
      <c r="AZ143" s="348" t="s">
        <v>467</v>
      </c>
    </row>
    <row r="144" spans="1:52" x14ac:dyDescent="0.25">
      <c r="A144" s="347" t="s">
        <v>468</v>
      </c>
      <c r="B144" s="348" t="s">
        <v>469</v>
      </c>
      <c r="C144" s="355">
        <f t="shared" si="234"/>
        <v>0</v>
      </c>
      <c r="D144" s="355">
        <f t="shared" si="234"/>
        <v>2211359569</v>
      </c>
      <c r="E144" s="355">
        <f t="shared" si="234"/>
        <v>0</v>
      </c>
      <c r="F144" s="355">
        <f t="shared" si="234"/>
        <v>2211359569</v>
      </c>
      <c r="G144" s="142"/>
      <c r="H144" s="18">
        <f t="shared" si="235"/>
        <v>139009387.16666666</v>
      </c>
      <c r="I144" s="18">
        <f t="shared" si="235"/>
        <v>139009387.16666666</v>
      </c>
      <c r="J144" s="18">
        <f t="shared" si="235"/>
        <v>139009387.16666666</v>
      </c>
      <c r="K144" s="18">
        <f t="shared" si="235"/>
        <v>139009387.16666666</v>
      </c>
      <c r="L144" s="18">
        <f t="shared" si="235"/>
        <v>139009387.16666666</v>
      </c>
      <c r="M144" s="18">
        <f t="shared" si="235"/>
        <v>139009387.16666666</v>
      </c>
      <c r="N144" s="18">
        <f t="shared" si="235"/>
        <v>139009387.16666666</v>
      </c>
      <c r="O144" s="18">
        <f t="shared" si="235"/>
        <v>139009387.16666666</v>
      </c>
      <c r="P144" s="18">
        <f t="shared" si="235"/>
        <v>139009387.16666666</v>
      </c>
      <c r="Q144" s="18">
        <f t="shared" si="235"/>
        <v>682256310.16666663</v>
      </c>
      <c r="R144" s="18">
        <f t="shared" si="235"/>
        <v>139009387.16666666</v>
      </c>
      <c r="S144" s="18">
        <f t="shared" si="235"/>
        <v>139009387.16666666</v>
      </c>
      <c r="T144" s="18">
        <f t="shared" si="232"/>
        <v>1933340794.6666665</v>
      </c>
      <c r="U144" s="48">
        <f t="shared" si="215"/>
        <v>2211359569</v>
      </c>
      <c r="V144" s="391">
        <f t="shared" si="216"/>
        <v>2211359569</v>
      </c>
      <c r="W144" s="391">
        <f t="shared" si="217"/>
        <v>0</v>
      </c>
      <c r="Y144" s="18">
        <f t="shared" si="236"/>
        <v>267934973</v>
      </c>
      <c r="Z144" s="18">
        <f t="shared" si="236"/>
        <v>531365923</v>
      </c>
      <c r="AA144" s="18">
        <f t="shared" si="236"/>
        <v>121672800</v>
      </c>
      <c r="AB144" s="18">
        <f t="shared" si="236"/>
        <v>0</v>
      </c>
      <c r="AC144" s="18">
        <f t="shared" si="236"/>
        <v>7000000</v>
      </c>
      <c r="AD144" s="18">
        <f t="shared" si="236"/>
        <v>0</v>
      </c>
      <c r="AE144" s="18">
        <f t="shared" si="236"/>
        <v>0</v>
      </c>
      <c r="AF144" s="18">
        <f t="shared" si="236"/>
        <v>0</v>
      </c>
      <c r="AG144" s="18">
        <f t="shared" si="236"/>
        <v>626557529</v>
      </c>
      <c r="AH144" s="18">
        <v>8347603</v>
      </c>
      <c r="AI144" s="18"/>
      <c r="AJ144" s="18">
        <f t="shared" si="233"/>
        <v>1562878828</v>
      </c>
      <c r="AK144" s="18">
        <f t="shared" si="237"/>
        <v>927973696</v>
      </c>
      <c r="AM144" s="79">
        <f t="shared" si="205"/>
        <v>0.9274595655814003</v>
      </c>
      <c r="AN144" s="79">
        <f t="shared" si="206"/>
        <v>2.8225182761428456</v>
      </c>
      <c r="AO144" s="79">
        <f t="shared" si="207"/>
        <v>-0.12471522621620357</v>
      </c>
      <c r="AP144" s="79">
        <f t="shared" si="208"/>
        <v>-1</v>
      </c>
      <c r="AQ144" s="79">
        <f t="shared" si="209"/>
        <v>-0.94964368851142922</v>
      </c>
      <c r="AR144" s="79">
        <f t="shared" si="210"/>
        <v>-1</v>
      </c>
      <c r="AS144" s="79">
        <f t="shared" si="211"/>
        <v>-1</v>
      </c>
      <c r="AT144" s="79">
        <f t="shared" si="212"/>
        <v>-1</v>
      </c>
      <c r="AU144" s="79">
        <f t="shared" si="213"/>
        <v>3.5073037279761747</v>
      </c>
      <c r="AV144" s="79">
        <f t="shared" si="214"/>
        <v>-0.98776471118609255</v>
      </c>
      <c r="AW144" s="79">
        <f t="shared" si="228"/>
        <v>-0.19161751910921584</v>
      </c>
      <c r="AY144" s="347" t="s">
        <v>468</v>
      </c>
      <c r="AZ144" s="348" t="s">
        <v>469</v>
      </c>
    </row>
    <row r="145" spans="1:52" x14ac:dyDescent="0.25">
      <c r="A145" s="349" t="s">
        <v>470</v>
      </c>
      <c r="B145" s="350" t="s">
        <v>471</v>
      </c>
      <c r="C145" s="356">
        <f>SUM(C146:C161)</f>
        <v>0</v>
      </c>
      <c r="D145" s="356">
        <f t="shared" ref="D145:F145" si="238">SUM(D146:D161)</f>
        <v>2211359569</v>
      </c>
      <c r="E145" s="356">
        <f t="shared" si="238"/>
        <v>0</v>
      </c>
      <c r="F145" s="356">
        <f t="shared" si="238"/>
        <v>2211359569</v>
      </c>
      <c r="G145" s="142"/>
      <c r="H145" s="23">
        <f t="shared" ref="H145:S145" si="239">SUM(H146:H161)</f>
        <v>139009387.16666666</v>
      </c>
      <c r="I145" s="23">
        <f t="shared" si="239"/>
        <v>139009387.16666666</v>
      </c>
      <c r="J145" s="23">
        <f t="shared" si="239"/>
        <v>139009387.16666666</v>
      </c>
      <c r="K145" s="23">
        <f t="shared" si="239"/>
        <v>139009387.16666666</v>
      </c>
      <c r="L145" s="23">
        <f t="shared" si="239"/>
        <v>139009387.16666666</v>
      </c>
      <c r="M145" s="23">
        <f t="shared" si="239"/>
        <v>139009387.16666666</v>
      </c>
      <c r="N145" s="23">
        <f t="shared" si="239"/>
        <v>139009387.16666666</v>
      </c>
      <c r="O145" s="23">
        <f t="shared" si="239"/>
        <v>139009387.16666666</v>
      </c>
      <c r="P145" s="23">
        <f t="shared" si="239"/>
        <v>139009387.16666666</v>
      </c>
      <c r="Q145" s="23">
        <f t="shared" si="239"/>
        <v>682256310.16666663</v>
      </c>
      <c r="R145" s="23">
        <f t="shared" si="239"/>
        <v>139009387.16666666</v>
      </c>
      <c r="S145" s="23">
        <f t="shared" si="239"/>
        <v>139009387.16666666</v>
      </c>
      <c r="T145" s="23">
        <f t="shared" si="232"/>
        <v>1933340794.6666665</v>
      </c>
      <c r="U145" s="48">
        <f t="shared" si="215"/>
        <v>2211359569</v>
      </c>
      <c r="V145" s="391">
        <f t="shared" si="216"/>
        <v>2211359569</v>
      </c>
      <c r="W145" s="391">
        <f t="shared" si="217"/>
        <v>0</v>
      </c>
      <c r="Y145" s="23">
        <f t="shared" ref="Y145:AG145" si="240">SUM(Y146:Y161)</f>
        <v>267934973</v>
      </c>
      <c r="Z145" s="23">
        <f t="shared" si="240"/>
        <v>531365923</v>
      </c>
      <c r="AA145" s="23">
        <f t="shared" si="240"/>
        <v>121672800</v>
      </c>
      <c r="AB145" s="23">
        <f t="shared" si="240"/>
        <v>0</v>
      </c>
      <c r="AC145" s="23">
        <f t="shared" si="240"/>
        <v>7000000</v>
      </c>
      <c r="AD145" s="23">
        <f t="shared" si="240"/>
        <v>0</v>
      </c>
      <c r="AE145" s="23">
        <f t="shared" si="240"/>
        <v>0</v>
      </c>
      <c r="AF145" s="23">
        <f t="shared" si="240"/>
        <v>0</v>
      </c>
      <c r="AG145" s="23">
        <f t="shared" si="240"/>
        <v>626557529</v>
      </c>
      <c r="AH145" s="23"/>
      <c r="AI145" s="23"/>
      <c r="AJ145" s="23">
        <f t="shared" si="233"/>
        <v>1554531225</v>
      </c>
      <c r="AK145" s="23">
        <f t="shared" ref="AK145" si="241">SUM(AK146:AK158)</f>
        <v>927973696</v>
      </c>
      <c r="AM145" s="79">
        <f t="shared" si="205"/>
        <v>0.9274595655814003</v>
      </c>
      <c r="AN145" s="79">
        <f t="shared" si="206"/>
        <v>2.8225182761428456</v>
      </c>
      <c r="AO145" s="79">
        <f t="shared" si="207"/>
        <v>-0.12471522621620357</v>
      </c>
      <c r="AP145" s="79">
        <f t="shared" si="208"/>
        <v>-1</v>
      </c>
      <c r="AQ145" s="79">
        <f t="shared" si="209"/>
        <v>-0.94964368851142922</v>
      </c>
      <c r="AR145" s="79">
        <f t="shared" si="210"/>
        <v>-1</v>
      </c>
      <c r="AS145" s="79">
        <f t="shared" si="211"/>
        <v>-1</v>
      </c>
      <c r="AT145" s="79">
        <f t="shared" si="212"/>
        <v>-1</v>
      </c>
      <c r="AU145" s="79">
        <f t="shared" si="213"/>
        <v>3.5073037279761747</v>
      </c>
      <c r="AV145" s="79">
        <f t="shared" si="214"/>
        <v>-1</v>
      </c>
      <c r="AW145" s="79">
        <f t="shared" si="228"/>
        <v>-0.19593522813549191</v>
      </c>
      <c r="AY145" s="349" t="s">
        <v>470</v>
      </c>
      <c r="AZ145" s="350" t="s">
        <v>471</v>
      </c>
    </row>
    <row r="146" spans="1:52" x14ac:dyDescent="0.25">
      <c r="A146" s="351">
        <v>112670102</v>
      </c>
      <c r="B146" s="352" t="s">
        <v>472</v>
      </c>
      <c r="C146" s="357"/>
      <c r="D146" s="357">
        <v>267934973</v>
      </c>
      <c r="E146" s="378"/>
      <c r="F146" s="375">
        <f t="shared" si="231"/>
        <v>267934973</v>
      </c>
      <c r="G146" s="142"/>
      <c r="H146" s="27">
        <v>22327914.416666668</v>
      </c>
      <c r="I146" s="27">
        <v>22327914.416666668</v>
      </c>
      <c r="J146" s="27">
        <v>22327914.416666668</v>
      </c>
      <c r="K146" s="27">
        <v>22327914.416666668</v>
      </c>
      <c r="L146" s="27">
        <v>22327914.416666668</v>
      </c>
      <c r="M146" s="27">
        <v>22327914.416666668</v>
      </c>
      <c r="N146" s="27">
        <v>22327914.416666668</v>
      </c>
      <c r="O146" s="27">
        <v>22327914.416666668</v>
      </c>
      <c r="P146" s="27">
        <v>22327914.416666668</v>
      </c>
      <c r="Q146" s="27">
        <v>22327914.416666668</v>
      </c>
      <c r="R146" s="143">
        <v>22327914.416666668</v>
      </c>
      <c r="S146" s="143">
        <v>22327914.416666668</v>
      </c>
      <c r="T146" s="27">
        <f t="shared" si="232"/>
        <v>223279144.16666666</v>
      </c>
      <c r="U146" s="48">
        <f t="shared" si="215"/>
        <v>267934972.99999997</v>
      </c>
      <c r="V146" s="391">
        <f t="shared" si="216"/>
        <v>267934973</v>
      </c>
      <c r="W146" s="391">
        <f t="shared" si="217"/>
        <v>0</v>
      </c>
      <c r="Y146" s="27">
        <v>267934973</v>
      </c>
      <c r="Z146" s="27"/>
      <c r="AA146" s="27"/>
      <c r="AB146" s="27"/>
      <c r="AC146" s="27"/>
      <c r="AD146" s="27">
        <v>0</v>
      </c>
      <c r="AE146" s="27"/>
      <c r="AF146" s="27"/>
      <c r="AG146" s="27"/>
      <c r="AH146" s="27"/>
      <c r="AI146" s="27"/>
      <c r="AJ146" s="27">
        <f t="shared" si="233"/>
        <v>267934973</v>
      </c>
      <c r="AK146" s="31">
        <v>267934973</v>
      </c>
      <c r="AM146" s="79">
        <f t="shared" si="205"/>
        <v>11</v>
      </c>
      <c r="AN146" s="79">
        <f t="shared" si="206"/>
        <v>-1</v>
      </c>
      <c r="AO146" s="79">
        <f t="shared" si="207"/>
        <v>-1</v>
      </c>
      <c r="AP146" s="79">
        <f t="shared" si="208"/>
        <v>-1</v>
      </c>
      <c r="AQ146" s="79">
        <f t="shared" si="209"/>
        <v>-1</v>
      </c>
      <c r="AR146" s="79">
        <f t="shared" si="210"/>
        <v>-1</v>
      </c>
      <c r="AS146" s="79">
        <f t="shared" si="211"/>
        <v>-1</v>
      </c>
      <c r="AT146" s="79">
        <f t="shared" si="212"/>
        <v>-1</v>
      </c>
      <c r="AU146" s="79">
        <f t="shared" si="213"/>
        <v>-1</v>
      </c>
      <c r="AV146" s="79">
        <f t="shared" si="214"/>
        <v>-1</v>
      </c>
      <c r="AW146" s="79">
        <f t="shared" si="228"/>
        <v>0.20000000000000007</v>
      </c>
      <c r="AY146" s="351">
        <v>112670102</v>
      </c>
      <c r="AZ146" s="352" t="s">
        <v>472</v>
      </c>
    </row>
    <row r="147" spans="1:52" x14ac:dyDescent="0.25">
      <c r="A147" s="351">
        <v>112670103</v>
      </c>
      <c r="B147" s="352" t="s">
        <v>858</v>
      </c>
      <c r="C147" s="357"/>
      <c r="D147" s="357"/>
      <c r="E147" s="378"/>
      <c r="F147" s="375">
        <f t="shared" si="231"/>
        <v>0</v>
      </c>
      <c r="G147" s="142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143"/>
      <c r="S147" s="143"/>
      <c r="T147" s="27">
        <f t="shared" si="232"/>
        <v>0</v>
      </c>
      <c r="U147" s="48">
        <f t="shared" si="215"/>
        <v>0</v>
      </c>
      <c r="V147" s="391">
        <f t="shared" si="216"/>
        <v>0</v>
      </c>
      <c r="W147" s="391">
        <f t="shared" si="217"/>
        <v>0</v>
      </c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>
        <f t="shared" si="233"/>
        <v>0</v>
      </c>
      <c r="AK147" s="31">
        <v>0</v>
      </c>
      <c r="AM147" s="79" t="e">
        <f t="shared" si="205"/>
        <v>#DIV/0!</v>
      </c>
      <c r="AN147" s="79" t="e">
        <f t="shared" si="206"/>
        <v>#DIV/0!</v>
      </c>
      <c r="AO147" s="79" t="e">
        <f t="shared" si="207"/>
        <v>#DIV/0!</v>
      </c>
      <c r="AP147" s="79" t="e">
        <f t="shared" si="208"/>
        <v>#DIV/0!</v>
      </c>
      <c r="AQ147" s="79" t="e">
        <f t="shared" si="209"/>
        <v>#DIV/0!</v>
      </c>
      <c r="AR147" s="79" t="e">
        <f t="shared" si="210"/>
        <v>#DIV/0!</v>
      </c>
      <c r="AS147" s="79" t="e">
        <f t="shared" si="211"/>
        <v>#DIV/0!</v>
      </c>
      <c r="AT147" s="79" t="e">
        <f t="shared" si="212"/>
        <v>#DIV/0!</v>
      </c>
      <c r="AU147" s="79" t="e">
        <f t="shared" si="213"/>
        <v>#DIV/0!</v>
      </c>
      <c r="AV147" s="79" t="e">
        <f t="shared" si="214"/>
        <v>#DIV/0!</v>
      </c>
      <c r="AW147" s="79" t="e">
        <f t="shared" si="228"/>
        <v>#DIV/0!</v>
      </c>
      <c r="AY147" s="351">
        <v>112670103</v>
      </c>
      <c r="AZ147" s="352" t="s">
        <v>858</v>
      </c>
    </row>
    <row r="148" spans="1:52" x14ac:dyDescent="0.25">
      <c r="A148" s="351">
        <v>112670104</v>
      </c>
      <c r="B148" s="352" t="s">
        <v>859</v>
      </c>
      <c r="C148" s="357"/>
      <c r="D148" s="357"/>
      <c r="E148" s="378"/>
      <c r="F148" s="375">
        <f t="shared" si="231"/>
        <v>0</v>
      </c>
      <c r="G148" s="142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143"/>
      <c r="S148" s="143"/>
      <c r="T148" s="27">
        <f t="shared" si="232"/>
        <v>0</v>
      </c>
      <c r="U148" s="48">
        <f t="shared" si="215"/>
        <v>0</v>
      </c>
      <c r="V148" s="391">
        <f t="shared" si="216"/>
        <v>0</v>
      </c>
      <c r="W148" s="391">
        <f t="shared" si="217"/>
        <v>0</v>
      </c>
      <c r="Y148" s="27"/>
      <c r="Z148" s="27">
        <v>0</v>
      </c>
      <c r="AA148" s="358">
        <v>1397800</v>
      </c>
      <c r="AB148" s="27"/>
      <c r="AC148" s="27"/>
      <c r="AD148" s="27"/>
      <c r="AE148" s="27"/>
      <c r="AF148" s="27"/>
      <c r="AG148" s="27"/>
      <c r="AH148" s="27"/>
      <c r="AI148" s="27"/>
      <c r="AJ148" s="27">
        <f t="shared" si="233"/>
        <v>1397800</v>
      </c>
      <c r="AK148" s="31">
        <v>1397800</v>
      </c>
      <c r="AM148" s="79" t="e">
        <f t="shared" si="205"/>
        <v>#DIV/0!</v>
      </c>
      <c r="AN148" s="79" t="e">
        <f t="shared" si="206"/>
        <v>#DIV/0!</v>
      </c>
      <c r="AO148" s="79" t="e">
        <f t="shared" si="207"/>
        <v>#DIV/0!</v>
      </c>
      <c r="AP148" s="79" t="e">
        <f t="shared" si="208"/>
        <v>#DIV/0!</v>
      </c>
      <c r="AQ148" s="79" t="e">
        <f t="shared" si="209"/>
        <v>#DIV/0!</v>
      </c>
      <c r="AR148" s="79" t="e">
        <f t="shared" si="210"/>
        <v>#DIV/0!</v>
      </c>
      <c r="AS148" s="79" t="e">
        <f t="shared" si="211"/>
        <v>#DIV/0!</v>
      </c>
      <c r="AT148" s="79" t="e">
        <f t="shared" si="212"/>
        <v>#DIV/0!</v>
      </c>
      <c r="AU148" s="79" t="e">
        <f t="shared" si="213"/>
        <v>#DIV/0!</v>
      </c>
      <c r="AV148" s="79" t="e">
        <f t="shared" si="214"/>
        <v>#DIV/0!</v>
      </c>
      <c r="AW148" s="79" t="e">
        <f t="shared" si="228"/>
        <v>#DIV/0!</v>
      </c>
      <c r="AY148" s="351">
        <v>112670104</v>
      </c>
      <c r="AZ148" s="352" t="s">
        <v>859</v>
      </c>
    </row>
    <row r="149" spans="1:52" x14ac:dyDescent="0.25">
      <c r="A149" s="351">
        <v>112670105</v>
      </c>
      <c r="B149" s="352" t="s">
        <v>860</v>
      </c>
      <c r="C149" s="357"/>
      <c r="D149" s="357">
        <v>450000000</v>
      </c>
      <c r="E149" s="378"/>
      <c r="F149" s="375">
        <f t="shared" si="231"/>
        <v>450000000</v>
      </c>
      <c r="G149" s="142"/>
      <c r="H149" s="27">
        <v>37500000</v>
      </c>
      <c r="I149" s="27">
        <v>37500000</v>
      </c>
      <c r="J149" s="27">
        <v>37500000</v>
      </c>
      <c r="K149" s="27">
        <v>37500000</v>
      </c>
      <c r="L149" s="27">
        <v>37500000</v>
      </c>
      <c r="M149" s="27">
        <v>37500000</v>
      </c>
      <c r="N149" s="27">
        <v>37500000</v>
      </c>
      <c r="O149" s="27">
        <v>37500000</v>
      </c>
      <c r="P149" s="27">
        <v>37500000</v>
      </c>
      <c r="Q149" s="27">
        <v>37500000</v>
      </c>
      <c r="R149" s="143">
        <v>37500000</v>
      </c>
      <c r="S149" s="143">
        <v>37500000</v>
      </c>
      <c r="T149" s="27">
        <f t="shared" si="232"/>
        <v>375000000</v>
      </c>
      <c r="U149" s="48">
        <f t="shared" si="215"/>
        <v>450000000</v>
      </c>
      <c r="V149" s="391">
        <f t="shared" si="216"/>
        <v>450000000</v>
      </c>
      <c r="W149" s="391">
        <f t="shared" si="217"/>
        <v>0</v>
      </c>
      <c r="Y149" s="27"/>
      <c r="Z149" s="27">
        <v>450000000</v>
      </c>
      <c r="AA149" s="27"/>
      <c r="AB149" s="27"/>
      <c r="AC149" s="27"/>
      <c r="AD149" s="27"/>
      <c r="AE149" s="27"/>
      <c r="AF149" s="27"/>
      <c r="AG149" s="27"/>
      <c r="AH149" s="27"/>
      <c r="AI149" s="27"/>
      <c r="AJ149" s="27">
        <f t="shared" si="233"/>
        <v>450000000</v>
      </c>
      <c r="AK149" s="31">
        <v>450000000</v>
      </c>
      <c r="AM149" s="79">
        <f t="shared" si="205"/>
        <v>-1</v>
      </c>
      <c r="AN149" s="79">
        <f t="shared" si="206"/>
        <v>11</v>
      </c>
      <c r="AO149" s="79">
        <f t="shared" si="207"/>
        <v>-1</v>
      </c>
      <c r="AP149" s="79">
        <f t="shared" si="208"/>
        <v>-1</v>
      </c>
      <c r="AQ149" s="79">
        <f t="shared" si="209"/>
        <v>-1</v>
      </c>
      <c r="AR149" s="79">
        <f t="shared" si="210"/>
        <v>-1</v>
      </c>
      <c r="AS149" s="79">
        <f t="shared" si="211"/>
        <v>-1</v>
      </c>
      <c r="AT149" s="79">
        <f t="shared" si="212"/>
        <v>-1</v>
      </c>
      <c r="AU149" s="79">
        <f t="shared" si="213"/>
        <v>-1</v>
      </c>
      <c r="AV149" s="79">
        <f t="shared" si="214"/>
        <v>-1</v>
      </c>
      <c r="AW149" s="79">
        <f t="shared" si="228"/>
        <v>0.2</v>
      </c>
      <c r="AY149" s="351">
        <v>112670105</v>
      </c>
      <c r="AZ149" s="352" t="s">
        <v>860</v>
      </c>
    </row>
    <row r="150" spans="1:52" x14ac:dyDescent="0.25">
      <c r="A150" s="351">
        <v>112670106</v>
      </c>
      <c r="B150" s="352" t="s">
        <v>861</v>
      </c>
      <c r="C150" s="357"/>
      <c r="D150" s="357"/>
      <c r="E150" s="378"/>
      <c r="F150" s="375">
        <f t="shared" si="231"/>
        <v>0</v>
      </c>
      <c r="G150" s="142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143"/>
      <c r="S150" s="143"/>
      <c r="T150" s="27">
        <f t="shared" si="232"/>
        <v>0</v>
      </c>
      <c r="U150" s="48">
        <f t="shared" si="215"/>
        <v>0</v>
      </c>
      <c r="V150" s="391">
        <f t="shared" si="216"/>
        <v>0</v>
      </c>
      <c r="W150" s="391">
        <f t="shared" si="217"/>
        <v>0</v>
      </c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>
        <f t="shared" si="233"/>
        <v>0</v>
      </c>
      <c r="AK150" s="31">
        <v>0</v>
      </c>
      <c r="AM150" s="79" t="e">
        <f t="shared" si="205"/>
        <v>#DIV/0!</v>
      </c>
      <c r="AN150" s="79" t="e">
        <f t="shared" si="206"/>
        <v>#DIV/0!</v>
      </c>
      <c r="AO150" s="79" t="e">
        <f t="shared" si="207"/>
        <v>#DIV/0!</v>
      </c>
      <c r="AP150" s="79" t="e">
        <f t="shared" si="208"/>
        <v>#DIV/0!</v>
      </c>
      <c r="AQ150" s="79" t="e">
        <f t="shared" si="209"/>
        <v>#DIV/0!</v>
      </c>
      <c r="AR150" s="79" t="e">
        <f t="shared" si="210"/>
        <v>#DIV/0!</v>
      </c>
      <c r="AS150" s="79" t="e">
        <f t="shared" si="211"/>
        <v>#DIV/0!</v>
      </c>
      <c r="AT150" s="79" t="e">
        <f t="shared" si="212"/>
        <v>#DIV/0!</v>
      </c>
      <c r="AU150" s="79" t="e">
        <f t="shared" si="213"/>
        <v>#DIV/0!</v>
      </c>
      <c r="AV150" s="79" t="e">
        <f t="shared" si="214"/>
        <v>#DIV/0!</v>
      </c>
      <c r="AW150" s="79" t="e">
        <f t="shared" si="228"/>
        <v>#DIV/0!</v>
      </c>
      <c r="AY150" s="351">
        <v>112670106</v>
      </c>
      <c r="AZ150" s="352" t="s">
        <v>861</v>
      </c>
    </row>
    <row r="151" spans="1:52" x14ac:dyDescent="0.25">
      <c r="A151" s="351">
        <v>112670107</v>
      </c>
      <c r="B151" s="352" t="s">
        <v>862</v>
      </c>
      <c r="C151" s="357"/>
      <c r="D151" s="357"/>
      <c r="E151" s="378"/>
      <c r="F151" s="375">
        <f t="shared" si="231"/>
        <v>0</v>
      </c>
      <c r="G151" s="142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143"/>
      <c r="S151" s="143"/>
      <c r="T151" s="27">
        <f t="shared" si="232"/>
        <v>0</v>
      </c>
      <c r="U151" s="48">
        <f t="shared" si="215"/>
        <v>0</v>
      </c>
      <c r="V151" s="391">
        <f t="shared" si="216"/>
        <v>0</v>
      </c>
      <c r="W151" s="391">
        <f t="shared" si="217"/>
        <v>0</v>
      </c>
      <c r="Y151" s="27"/>
      <c r="Z151" s="27"/>
      <c r="AA151" s="27">
        <v>6800000</v>
      </c>
      <c r="AB151" s="27"/>
      <c r="AC151" s="27"/>
      <c r="AD151" s="27"/>
      <c r="AE151" s="27"/>
      <c r="AF151" s="27"/>
      <c r="AG151" s="27"/>
      <c r="AH151" s="27"/>
      <c r="AI151" s="27"/>
      <c r="AJ151" s="27">
        <f t="shared" si="233"/>
        <v>6800000</v>
      </c>
      <c r="AK151" s="31">
        <v>6800000</v>
      </c>
      <c r="AM151" s="79" t="e">
        <f t="shared" si="205"/>
        <v>#DIV/0!</v>
      </c>
      <c r="AN151" s="79" t="e">
        <f t="shared" si="206"/>
        <v>#DIV/0!</v>
      </c>
      <c r="AO151" s="79" t="e">
        <f t="shared" si="207"/>
        <v>#DIV/0!</v>
      </c>
      <c r="AP151" s="79" t="e">
        <f t="shared" si="208"/>
        <v>#DIV/0!</v>
      </c>
      <c r="AQ151" s="79" t="e">
        <f t="shared" si="209"/>
        <v>#DIV/0!</v>
      </c>
      <c r="AR151" s="79" t="e">
        <f t="shared" si="210"/>
        <v>#DIV/0!</v>
      </c>
      <c r="AS151" s="79" t="e">
        <f t="shared" si="211"/>
        <v>#DIV/0!</v>
      </c>
      <c r="AT151" s="79" t="e">
        <f t="shared" si="212"/>
        <v>#DIV/0!</v>
      </c>
      <c r="AU151" s="79" t="e">
        <f t="shared" si="213"/>
        <v>#DIV/0!</v>
      </c>
      <c r="AV151" s="79" t="e">
        <f t="shared" si="214"/>
        <v>#DIV/0!</v>
      </c>
      <c r="AW151" s="79" t="e">
        <f t="shared" si="228"/>
        <v>#DIV/0!</v>
      </c>
      <c r="AY151" s="351">
        <v>112670107</v>
      </c>
      <c r="AZ151" s="352" t="s">
        <v>862</v>
      </c>
    </row>
    <row r="152" spans="1:52" x14ac:dyDescent="0.25">
      <c r="A152" s="351">
        <v>112670108</v>
      </c>
      <c r="B152" s="352" t="s">
        <v>863</v>
      </c>
      <c r="C152" s="357"/>
      <c r="D152" s="357"/>
      <c r="E152" s="378"/>
      <c r="F152" s="375">
        <f t="shared" si="231"/>
        <v>0</v>
      </c>
      <c r="G152" s="142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143"/>
      <c r="S152" s="143"/>
      <c r="T152" s="27">
        <f t="shared" si="232"/>
        <v>0</v>
      </c>
      <c r="U152" s="48">
        <f t="shared" si="215"/>
        <v>0</v>
      </c>
      <c r="V152" s="391">
        <f t="shared" si="216"/>
        <v>0</v>
      </c>
      <c r="W152" s="391">
        <f t="shared" si="217"/>
        <v>0</v>
      </c>
      <c r="Y152" s="27"/>
      <c r="Z152" s="27">
        <f t="shared" ref="Z152" si="242">+Z153</f>
        <v>0</v>
      </c>
      <c r="AA152" s="27"/>
      <c r="AB152" s="27"/>
      <c r="AC152" s="27"/>
      <c r="AD152" s="27"/>
      <c r="AE152" s="27"/>
      <c r="AF152" s="27"/>
      <c r="AG152" s="27"/>
      <c r="AH152" s="27"/>
      <c r="AI152" s="27"/>
      <c r="AJ152" s="27">
        <f t="shared" si="233"/>
        <v>0</v>
      </c>
      <c r="AK152" s="31">
        <v>0</v>
      </c>
      <c r="AM152" s="79" t="e">
        <f t="shared" si="205"/>
        <v>#DIV/0!</v>
      </c>
      <c r="AN152" s="79" t="e">
        <f t="shared" si="206"/>
        <v>#DIV/0!</v>
      </c>
      <c r="AO152" s="79" t="e">
        <f t="shared" si="207"/>
        <v>#DIV/0!</v>
      </c>
      <c r="AP152" s="79" t="e">
        <f t="shared" si="208"/>
        <v>#DIV/0!</v>
      </c>
      <c r="AQ152" s="79" t="e">
        <f t="shared" si="209"/>
        <v>#DIV/0!</v>
      </c>
      <c r="AR152" s="79" t="e">
        <f t="shared" si="210"/>
        <v>#DIV/0!</v>
      </c>
      <c r="AS152" s="79" t="e">
        <f t="shared" si="211"/>
        <v>#DIV/0!</v>
      </c>
      <c r="AT152" s="79" t="e">
        <f t="shared" si="212"/>
        <v>#DIV/0!</v>
      </c>
      <c r="AU152" s="79" t="e">
        <f t="shared" si="213"/>
        <v>#DIV/0!</v>
      </c>
      <c r="AV152" s="79" t="e">
        <f t="shared" si="214"/>
        <v>#DIV/0!</v>
      </c>
      <c r="AW152" s="79" t="e">
        <f t="shared" si="228"/>
        <v>#DIV/0!</v>
      </c>
      <c r="AY152" s="351">
        <v>112670108</v>
      </c>
      <c r="AZ152" s="352" t="s">
        <v>863</v>
      </c>
    </row>
    <row r="153" spans="1:52" x14ac:dyDescent="0.25">
      <c r="A153" s="351">
        <v>112670109</v>
      </c>
      <c r="B153" s="352" t="s">
        <v>864</v>
      </c>
      <c r="C153" s="357"/>
      <c r="D153" s="357"/>
      <c r="E153" s="378"/>
      <c r="F153" s="375">
        <f t="shared" si="231"/>
        <v>0</v>
      </c>
      <c r="G153" s="142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143"/>
      <c r="S153" s="143"/>
      <c r="T153" s="27">
        <f t="shared" si="232"/>
        <v>0</v>
      </c>
      <c r="U153" s="48">
        <f t="shared" si="215"/>
        <v>0</v>
      </c>
      <c r="V153" s="391">
        <f t="shared" si="216"/>
        <v>0</v>
      </c>
      <c r="W153" s="391">
        <f t="shared" si="217"/>
        <v>0</v>
      </c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>
        <f t="shared" si="233"/>
        <v>0</v>
      </c>
      <c r="AK153" s="31">
        <v>0</v>
      </c>
      <c r="AM153" s="79" t="e">
        <f t="shared" si="205"/>
        <v>#DIV/0!</v>
      </c>
      <c r="AN153" s="79" t="e">
        <f t="shared" si="206"/>
        <v>#DIV/0!</v>
      </c>
      <c r="AO153" s="79" t="e">
        <f t="shared" si="207"/>
        <v>#DIV/0!</v>
      </c>
      <c r="AP153" s="79" t="e">
        <f t="shared" si="208"/>
        <v>#DIV/0!</v>
      </c>
      <c r="AQ153" s="79" t="e">
        <f t="shared" si="209"/>
        <v>#DIV/0!</v>
      </c>
      <c r="AR153" s="79" t="e">
        <f t="shared" si="210"/>
        <v>#DIV/0!</v>
      </c>
      <c r="AS153" s="79" t="e">
        <f t="shared" si="211"/>
        <v>#DIV/0!</v>
      </c>
      <c r="AT153" s="79" t="e">
        <f t="shared" si="212"/>
        <v>#DIV/0!</v>
      </c>
      <c r="AU153" s="79" t="e">
        <f t="shared" si="213"/>
        <v>#DIV/0!</v>
      </c>
      <c r="AV153" s="79" t="e">
        <f t="shared" si="214"/>
        <v>#DIV/0!</v>
      </c>
      <c r="AW153" s="79" t="e">
        <f t="shared" si="228"/>
        <v>#DIV/0!</v>
      </c>
      <c r="AY153" s="351">
        <v>112670109</v>
      </c>
      <c r="AZ153" s="352" t="s">
        <v>864</v>
      </c>
    </row>
    <row r="154" spans="1:52" x14ac:dyDescent="0.25">
      <c r="A154" s="351">
        <v>112670110</v>
      </c>
      <c r="B154" s="352" t="s">
        <v>865</v>
      </c>
      <c r="C154" s="357"/>
      <c r="D154" s="357"/>
      <c r="E154" s="378"/>
      <c r="F154" s="375">
        <f t="shared" si="231"/>
        <v>0</v>
      </c>
      <c r="G154" s="142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143"/>
      <c r="S154" s="143"/>
      <c r="T154" s="27">
        <f t="shared" si="232"/>
        <v>0</v>
      </c>
      <c r="U154" s="48">
        <f t="shared" si="215"/>
        <v>0</v>
      </c>
      <c r="V154" s="391">
        <f t="shared" si="216"/>
        <v>0</v>
      </c>
      <c r="W154" s="391">
        <f t="shared" si="217"/>
        <v>0</v>
      </c>
      <c r="Y154" s="27"/>
      <c r="Z154" s="27">
        <v>50483923</v>
      </c>
      <c r="AA154" s="27"/>
      <c r="AB154" s="27"/>
      <c r="AC154" s="27"/>
      <c r="AD154" s="27"/>
      <c r="AE154" s="27"/>
      <c r="AF154" s="27"/>
      <c r="AG154" s="27"/>
      <c r="AH154" s="27"/>
      <c r="AI154" s="27"/>
      <c r="AJ154" s="27">
        <f t="shared" si="233"/>
        <v>50483923</v>
      </c>
      <c r="AK154" s="31">
        <v>50483923</v>
      </c>
      <c r="AM154" s="79" t="e">
        <f t="shared" si="205"/>
        <v>#DIV/0!</v>
      </c>
      <c r="AN154" s="79" t="e">
        <f t="shared" si="206"/>
        <v>#DIV/0!</v>
      </c>
      <c r="AO154" s="79" t="e">
        <f t="shared" si="207"/>
        <v>#DIV/0!</v>
      </c>
      <c r="AP154" s="79" t="e">
        <f t="shared" si="208"/>
        <v>#DIV/0!</v>
      </c>
      <c r="AQ154" s="79" t="e">
        <f t="shared" si="209"/>
        <v>#DIV/0!</v>
      </c>
      <c r="AR154" s="79" t="e">
        <f t="shared" si="210"/>
        <v>#DIV/0!</v>
      </c>
      <c r="AS154" s="79" t="e">
        <f t="shared" si="211"/>
        <v>#DIV/0!</v>
      </c>
      <c r="AT154" s="79" t="e">
        <f t="shared" si="212"/>
        <v>#DIV/0!</v>
      </c>
      <c r="AU154" s="79" t="e">
        <f t="shared" si="213"/>
        <v>#DIV/0!</v>
      </c>
      <c r="AV154" s="79" t="e">
        <f t="shared" si="214"/>
        <v>#DIV/0!</v>
      </c>
      <c r="AW154" s="79" t="e">
        <f t="shared" si="228"/>
        <v>#DIV/0!</v>
      </c>
      <c r="AY154" s="351">
        <v>112670110</v>
      </c>
      <c r="AZ154" s="352" t="s">
        <v>865</v>
      </c>
    </row>
    <row r="155" spans="1:52" x14ac:dyDescent="0.25">
      <c r="A155" s="351">
        <v>112670111</v>
      </c>
      <c r="B155" s="352" t="s">
        <v>866</v>
      </c>
      <c r="C155" s="357"/>
      <c r="D155" s="357">
        <v>75272541</v>
      </c>
      <c r="E155" s="378"/>
      <c r="F155" s="375">
        <f t="shared" si="231"/>
        <v>75272541</v>
      </c>
      <c r="G155" s="142"/>
      <c r="H155" s="27">
        <v>6272711.75</v>
      </c>
      <c r="I155" s="27">
        <v>6272711.75</v>
      </c>
      <c r="J155" s="27">
        <v>6272711.75</v>
      </c>
      <c r="K155" s="27">
        <v>6272711.75</v>
      </c>
      <c r="L155" s="27">
        <v>6272711.75</v>
      </c>
      <c r="M155" s="27">
        <v>6272711.75</v>
      </c>
      <c r="N155" s="27">
        <v>6272711.75</v>
      </c>
      <c r="O155" s="27">
        <v>6272711.75</v>
      </c>
      <c r="P155" s="27">
        <v>6272711.75</v>
      </c>
      <c r="Q155" s="27">
        <v>6272711.75</v>
      </c>
      <c r="R155" s="143">
        <v>6272711.75</v>
      </c>
      <c r="S155" s="143">
        <v>6272711.75</v>
      </c>
      <c r="T155" s="27">
        <f t="shared" si="232"/>
        <v>62727117.5</v>
      </c>
      <c r="U155" s="48">
        <f t="shared" si="215"/>
        <v>75272541</v>
      </c>
      <c r="V155" s="391">
        <f t="shared" si="216"/>
        <v>75272541</v>
      </c>
      <c r="W155" s="391">
        <f t="shared" si="217"/>
        <v>0</v>
      </c>
      <c r="Y155" s="27"/>
      <c r="Z155" s="27"/>
      <c r="AA155" s="27">
        <v>102975000</v>
      </c>
      <c r="AB155" s="27"/>
      <c r="AC155" s="27"/>
      <c r="AD155" s="27"/>
      <c r="AE155" s="27"/>
      <c r="AF155" s="27"/>
      <c r="AG155" s="27"/>
      <c r="AH155" s="27"/>
      <c r="AI155" s="27"/>
      <c r="AJ155" s="27">
        <f t="shared" si="233"/>
        <v>102975000</v>
      </c>
      <c r="AK155" s="31">
        <v>102975000</v>
      </c>
      <c r="AM155" s="79">
        <f t="shared" si="205"/>
        <v>-1</v>
      </c>
      <c r="AN155" s="79">
        <f t="shared" si="206"/>
        <v>-1</v>
      </c>
      <c r="AO155" s="79">
        <f t="shared" si="207"/>
        <v>15.416344972331942</v>
      </c>
      <c r="AP155" s="79">
        <f t="shared" si="208"/>
        <v>-1</v>
      </c>
      <c r="AQ155" s="79">
        <f t="shared" si="209"/>
        <v>-1</v>
      </c>
      <c r="AR155" s="79">
        <f t="shared" si="210"/>
        <v>-1</v>
      </c>
      <c r="AS155" s="79">
        <f t="shared" si="211"/>
        <v>-1</v>
      </c>
      <c r="AT155" s="79">
        <f t="shared" si="212"/>
        <v>-1</v>
      </c>
      <c r="AU155" s="79">
        <f t="shared" si="213"/>
        <v>-1</v>
      </c>
      <c r="AV155" s="79">
        <f t="shared" si="214"/>
        <v>-1</v>
      </c>
      <c r="AW155" s="79">
        <f t="shared" si="228"/>
        <v>0.64163449723319421</v>
      </c>
      <c r="AY155" s="351">
        <v>112670111</v>
      </c>
      <c r="AZ155" s="352" t="s">
        <v>866</v>
      </c>
    </row>
    <row r="156" spans="1:52" x14ac:dyDescent="0.25">
      <c r="A156" s="351">
        <v>112670112</v>
      </c>
      <c r="B156" s="352" t="s">
        <v>867</v>
      </c>
      <c r="C156" s="357"/>
      <c r="D156" s="357"/>
      <c r="E156" s="378"/>
      <c r="F156" s="375">
        <f t="shared" si="231"/>
        <v>0</v>
      </c>
      <c r="G156" s="142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143"/>
      <c r="S156" s="143"/>
      <c r="T156" s="27">
        <f t="shared" si="232"/>
        <v>0</v>
      </c>
      <c r="U156" s="48">
        <f t="shared" si="215"/>
        <v>0</v>
      </c>
      <c r="V156" s="391">
        <f t="shared" si="216"/>
        <v>0</v>
      </c>
      <c r="W156" s="391">
        <f t="shared" si="217"/>
        <v>0</v>
      </c>
      <c r="Y156" s="27"/>
      <c r="Z156" s="27">
        <v>30882000</v>
      </c>
      <c r="AA156" s="27"/>
      <c r="AB156" s="27"/>
      <c r="AC156" s="27"/>
      <c r="AD156" s="27"/>
      <c r="AE156" s="27"/>
      <c r="AF156" s="27"/>
      <c r="AG156" s="27"/>
      <c r="AH156" s="27"/>
      <c r="AI156" s="27"/>
      <c r="AJ156" s="27">
        <f t="shared" si="233"/>
        <v>30882000</v>
      </c>
      <c r="AK156" s="31">
        <v>30882000</v>
      </c>
      <c r="AM156" s="79" t="e">
        <f t="shared" si="205"/>
        <v>#DIV/0!</v>
      </c>
      <c r="AN156" s="79" t="e">
        <f t="shared" si="206"/>
        <v>#DIV/0!</v>
      </c>
      <c r="AO156" s="79" t="e">
        <f t="shared" si="207"/>
        <v>#DIV/0!</v>
      </c>
      <c r="AP156" s="79" t="e">
        <f t="shared" si="208"/>
        <v>#DIV/0!</v>
      </c>
      <c r="AQ156" s="79" t="e">
        <f t="shared" si="209"/>
        <v>#DIV/0!</v>
      </c>
      <c r="AR156" s="79" t="e">
        <f t="shared" si="210"/>
        <v>#DIV/0!</v>
      </c>
      <c r="AS156" s="79" t="e">
        <f t="shared" si="211"/>
        <v>#DIV/0!</v>
      </c>
      <c r="AT156" s="79" t="e">
        <f t="shared" si="212"/>
        <v>#DIV/0!</v>
      </c>
      <c r="AU156" s="79" t="e">
        <f t="shared" si="213"/>
        <v>#DIV/0!</v>
      </c>
      <c r="AV156" s="79" t="e">
        <f t="shared" si="214"/>
        <v>#DIV/0!</v>
      </c>
      <c r="AW156" s="79" t="e">
        <f t="shared" si="228"/>
        <v>#DIV/0!</v>
      </c>
      <c r="AY156" s="351">
        <v>112670112</v>
      </c>
      <c r="AZ156" s="352" t="s">
        <v>867</v>
      </c>
    </row>
    <row r="157" spans="1:52" x14ac:dyDescent="0.25">
      <c r="A157" s="351">
        <v>112670113</v>
      </c>
      <c r="B157" s="352" t="s">
        <v>868</v>
      </c>
      <c r="C157" s="357"/>
      <c r="D157" s="357"/>
      <c r="E157" s="378"/>
      <c r="F157" s="375">
        <f t="shared" si="231"/>
        <v>0</v>
      </c>
      <c r="G157" s="142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143"/>
      <c r="S157" s="143"/>
      <c r="T157" s="27">
        <f t="shared" si="232"/>
        <v>0</v>
      </c>
      <c r="U157" s="48">
        <f t="shared" si="215"/>
        <v>0</v>
      </c>
      <c r="V157" s="391">
        <f t="shared" si="216"/>
        <v>0</v>
      </c>
      <c r="W157" s="391">
        <f t="shared" si="217"/>
        <v>0</v>
      </c>
      <c r="Y157" s="27"/>
      <c r="Z157" s="27"/>
      <c r="AA157" s="27">
        <v>10500000</v>
      </c>
      <c r="AB157" s="27"/>
      <c r="AC157" s="27">
        <v>7000000</v>
      </c>
      <c r="AD157" s="27"/>
      <c r="AE157" s="27"/>
      <c r="AF157" s="27"/>
      <c r="AG157" s="27"/>
      <c r="AH157" s="27"/>
      <c r="AI157" s="27"/>
      <c r="AJ157" s="27">
        <f t="shared" si="233"/>
        <v>17500000</v>
      </c>
      <c r="AK157" s="31">
        <v>17500000</v>
      </c>
      <c r="AM157" s="79" t="e">
        <f t="shared" si="205"/>
        <v>#DIV/0!</v>
      </c>
      <c r="AN157" s="79" t="e">
        <f t="shared" si="206"/>
        <v>#DIV/0!</v>
      </c>
      <c r="AO157" s="79" t="e">
        <f t="shared" si="207"/>
        <v>#DIV/0!</v>
      </c>
      <c r="AP157" s="79" t="e">
        <f t="shared" si="208"/>
        <v>#DIV/0!</v>
      </c>
      <c r="AQ157" s="79" t="e">
        <f t="shared" si="209"/>
        <v>#DIV/0!</v>
      </c>
      <c r="AR157" s="79" t="e">
        <f t="shared" si="210"/>
        <v>#DIV/0!</v>
      </c>
      <c r="AS157" s="79" t="e">
        <f t="shared" si="211"/>
        <v>#DIV/0!</v>
      </c>
      <c r="AT157" s="79" t="e">
        <f t="shared" si="212"/>
        <v>#DIV/0!</v>
      </c>
      <c r="AU157" s="79" t="e">
        <f t="shared" si="213"/>
        <v>#DIV/0!</v>
      </c>
      <c r="AV157" s="79" t="e">
        <f t="shared" si="214"/>
        <v>#DIV/0!</v>
      </c>
      <c r="AW157" s="79" t="e">
        <f t="shared" si="228"/>
        <v>#DIV/0!</v>
      </c>
      <c r="AY157" s="351">
        <v>112670113</v>
      </c>
      <c r="AZ157" s="352" t="s">
        <v>868</v>
      </c>
    </row>
    <row r="158" spans="1:52" x14ac:dyDescent="0.25">
      <c r="A158" s="351">
        <v>112670114</v>
      </c>
      <c r="B158" s="352" t="s">
        <v>885</v>
      </c>
      <c r="C158" s="357"/>
      <c r="D158" s="357">
        <v>96000000</v>
      </c>
      <c r="E158" s="378"/>
      <c r="F158" s="375">
        <f t="shared" si="231"/>
        <v>96000000</v>
      </c>
      <c r="G158" s="142"/>
      <c r="H158" s="27">
        <v>8000000</v>
      </c>
      <c r="I158" s="27">
        <v>8000000</v>
      </c>
      <c r="J158" s="27">
        <v>8000000</v>
      </c>
      <c r="K158" s="27">
        <v>8000000</v>
      </c>
      <c r="L158" s="27">
        <v>8000000</v>
      </c>
      <c r="M158" s="27">
        <v>8000000</v>
      </c>
      <c r="N158" s="27">
        <v>8000000</v>
      </c>
      <c r="O158" s="27">
        <v>8000000</v>
      </c>
      <c r="P158" s="27">
        <v>8000000</v>
      </c>
      <c r="Q158" s="27">
        <v>8000000</v>
      </c>
      <c r="R158" s="143">
        <v>8000000</v>
      </c>
      <c r="S158" s="143">
        <v>8000000</v>
      </c>
      <c r="T158" s="27">
        <f t="shared" si="232"/>
        <v>80000000</v>
      </c>
      <c r="U158" s="48">
        <f t="shared" si="215"/>
        <v>96000000</v>
      </c>
      <c r="V158" s="391">
        <f t="shared" si="216"/>
        <v>96000000</v>
      </c>
      <c r="W158" s="391">
        <f t="shared" si="217"/>
        <v>0</v>
      </c>
      <c r="Y158" s="27"/>
      <c r="Z158" s="27"/>
      <c r="AA158" s="27"/>
      <c r="AB158" s="27"/>
      <c r="AC158" s="27"/>
      <c r="AD158" s="27"/>
      <c r="AE158" s="27"/>
      <c r="AF158" s="27"/>
      <c r="AG158" s="27"/>
      <c r="AH158" s="27">
        <v>8347603</v>
      </c>
      <c r="AI158" s="27"/>
      <c r="AJ158" s="27">
        <f t="shared" si="233"/>
        <v>8347603</v>
      </c>
      <c r="AK158" s="31">
        <v>0</v>
      </c>
      <c r="AM158" s="79">
        <f t="shared" si="205"/>
        <v>-1</v>
      </c>
      <c r="AN158" s="79">
        <f t="shared" si="206"/>
        <v>-1</v>
      </c>
      <c r="AO158" s="79">
        <f t="shared" si="207"/>
        <v>-1</v>
      </c>
      <c r="AP158" s="79">
        <f t="shared" si="208"/>
        <v>-1</v>
      </c>
      <c r="AQ158" s="79">
        <f t="shared" si="209"/>
        <v>-1</v>
      </c>
      <c r="AR158" s="79">
        <f t="shared" si="210"/>
        <v>-1</v>
      </c>
      <c r="AS158" s="79">
        <f t="shared" si="211"/>
        <v>-1</v>
      </c>
      <c r="AT158" s="79">
        <f t="shared" si="212"/>
        <v>-1</v>
      </c>
      <c r="AU158" s="79">
        <f t="shared" si="213"/>
        <v>-1</v>
      </c>
      <c r="AV158" s="79">
        <f t="shared" si="214"/>
        <v>4.3450374999999999E-2</v>
      </c>
      <c r="AW158" s="79">
        <f t="shared" si="228"/>
        <v>-0.89565496249999998</v>
      </c>
      <c r="AY158" s="351">
        <v>112670114</v>
      </c>
      <c r="AZ158" s="352" t="s">
        <v>885</v>
      </c>
    </row>
    <row r="159" spans="1:52" x14ac:dyDescent="0.25">
      <c r="A159" s="351">
        <v>112670119</v>
      </c>
      <c r="B159" s="352" t="s">
        <v>1007</v>
      </c>
      <c r="C159" s="357"/>
      <c r="D159" s="357">
        <v>308347603</v>
      </c>
      <c r="E159" s="378"/>
      <c r="F159" s="375">
        <f t="shared" si="231"/>
        <v>308347603</v>
      </c>
      <c r="G159" s="142"/>
      <c r="H159" s="334">
        <v>25695633.583333332</v>
      </c>
      <c r="I159" s="334">
        <v>25695633.583333332</v>
      </c>
      <c r="J159" s="334">
        <v>25695633.583333332</v>
      </c>
      <c r="K159" s="334">
        <v>25695633.583333332</v>
      </c>
      <c r="L159" s="334">
        <v>25695633.583333332</v>
      </c>
      <c r="M159" s="334">
        <v>25695633.583333332</v>
      </c>
      <c r="N159" s="334">
        <v>25695633.583333332</v>
      </c>
      <c r="O159" s="334">
        <v>25695633.583333332</v>
      </c>
      <c r="P159" s="334">
        <v>25695633.583333332</v>
      </c>
      <c r="Q159" s="334">
        <v>25695633.583333332</v>
      </c>
      <c r="R159" s="143">
        <v>25695633.583333332</v>
      </c>
      <c r="S159" s="143">
        <v>25695633.583333332</v>
      </c>
      <c r="T159" s="334">
        <f t="shared" si="232"/>
        <v>256956335.83333337</v>
      </c>
      <c r="U159" s="48">
        <f t="shared" si="215"/>
        <v>308347603</v>
      </c>
      <c r="V159" s="391">
        <f t="shared" si="216"/>
        <v>308347603</v>
      </c>
      <c r="W159" s="391">
        <f t="shared" si="217"/>
        <v>0</v>
      </c>
      <c r="Y159" s="334"/>
      <c r="Z159" s="334"/>
      <c r="AA159" s="334"/>
      <c r="AB159" s="334"/>
      <c r="AC159" s="334"/>
      <c r="AD159" s="334"/>
      <c r="AE159" s="334"/>
      <c r="AF159" s="334"/>
      <c r="AG159" s="334">
        <v>300000000</v>
      </c>
      <c r="AH159" s="334"/>
      <c r="AI159" s="334"/>
      <c r="AJ159" s="334">
        <f t="shared" si="233"/>
        <v>300000000</v>
      </c>
      <c r="AK159" s="333"/>
      <c r="AM159" s="79">
        <f t="shared" si="205"/>
        <v>-1</v>
      </c>
      <c r="AN159" s="79">
        <f t="shared" si="206"/>
        <v>-1</v>
      </c>
      <c r="AO159" s="79">
        <f t="shared" si="207"/>
        <v>-1</v>
      </c>
      <c r="AP159" s="79">
        <f t="shared" si="208"/>
        <v>-1</v>
      </c>
      <c r="AQ159" s="79">
        <f t="shared" si="209"/>
        <v>-1</v>
      </c>
      <c r="AR159" s="79">
        <f t="shared" si="210"/>
        <v>-1</v>
      </c>
      <c r="AS159" s="79">
        <f t="shared" si="211"/>
        <v>-1</v>
      </c>
      <c r="AT159" s="79">
        <f t="shared" si="212"/>
        <v>-1</v>
      </c>
      <c r="AU159" s="79">
        <f t="shared" si="213"/>
        <v>10.67513535041166</v>
      </c>
      <c r="AV159" s="79">
        <f t="shared" si="214"/>
        <v>-1</v>
      </c>
      <c r="AW159" s="79">
        <f t="shared" si="228"/>
        <v>0.16751353504116567</v>
      </c>
      <c r="AY159" s="351">
        <v>112670119</v>
      </c>
      <c r="AZ159" s="352" t="s">
        <v>1007</v>
      </c>
    </row>
    <row r="160" spans="1:52" x14ac:dyDescent="0.25">
      <c r="A160" s="351">
        <v>112670120</v>
      </c>
      <c r="B160" s="352" t="s">
        <v>1032</v>
      </c>
      <c r="C160" s="357"/>
      <c r="D160" s="357">
        <v>543246923</v>
      </c>
      <c r="E160" s="378"/>
      <c r="F160" s="375">
        <f t="shared" si="231"/>
        <v>543246923</v>
      </c>
      <c r="G160" s="359"/>
      <c r="H160" s="357"/>
      <c r="I160" s="357"/>
      <c r="J160" s="357"/>
      <c r="K160" s="357"/>
      <c r="L160" s="357"/>
      <c r="M160" s="357"/>
      <c r="N160" s="357"/>
      <c r="O160" s="357"/>
      <c r="P160" s="357"/>
      <c r="Q160" s="357">
        <v>543246923</v>
      </c>
      <c r="R160" s="422"/>
      <c r="S160" s="422"/>
      <c r="T160" s="334">
        <f t="shared" ref="T160" si="243">SUM(H160:Q160)</f>
        <v>543246923</v>
      </c>
      <c r="U160" s="48">
        <f t="shared" ref="U160" si="244">SUM(H160:S160)</f>
        <v>543246923</v>
      </c>
      <c r="V160" s="391"/>
      <c r="W160" s="391"/>
      <c r="Y160" s="357"/>
      <c r="Z160" s="357"/>
      <c r="AA160" s="357"/>
      <c r="AB160" s="357"/>
      <c r="AC160" s="357"/>
      <c r="AD160" s="357"/>
      <c r="AE160" s="357"/>
      <c r="AF160" s="357"/>
      <c r="AG160" s="357"/>
      <c r="AH160" s="357"/>
      <c r="AI160" s="357"/>
      <c r="AJ160" s="357">
        <f t="shared" si="233"/>
        <v>0</v>
      </c>
      <c r="AK160" s="358"/>
      <c r="AM160" s="423"/>
      <c r="AN160" s="423"/>
      <c r="AO160" s="423"/>
      <c r="AP160" s="423"/>
      <c r="AQ160" s="423"/>
      <c r="AR160" s="423"/>
      <c r="AS160" s="423"/>
      <c r="AT160" s="423"/>
      <c r="AU160" s="423"/>
      <c r="AV160" s="423">
        <f t="shared" ref="AV160:AV182" si="245">(AH160-Q160)/Q160</f>
        <v>-1</v>
      </c>
      <c r="AW160" s="423">
        <f t="shared" si="228"/>
        <v>-1</v>
      </c>
      <c r="AY160" s="351">
        <v>112670120</v>
      </c>
      <c r="AZ160" s="352" t="s">
        <v>1032</v>
      </c>
    </row>
    <row r="161" spans="1:52" x14ac:dyDescent="0.25">
      <c r="A161" s="351">
        <v>112670121</v>
      </c>
      <c r="B161" s="352" t="s">
        <v>1008</v>
      </c>
      <c r="C161" s="357"/>
      <c r="D161" s="357">
        <v>470557529</v>
      </c>
      <c r="E161" s="378"/>
      <c r="F161" s="375">
        <f t="shared" si="231"/>
        <v>470557529</v>
      </c>
      <c r="G161" s="142"/>
      <c r="H161" s="334">
        <v>39213127.416666664</v>
      </c>
      <c r="I161" s="334">
        <v>39213127.416666664</v>
      </c>
      <c r="J161" s="334">
        <v>39213127.416666664</v>
      </c>
      <c r="K161" s="334">
        <v>39213127.416666664</v>
      </c>
      <c r="L161" s="334">
        <v>39213127.416666664</v>
      </c>
      <c r="M161" s="334">
        <v>39213127.416666664</v>
      </c>
      <c r="N161" s="334">
        <v>39213127.416666664</v>
      </c>
      <c r="O161" s="334">
        <v>39213127.416666664</v>
      </c>
      <c r="P161" s="334">
        <v>39213127.416666664</v>
      </c>
      <c r="Q161" s="334">
        <v>39213127.416666664</v>
      </c>
      <c r="R161" s="143">
        <v>39213127.416666664</v>
      </c>
      <c r="S161" s="143">
        <v>39213127.416666664</v>
      </c>
      <c r="T161" s="334">
        <f t="shared" si="232"/>
        <v>392131274.16666669</v>
      </c>
      <c r="U161" s="48">
        <f t="shared" si="215"/>
        <v>470557529.00000006</v>
      </c>
      <c r="V161" s="391">
        <f t="shared" si="216"/>
        <v>470557529</v>
      </c>
      <c r="W161" s="391">
        <f t="shared" si="217"/>
        <v>0</v>
      </c>
      <c r="Y161" s="334"/>
      <c r="Z161" s="334"/>
      <c r="AA161" s="334"/>
      <c r="AB161" s="334"/>
      <c r="AC161" s="334"/>
      <c r="AD161" s="334"/>
      <c r="AE161" s="334"/>
      <c r="AF161" s="334"/>
      <c r="AG161" s="334">
        <v>326557529</v>
      </c>
      <c r="AH161" s="334">
        <v>89698147.200000003</v>
      </c>
      <c r="AI161" s="334"/>
      <c r="AJ161" s="334">
        <f t="shared" si="233"/>
        <v>416255676.19999999</v>
      </c>
      <c r="AK161" s="333"/>
      <c r="AM161" s="79">
        <f t="shared" ref="AM161:AM182" si="246">(Y161-H161)/H161</f>
        <v>-1</v>
      </c>
      <c r="AN161" s="79">
        <f t="shared" ref="AN161:AN182" si="247">(Z161-I161)/I161</f>
        <v>-1</v>
      </c>
      <c r="AO161" s="79">
        <f t="shared" ref="AO161:AO182" si="248">(AA161-J161)/J161</f>
        <v>-1</v>
      </c>
      <c r="AP161" s="79">
        <f t="shared" ref="AP161:AP182" si="249">(AB161-K161)/K161</f>
        <v>-1</v>
      </c>
      <c r="AQ161" s="79">
        <f t="shared" ref="AQ161:AQ182" si="250">(AC161-L161)/L161</f>
        <v>-1</v>
      </c>
      <c r="AR161" s="79">
        <f t="shared" ref="AR161:AR182" si="251">(AD161-M161)/M161</f>
        <v>-1</v>
      </c>
      <c r="AS161" s="79">
        <f t="shared" ref="AS161:AS182" si="252">(AE161-N161)/N161</f>
        <v>-1</v>
      </c>
      <c r="AT161" s="79">
        <f t="shared" ref="AT161:AT182" si="253">(AF161-O161)/O161</f>
        <v>-1</v>
      </c>
      <c r="AU161" s="79">
        <f t="shared" ref="AU161:AU182" si="254">(AG161-P161)/P161</f>
        <v>7.3277603831517908</v>
      </c>
      <c r="AV161" s="79">
        <f t="shared" si="245"/>
        <v>1.2874520118452937</v>
      </c>
      <c r="AW161" s="79">
        <f t="shared" si="228"/>
        <v>6.1521239499708356E-2</v>
      </c>
      <c r="AY161" s="351">
        <v>112670121</v>
      </c>
      <c r="AZ161" s="352" t="s">
        <v>1008</v>
      </c>
    </row>
    <row r="162" spans="1:52" x14ac:dyDescent="0.25">
      <c r="A162" s="345" t="s">
        <v>473</v>
      </c>
      <c r="B162" s="346" t="s">
        <v>474</v>
      </c>
      <c r="C162" s="354">
        <f>+C163+C166+C168</f>
        <v>360566197</v>
      </c>
      <c r="D162" s="354">
        <f t="shared" ref="D162:F162" si="255">+D163+D166+D168</f>
        <v>23080820183.77</v>
      </c>
      <c r="E162" s="354">
        <f t="shared" si="255"/>
        <v>0</v>
      </c>
      <c r="F162" s="354">
        <f t="shared" si="255"/>
        <v>23441386380.77</v>
      </c>
      <c r="G162" s="144">
        <f t="shared" ref="G162" si="256">+G163+G168</f>
        <v>360566197</v>
      </c>
      <c r="H162" s="354">
        <f t="shared" ref="H162:S162" si="257">+H163+H166+H168</f>
        <v>21143836865.104168</v>
      </c>
      <c r="I162" s="354">
        <f t="shared" si="257"/>
        <v>1668643932.5241656</v>
      </c>
      <c r="J162" s="354">
        <f t="shared" si="257"/>
        <v>62890558.314166665</v>
      </c>
      <c r="K162" s="354">
        <f t="shared" si="257"/>
        <v>62890558.314166665</v>
      </c>
      <c r="L162" s="354">
        <f t="shared" si="257"/>
        <v>62890558.314166665</v>
      </c>
      <c r="M162" s="354">
        <f t="shared" si="257"/>
        <v>62890558.314166665</v>
      </c>
      <c r="N162" s="354">
        <f t="shared" si="257"/>
        <v>62890558.314166665</v>
      </c>
      <c r="O162" s="354">
        <f t="shared" si="257"/>
        <v>62890558.314166665</v>
      </c>
      <c r="P162" s="354">
        <f t="shared" si="257"/>
        <v>62890558.314166665</v>
      </c>
      <c r="Q162" s="354">
        <f t="shared" si="257"/>
        <v>62890558.314166665</v>
      </c>
      <c r="R162" s="354">
        <f t="shared" si="257"/>
        <v>62890558.314166665</v>
      </c>
      <c r="S162" s="354">
        <f t="shared" si="257"/>
        <v>62890558.314166665</v>
      </c>
      <c r="T162" s="48">
        <f t="shared" si="232"/>
        <v>23315605264.14167</v>
      </c>
      <c r="U162" s="48">
        <f>+U163+U166+U168+U165</f>
        <v>23441386380.77</v>
      </c>
      <c r="V162" s="48">
        <f>+V163+V166+V168+V165</f>
        <v>23441386380.77</v>
      </c>
      <c r="W162" s="391">
        <f>+V162-F162</f>
        <v>0</v>
      </c>
      <c r="Y162" s="48">
        <f t="shared" ref="Y162:AG162" si="258">+Y163+Y166+Y168</f>
        <v>20162081577.649998</v>
      </c>
      <c r="Z162" s="48">
        <f t="shared" si="258"/>
        <v>2601443574.0300002</v>
      </c>
      <c r="AA162" s="48">
        <f t="shared" si="258"/>
        <v>101039509.63</v>
      </c>
      <c r="AB162" s="48">
        <f t="shared" si="258"/>
        <v>370180211.99000001</v>
      </c>
      <c r="AC162" s="48">
        <f t="shared" si="258"/>
        <v>96395161.620000005</v>
      </c>
      <c r="AD162" s="48">
        <f t="shared" si="258"/>
        <v>75370359.00999999</v>
      </c>
      <c r="AE162" s="48">
        <f t="shared" si="258"/>
        <v>64757892.140000001</v>
      </c>
      <c r="AF162" s="48">
        <f t="shared" si="258"/>
        <v>22457429.109999999</v>
      </c>
      <c r="AG162" s="48">
        <f t="shared" si="258"/>
        <v>74642634.680000007</v>
      </c>
      <c r="AH162" s="48">
        <v>0</v>
      </c>
      <c r="AI162" s="48"/>
      <c r="AJ162" s="48">
        <f t="shared" si="233"/>
        <v>23568368349.859997</v>
      </c>
      <c r="AK162" s="48">
        <f t="shared" ref="AK162" si="259">+AK163+AK168+AK166</f>
        <v>23471268286.069996</v>
      </c>
      <c r="AM162" s="79">
        <f t="shared" si="246"/>
        <v>-4.6432220117743207E-2</v>
      </c>
      <c r="AN162" s="79">
        <f t="shared" si="247"/>
        <v>0.55901659025289119</v>
      </c>
      <c r="AO162" s="79">
        <f t="shared" si="248"/>
        <v>0.60659266412077528</v>
      </c>
      <c r="AP162" s="79">
        <f t="shared" si="249"/>
        <v>4.8861015375437296</v>
      </c>
      <c r="AQ162" s="79">
        <f t="shared" si="250"/>
        <v>0.53274456776902435</v>
      </c>
      <c r="AR162" s="79">
        <f t="shared" si="251"/>
        <v>0.1984367929044468</v>
      </c>
      <c r="AS162" s="79">
        <f t="shared" si="252"/>
        <v>2.9691799149009969E-2</v>
      </c>
      <c r="AT162" s="79">
        <f t="shared" si="253"/>
        <v>-0.64291254980095702</v>
      </c>
      <c r="AU162" s="79">
        <f t="shared" si="254"/>
        <v>0.18686551178519401</v>
      </c>
      <c r="AV162" s="79">
        <f t="shared" si="245"/>
        <v>-1</v>
      </c>
      <c r="AW162" s="79">
        <f t="shared" si="228"/>
        <v>1.084094034252092E-2</v>
      </c>
      <c r="AY162" s="345" t="s">
        <v>473</v>
      </c>
      <c r="AZ162" s="346" t="s">
        <v>474</v>
      </c>
    </row>
    <row r="163" spans="1:52" x14ac:dyDescent="0.25">
      <c r="A163" s="345" t="s">
        <v>475</v>
      </c>
      <c r="B163" s="346" t="s">
        <v>476</v>
      </c>
      <c r="C163" s="354">
        <f>+C164+C165</f>
        <v>0</v>
      </c>
      <c r="D163" s="354">
        <f t="shared" ref="D163:F163" si="260">+D164+D165</f>
        <v>22435224661.73</v>
      </c>
      <c r="E163" s="354">
        <f t="shared" si="260"/>
        <v>0</v>
      </c>
      <c r="F163" s="354">
        <f t="shared" si="260"/>
        <v>22435224661.73</v>
      </c>
      <c r="G163" s="144">
        <v>0</v>
      </c>
      <c r="H163" s="354">
        <f t="shared" ref="H163:S163" si="261">+H164+H165</f>
        <v>21086322341.850834</v>
      </c>
      <c r="I163" s="354">
        <f t="shared" si="261"/>
        <v>1295141969.2708323</v>
      </c>
      <c r="J163" s="354">
        <f t="shared" si="261"/>
        <v>5376035.0608333331</v>
      </c>
      <c r="K163" s="354">
        <f t="shared" si="261"/>
        <v>5376035.0608333331</v>
      </c>
      <c r="L163" s="354">
        <f t="shared" si="261"/>
        <v>5376035.0608333331</v>
      </c>
      <c r="M163" s="354">
        <f t="shared" si="261"/>
        <v>5376035.0608333331</v>
      </c>
      <c r="N163" s="354">
        <f t="shared" si="261"/>
        <v>5376035.0608333331</v>
      </c>
      <c r="O163" s="354">
        <f t="shared" si="261"/>
        <v>5376035.0608333331</v>
      </c>
      <c r="P163" s="354">
        <f t="shared" si="261"/>
        <v>5376035.0608333331</v>
      </c>
      <c r="Q163" s="354">
        <f t="shared" si="261"/>
        <v>5376035.0608333331</v>
      </c>
      <c r="R163" s="354">
        <f t="shared" si="261"/>
        <v>5376035.0608333331</v>
      </c>
      <c r="S163" s="354">
        <f t="shared" si="261"/>
        <v>5376035.0608333331</v>
      </c>
      <c r="T163" s="14">
        <f t="shared" si="232"/>
        <v>22424472591.60833</v>
      </c>
      <c r="U163" s="14">
        <f t="shared" ref="U163:V163" si="262">+U164</f>
        <v>22370712241</v>
      </c>
      <c r="V163" s="14">
        <f t="shared" si="262"/>
        <v>22370712241</v>
      </c>
      <c r="W163" s="391">
        <f t="shared" si="217"/>
        <v>-64512420.729999542</v>
      </c>
      <c r="Y163" s="14">
        <f t="shared" ref="Y163" si="263">+Y164</f>
        <v>19812324823.32</v>
      </c>
      <c r="Z163" s="14">
        <f t="shared" ref="Z163:AL163" si="264">+Z164+Z165</f>
        <v>2558387417.6800003</v>
      </c>
      <c r="AA163" s="14">
        <f t="shared" si="264"/>
        <v>0</v>
      </c>
      <c r="AB163" s="14">
        <f t="shared" si="264"/>
        <v>64512420.729999997</v>
      </c>
      <c r="AC163" s="14">
        <f t="shared" si="264"/>
        <v>0</v>
      </c>
      <c r="AD163" s="14">
        <f t="shared" si="264"/>
        <v>0</v>
      </c>
      <c r="AE163" s="14">
        <f t="shared" si="264"/>
        <v>0</v>
      </c>
      <c r="AF163" s="14">
        <f t="shared" si="264"/>
        <v>0</v>
      </c>
      <c r="AG163" s="14">
        <f t="shared" si="264"/>
        <v>0</v>
      </c>
      <c r="AH163" s="14"/>
      <c r="AI163" s="14"/>
      <c r="AJ163" s="14">
        <f t="shared" si="233"/>
        <v>22435224661.73</v>
      </c>
      <c r="AK163" s="14">
        <f t="shared" si="264"/>
        <v>22435224661.73</v>
      </c>
      <c r="AL163" s="14">
        <f t="shared" si="264"/>
        <v>0</v>
      </c>
      <c r="AM163" s="79">
        <f t="shared" si="246"/>
        <v>-6.0418194215037795E-2</v>
      </c>
      <c r="AN163" s="79">
        <f t="shared" si="247"/>
        <v>0.97537218187777353</v>
      </c>
      <c r="AO163" s="79">
        <f t="shared" si="248"/>
        <v>-1</v>
      </c>
      <c r="AP163" s="79">
        <f t="shared" si="249"/>
        <v>11</v>
      </c>
      <c r="AQ163" s="79">
        <f t="shared" si="250"/>
        <v>-1</v>
      </c>
      <c r="AR163" s="79">
        <f t="shared" si="251"/>
        <v>-1</v>
      </c>
      <c r="AS163" s="79">
        <f t="shared" si="252"/>
        <v>-1</v>
      </c>
      <c r="AT163" s="79">
        <f t="shared" si="253"/>
        <v>-1</v>
      </c>
      <c r="AU163" s="79">
        <f t="shared" si="254"/>
        <v>-1</v>
      </c>
      <c r="AV163" s="79">
        <f t="shared" si="245"/>
        <v>-1</v>
      </c>
      <c r="AW163" s="79">
        <f t="shared" si="228"/>
        <v>4.7947928664745506E-4</v>
      </c>
      <c r="AY163" s="345" t="s">
        <v>475</v>
      </c>
      <c r="AZ163" s="346" t="s">
        <v>476</v>
      </c>
    </row>
    <row r="164" spans="1:52" x14ac:dyDescent="0.25">
      <c r="A164" s="351" t="s">
        <v>477</v>
      </c>
      <c r="B164" s="352" t="s">
        <v>478</v>
      </c>
      <c r="C164" s="357"/>
      <c r="D164" s="357">
        <v>22370712241</v>
      </c>
      <c r="E164" s="378"/>
      <c r="F164" s="375">
        <f t="shared" si="231"/>
        <v>22370712241</v>
      </c>
      <c r="G164" s="144"/>
      <c r="H164" s="27">
        <v>21080946306.790001</v>
      </c>
      <c r="I164" s="27">
        <v>1289765934.2099991</v>
      </c>
      <c r="J164" s="27"/>
      <c r="K164" s="27"/>
      <c r="L164" s="27"/>
      <c r="M164" s="27"/>
      <c r="N164" s="27"/>
      <c r="O164" s="27"/>
      <c r="P164" s="27"/>
      <c r="Q164" s="27"/>
      <c r="R164" s="145"/>
      <c r="S164" s="145"/>
      <c r="T164" s="27">
        <f t="shared" si="232"/>
        <v>22370712241</v>
      </c>
      <c r="U164" s="48">
        <f t="shared" si="215"/>
        <v>22370712241</v>
      </c>
      <c r="V164" s="391">
        <f t="shared" si="216"/>
        <v>22370712241</v>
      </c>
      <c r="W164" s="391">
        <f t="shared" si="217"/>
        <v>0</v>
      </c>
      <c r="Y164" s="27">
        <v>19812324823.32</v>
      </c>
      <c r="Z164" s="27">
        <v>2558387417.6800003</v>
      </c>
      <c r="AA164" s="27">
        <f t="shared" ref="AA164" si="265">+AA165</f>
        <v>0</v>
      </c>
      <c r="AB164" s="27"/>
      <c r="AC164" s="27"/>
      <c r="AD164" s="27">
        <v>0</v>
      </c>
      <c r="AE164" s="27"/>
      <c r="AF164" s="27"/>
      <c r="AG164" s="27"/>
      <c r="AH164" s="27"/>
      <c r="AI164" s="27"/>
      <c r="AJ164" s="27">
        <f t="shared" si="233"/>
        <v>22370712241</v>
      </c>
      <c r="AK164" s="31">
        <v>22370712241</v>
      </c>
      <c r="AM164" s="79">
        <f t="shared" si="246"/>
        <v>-6.0178583304933926E-2</v>
      </c>
      <c r="AN164" s="79">
        <f t="shared" si="247"/>
        <v>0.98360597827934637</v>
      </c>
      <c r="AO164" s="79" t="e">
        <f t="shared" si="248"/>
        <v>#DIV/0!</v>
      </c>
      <c r="AP164" s="79" t="e">
        <f t="shared" si="249"/>
        <v>#DIV/0!</v>
      </c>
      <c r="AQ164" s="79" t="e">
        <f t="shared" si="250"/>
        <v>#DIV/0!</v>
      </c>
      <c r="AR164" s="79" t="e">
        <f t="shared" si="251"/>
        <v>#DIV/0!</v>
      </c>
      <c r="AS164" s="79" t="e">
        <f t="shared" si="252"/>
        <v>#DIV/0!</v>
      </c>
      <c r="AT164" s="79" t="e">
        <f t="shared" si="253"/>
        <v>#DIV/0!</v>
      </c>
      <c r="AU164" s="79" t="e">
        <f t="shared" si="254"/>
        <v>#DIV/0!</v>
      </c>
      <c r="AV164" s="79" t="e">
        <f t="shared" si="245"/>
        <v>#DIV/0!</v>
      </c>
      <c r="AW164" s="79">
        <f t="shared" si="228"/>
        <v>0</v>
      </c>
      <c r="AY164" s="351" t="s">
        <v>477</v>
      </c>
      <c r="AZ164" s="352" t="s">
        <v>478</v>
      </c>
    </row>
    <row r="165" spans="1:52" x14ac:dyDescent="0.25">
      <c r="A165" s="351">
        <v>121301</v>
      </c>
      <c r="B165" s="352" t="s">
        <v>886</v>
      </c>
      <c r="C165" s="357"/>
      <c r="D165" s="357">
        <v>64512420.729999997</v>
      </c>
      <c r="E165" s="378"/>
      <c r="F165" s="375">
        <f t="shared" si="231"/>
        <v>64512420.729999997</v>
      </c>
      <c r="G165" s="144"/>
      <c r="H165">
        <v>5376035.0608333331</v>
      </c>
      <c r="I165">
        <v>5376035.0608333331</v>
      </c>
      <c r="J165">
        <v>5376035.0608333331</v>
      </c>
      <c r="K165">
        <v>5376035.0608333331</v>
      </c>
      <c r="L165">
        <v>5376035.0608333331</v>
      </c>
      <c r="M165">
        <v>5376035.0608333331</v>
      </c>
      <c r="N165">
        <v>5376035.0608333331</v>
      </c>
      <c r="O165">
        <v>5376035.0608333331</v>
      </c>
      <c r="P165">
        <v>5376035.0608333331</v>
      </c>
      <c r="Q165">
        <v>5376035.0608333331</v>
      </c>
      <c r="R165" s="145">
        <v>5376035.0608333331</v>
      </c>
      <c r="S165" s="145">
        <v>5376035.0608333331</v>
      </c>
      <c r="T165" s="229">
        <f t="shared" si="232"/>
        <v>53760350.608333342</v>
      </c>
      <c r="U165" s="48">
        <f t="shared" si="215"/>
        <v>64512420.730000012</v>
      </c>
      <c r="V165" s="391">
        <f t="shared" si="216"/>
        <v>64512420.729999997</v>
      </c>
      <c r="W165" s="391">
        <f t="shared" si="217"/>
        <v>0</v>
      </c>
      <c r="Y165"/>
      <c r="Z165"/>
      <c r="AA165"/>
      <c r="AB165">
        <v>64512420.729999997</v>
      </c>
      <c r="AC165"/>
      <c r="AD165"/>
      <c r="AE165"/>
      <c r="AF165"/>
      <c r="AG165"/>
      <c r="AH165">
        <v>0</v>
      </c>
      <c r="AI165"/>
      <c r="AJ165" s="229">
        <f t="shared" si="233"/>
        <v>64512420.729999997</v>
      </c>
      <c r="AK165" s="31">
        <v>64512420.729999997</v>
      </c>
      <c r="AM165" s="79">
        <f t="shared" si="246"/>
        <v>-1</v>
      </c>
      <c r="AN165" s="79">
        <f t="shared" si="247"/>
        <v>-1</v>
      </c>
      <c r="AO165" s="79">
        <f t="shared" si="248"/>
        <v>-1</v>
      </c>
      <c r="AP165" s="79">
        <f t="shared" si="249"/>
        <v>11</v>
      </c>
      <c r="AQ165" s="79">
        <f t="shared" si="250"/>
        <v>-1</v>
      </c>
      <c r="AR165" s="79">
        <f t="shared" si="251"/>
        <v>-1</v>
      </c>
      <c r="AS165" s="79">
        <f t="shared" si="252"/>
        <v>-1</v>
      </c>
      <c r="AT165" s="79">
        <f t="shared" si="253"/>
        <v>-1</v>
      </c>
      <c r="AU165" s="79">
        <f t="shared" si="254"/>
        <v>-1</v>
      </c>
      <c r="AV165" s="79">
        <f t="shared" si="245"/>
        <v>-1</v>
      </c>
      <c r="AW165" s="79">
        <f t="shared" si="228"/>
        <v>0.19999999999999976</v>
      </c>
      <c r="AY165" s="351">
        <v>121301</v>
      </c>
      <c r="AZ165" s="352" t="s">
        <v>886</v>
      </c>
    </row>
    <row r="166" spans="1:52" x14ac:dyDescent="0.25">
      <c r="A166" s="345">
        <v>123</v>
      </c>
      <c r="B166" s="346" t="s">
        <v>869</v>
      </c>
      <c r="C166" s="354">
        <f>+C167</f>
        <v>0</v>
      </c>
      <c r="D166" s="354">
        <f t="shared" ref="D166:F166" si="266">+D167</f>
        <v>304605042</v>
      </c>
      <c r="E166" s="354">
        <f t="shared" si="266"/>
        <v>0</v>
      </c>
      <c r="F166" s="354">
        <f t="shared" si="266"/>
        <v>304605042</v>
      </c>
      <c r="G166" s="354">
        <f t="shared" ref="G166" si="267">+G167</f>
        <v>0</v>
      </c>
      <c r="H166" s="354">
        <f t="shared" ref="H166" si="268">+H167</f>
        <v>25383753.5</v>
      </c>
      <c r="I166" s="354">
        <f t="shared" ref="I166" si="269">+I167</f>
        <v>25383753.5</v>
      </c>
      <c r="J166" s="354">
        <f t="shared" ref="J166" si="270">+J167</f>
        <v>25383753.5</v>
      </c>
      <c r="K166" s="354">
        <f t="shared" ref="K166" si="271">+K167</f>
        <v>25383753.5</v>
      </c>
      <c r="L166" s="354">
        <f t="shared" ref="L166" si="272">+L167</f>
        <v>25383753.5</v>
      </c>
      <c r="M166" s="354">
        <f t="shared" ref="M166" si="273">+M167</f>
        <v>25383753.5</v>
      </c>
      <c r="N166" s="354">
        <f t="shared" ref="N166" si="274">+N167</f>
        <v>25383753.5</v>
      </c>
      <c r="O166" s="354">
        <f t="shared" ref="O166" si="275">+O167</f>
        <v>25383753.5</v>
      </c>
      <c r="P166" s="354">
        <f t="shared" ref="P166" si="276">+P167</f>
        <v>25383753.5</v>
      </c>
      <c r="Q166" s="354">
        <f t="shared" ref="Q166" si="277">+Q167</f>
        <v>25383753.5</v>
      </c>
      <c r="R166" s="354">
        <f t="shared" ref="R166" si="278">+R167</f>
        <v>25383753.5</v>
      </c>
      <c r="S166" s="354">
        <f t="shared" ref="S166" si="279">+S167</f>
        <v>25383753.5</v>
      </c>
      <c r="T166" s="354">
        <f t="shared" si="232"/>
        <v>253837535</v>
      </c>
      <c r="U166" s="48">
        <f t="shared" si="215"/>
        <v>304605042</v>
      </c>
      <c r="V166" s="391">
        <f t="shared" si="216"/>
        <v>304605042</v>
      </c>
      <c r="W166" s="391">
        <f t="shared" si="217"/>
        <v>0</v>
      </c>
      <c r="Y166" s="14">
        <f t="shared" ref="Y166" si="280">+Y167</f>
        <v>304604982.46999699</v>
      </c>
      <c r="Z166" s="14"/>
      <c r="AA166" s="14"/>
      <c r="AB166" s="14">
        <v>0</v>
      </c>
      <c r="AC166" s="14">
        <v>0</v>
      </c>
      <c r="AD166" s="14"/>
      <c r="AE166" s="14">
        <v>0</v>
      </c>
      <c r="AF166" s="14">
        <v>0</v>
      </c>
      <c r="AG166" s="14">
        <v>0</v>
      </c>
      <c r="AH166" s="14"/>
      <c r="AI166" s="14"/>
      <c r="AJ166" s="14">
        <f t="shared" si="233"/>
        <v>304604982.46999699</v>
      </c>
      <c r="AK166" s="14">
        <v>304604982.46999699</v>
      </c>
      <c r="AM166" s="79">
        <f t="shared" si="246"/>
        <v>10.999997654799042</v>
      </c>
      <c r="AN166" s="79">
        <f t="shared" si="247"/>
        <v>-1</v>
      </c>
      <c r="AO166" s="79">
        <f t="shared" si="248"/>
        <v>-1</v>
      </c>
      <c r="AP166" s="79">
        <f t="shared" si="249"/>
        <v>-1</v>
      </c>
      <c r="AQ166" s="79">
        <f t="shared" si="250"/>
        <v>-1</v>
      </c>
      <c r="AR166" s="79">
        <f t="shared" si="251"/>
        <v>-1</v>
      </c>
      <c r="AS166" s="79">
        <f t="shared" si="252"/>
        <v>-1</v>
      </c>
      <c r="AT166" s="79">
        <f t="shared" si="253"/>
        <v>-1</v>
      </c>
      <c r="AU166" s="79">
        <f t="shared" si="254"/>
        <v>-1</v>
      </c>
      <c r="AV166" s="79">
        <f t="shared" si="245"/>
        <v>-1</v>
      </c>
      <c r="AW166" s="79">
        <f t="shared" si="228"/>
        <v>0.19999976547990425</v>
      </c>
      <c r="AY166" s="345">
        <v>123</v>
      </c>
      <c r="AZ166" s="346" t="s">
        <v>869</v>
      </c>
    </row>
    <row r="167" spans="1:52" x14ac:dyDescent="0.25">
      <c r="A167" s="351">
        <v>1232</v>
      </c>
      <c r="B167" s="352" t="s">
        <v>870</v>
      </c>
      <c r="C167" s="357"/>
      <c r="D167" s="357">
        <v>304605042</v>
      </c>
      <c r="E167" s="378"/>
      <c r="F167" s="375">
        <f t="shared" si="231"/>
        <v>304605042</v>
      </c>
      <c r="G167" s="144"/>
      <c r="H167" s="14">
        <v>25383753.5</v>
      </c>
      <c r="I167" s="14">
        <v>25383753.5</v>
      </c>
      <c r="J167" s="14">
        <v>25383753.5</v>
      </c>
      <c r="K167" s="14">
        <v>25383753.5</v>
      </c>
      <c r="L167" s="14">
        <v>25383753.5</v>
      </c>
      <c r="M167" s="14">
        <v>25383753.5</v>
      </c>
      <c r="N167" s="14">
        <v>25383753.5</v>
      </c>
      <c r="O167" s="14">
        <v>25383753.5</v>
      </c>
      <c r="P167" s="14">
        <v>25383753.5</v>
      </c>
      <c r="Q167" s="14">
        <v>25383753.5</v>
      </c>
      <c r="R167" s="145">
        <v>25383753.5</v>
      </c>
      <c r="S167" s="145">
        <v>25383753.5</v>
      </c>
      <c r="T167" s="14">
        <f t="shared" si="232"/>
        <v>253837535</v>
      </c>
      <c r="U167" s="48">
        <f t="shared" si="215"/>
        <v>304605042</v>
      </c>
      <c r="V167" s="391">
        <f t="shared" si="216"/>
        <v>304605042</v>
      </c>
      <c r="W167" s="391">
        <f t="shared" si="217"/>
        <v>0</v>
      </c>
      <c r="Y167" s="14">
        <v>304604982.46999699</v>
      </c>
      <c r="Z167" s="14"/>
      <c r="AA167" s="14"/>
      <c r="AB167" s="14"/>
      <c r="AC167" s="14"/>
      <c r="AD167" s="14">
        <v>0</v>
      </c>
      <c r="AE167" s="14"/>
      <c r="AF167" s="14"/>
      <c r="AG167" s="14"/>
      <c r="AH167" s="14">
        <v>26673263.199999999</v>
      </c>
      <c r="AI167" s="14"/>
      <c r="AJ167" s="14">
        <f t="shared" si="233"/>
        <v>331278245.66999698</v>
      </c>
      <c r="AK167" s="14">
        <v>304604982.46999699</v>
      </c>
      <c r="AM167" s="79">
        <f t="shared" si="246"/>
        <v>10.999997654799042</v>
      </c>
      <c r="AN167" s="79">
        <f t="shared" si="247"/>
        <v>-1</v>
      </c>
      <c r="AO167" s="79">
        <f t="shared" si="248"/>
        <v>-1</v>
      </c>
      <c r="AP167" s="79">
        <f t="shared" si="249"/>
        <v>-1</v>
      </c>
      <c r="AQ167" s="79">
        <f t="shared" si="250"/>
        <v>-1</v>
      </c>
      <c r="AR167" s="79">
        <f t="shared" si="251"/>
        <v>-1</v>
      </c>
      <c r="AS167" s="79">
        <f t="shared" si="252"/>
        <v>-1</v>
      </c>
      <c r="AT167" s="79">
        <f t="shared" si="253"/>
        <v>-1</v>
      </c>
      <c r="AU167" s="79">
        <f t="shared" si="254"/>
        <v>-1</v>
      </c>
      <c r="AV167" s="79">
        <f t="shared" si="245"/>
        <v>5.0800591803729866E-2</v>
      </c>
      <c r="AW167" s="79">
        <f t="shared" si="228"/>
        <v>0.30507982466027722</v>
      </c>
      <c r="AY167" s="351">
        <v>1232</v>
      </c>
      <c r="AZ167" s="352" t="s">
        <v>870</v>
      </c>
    </row>
    <row r="168" spans="1:52" x14ac:dyDescent="0.25">
      <c r="A168" s="345" t="s">
        <v>479</v>
      </c>
      <c r="B168" s="346" t="s">
        <v>480</v>
      </c>
      <c r="C168" s="354">
        <f>+C169+C182</f>
        <v>360566197</v>
      </c>
      <c r="D168" s="354">
        <f t="shared" ref="D168:F168" si="281">+D169+D182</f>
        <v>340990480.04000002</v>
      </c>
      <c r="E168" s="354">
        <f t="shared" si="281"/>
        <v>0</v>
      </c>
      <c r="F168" s="354">
        <f t="shared" si="281"/>
        <v>701556677.03999996</v>
      </c>
      <c r="G168" s="354">
        <f t="shared" ref="G168:S168" si="282">+G169+G182</f>
        <v>360566197</v>
      </c>
      <c r="H168" s="354">
        <f t="shared" si="282"/>
        <v>32130769.753333334</v>
      </c>
      <c r="I168" s="354">
        <f t="shared" si="282"/>
        <v>348118209.75333333</v>
      </c>
      <c r="J168" s="354">
        <f t="shared" si="282"/>
        <v>32130769.753333334</v>
      </c>
      <c r="K168" s="354">
        <f t="shared" si="282"/>
        <v>32130769.753333334</v>
      </c>
      <c r="L168" s="354">
        <f t="shared" si="282"/>
        <v>32130769.753333334</v>
      </c>
      <c r="M168" s="354">
        <f t="shared" si="282"/>
        <v>32130769.753333334</v>
      </c>
      <c r="N168" s="354">
        <f t="shared" si="282"/>
        <v>32130769.753333334</v>
      </c>
      <c r="O168" s="354">
        <f t="shared" si="282"/>
        <v>32130769.753333334</v>
      </c>
      <c r="P168" s="354">
        <f t="shared" si="282"/>
        <v>32130769.753333334</v>
      </c>
      <c r="Q168" s="354">
        <f t="shared" si="282"/>
        <v>32130769.753333334</v>
      </c>
      <c r="R168" s="354">
        <f t="shared" si="282"/>
        <v>32130769.753333334</v>
      </c>
      <c r="S168" s="354">
        <f t="shared" si="282"/>
        <v>32130769.753333334</v>
      </c>
      <c r="T168" s="81">
        <f t="shared" si="232"/>
        <v>637295137.5333333</v>
      </c>
      <c r="U168" s="48">
        <f t="shared" si="215"/>
        <v>701556677.03999996</v>
      </c>
      <c r="V168" s="391">
        <f t="shared" si="216"/>
        <v>701556677.03999996</v>
      </c>
      <c r="W168" s="391">
        <f t="shared" si="217"/>
        <v>0</v>
      </c>
      <c r="Y168" s="81">
        <f t="shared" ref="Y168:AK168" si="283">+Y169</f>
        <v>45151771.859999999</v>
      </c>
      <c r="Z168" s="81">
        <f t="shared" si="283"/>
        <v>43056156.350000001</v>
      </c>
      <c r="AA168" s="81">
        <f t="shared" si="283"/>
        <v>101039509.63</v>
      </c>
      <c r="AB168" s="81">
        <f t="shared" si="283"/>
        <v>305667791.25999999</v>
      </c>
      <c r="AC168" s="81">
        <f t="shared" si="283"/>
        <v>96395161.620000005</v>
      </c>
      <c r="AD168" s="81">
        <f t="shared" si="283"/>
        <v>75370359.00999999</v>
      </c>
      <c r="AE168" s="81">
        <f t="shared" si="283"/>
        <v>64757892.140000001</v>
      </c>
      <c r="AF168" s="81">
        <v>22457429.109999999</v>
      </c>
      <c r="AG168" s="81">
        <v>74642634.680000007</v>
      </c>
      <c r="AH168" s="81">
        <v>26673263.199999999</v>
      </c>
      <c r="AI168" s="81"/>
      <c r="AJ168" s="81">
        <f t="shared" si="233"/>
        <v>855211968.86000013</v>
      </c>
      <c r="AK168" s="81">
        <f t="shared" si="283"/>
        <v>731438641.87</v>
      </c>
      <c r="AM168" s="79">
        <f t="shared" si="246"/>
        <v>0.40525023852924752</v>
      </c>
      <c r="AN168" s="79">
        <f t="shared" si="247"/>
        <v>-0.87631742567989079</v>
      </c>
      <c r="AO168" s="79">
        <f t="shared" si="248"/>
        <v>2.1446339569725956</v>
      </c>
      <c r="AP168" s="79">
        <f t="shared" si="249"/>
        <v>8.5132420918203859</v>
      </c>
      <c r="AQ168" s="79">
        <f t="shared" si="250"/>
        <v>2.0000887734723416</v>
      </c>
      <c r="AR168" s="79">
        <f t="shared" si="251"/>
        <v>1.3457377332885363</v>
      </c>
      <c r="AS168" s="79">
        <f t="shared" si="252"/>
        <v>1.0154478911381151</v>
      </c>
      <c r="AT168" s="79">
        <f t="shared" si="253"/>
        <v>-0.30106159041925212</v>
      </c>
      <c r="AU168" s="79">
        <f t="shared" si="254"/>
        <v>1.3230889036592839</v>
      </c>
      <c r="AV168" s="79">
        <f t="shared" si="245"/>
        <v>-0.16985296633819855</v>
      </c>
      <c r="AW168" s="79">
        <f t="shared" si="228"/>
        <v>0.34194020712305973</v>
      </c>
      <c r="AY168" s="345" t="s">
        <v>479</v>
      </c>
      <c r="AZ168" s="346" t="s">
        <v>480</v>
      </c>
    </row>
    <row r="169" spans="1:52" x14ac:dyDescent="0.25">
      <c r="A169" s="349" t="s">
        <v>481</v>
      </c>
      <c r="B169" s="350" t="s">
        <v>482</v>
      </c>
      <c r="C169" s="356">
        <f t="shared" ref="C169" si="284">SUM(C170:C181)</f>
        <v>360566197</v>
      </c>
      <c r="D169" s="356">
        <f t="shared" ref="D169:F169" si="285">SUM(D170:D181)</f>
        <v>25003040.039999999</v>
      </c>
      <c r="E169" s="356">
        <f t="shared" si="285"/>
        <v>0</v>
      </c>
      <c r="F169" s="356">
        <f t="shared" si="285"/>
        <v>385569237.04000002</v>
      </c>
      <c r="G169" s="142">
        <v>360566197</v>
      </c>
      <c r="H169" s="23">
        <v>32130769.753333334</v>
      </c>
      <c r="I169" s="23">
        <v>32130769.753333334</v>
      </c>
      <c r="J169" s="23">
        <v>32130769.753333334</v>
      </c>
      <c r="K169" s="23">
        <v>32130769.753333334</v>
      </c>
      <c r="L169" s="23">
        <v>32130769.753333334</v>
      </c>
      <c r="M169" s="23">
        <v>32130769.753333334</v>
      </c>
      <c r="N169" s="23">
        <v>32130769.753333334</v>
      </c>
      <c r="O169" s="23">
        <v>32130769.753333334</v>
      </c>
      <c r="P169" s="23">
        <v>32130769.753333334</v>
      </c>
      <c r="Q169" s="23">
        <v>32130769.753333334</v>
      </c>
      <c r="R169" s="143">
        <v>32130769.753333334</v>
      </c>
      <c r="S169" s="143">
        <v>32130769.753333334</v>
      </c>
      <c r="T169" s="23">
        <f t="shared" si="232"/>
        <v>321307697.53333336</v>
      </c>
      <c r="U169" s="48">
        <f t="shared" si="215"/>
        <v>385569237.04000002</v>
      </c>
      <c r="V169" s="391">
        <f t="shared" si="216"/>
        <v>385569237.04000002</v>
      </c>
      <c r="W169" s="391">
        <f t="shared" si="217"/>
        <v>0</v>
      </c>
      <c r="Y169" s="23">
        <f t="shared" ref="Y169:AE169" si="286">SUM(Y170:Y182)</f>
        <v>45151771.859999999</v>
      </c>
      <c r="Z169" s="23">
        <f t="shared" si="286"/>
        <v>43056156.350000001</v>
      </c>
      <c r="AA169" s="23">
        <f t="shared" si="286"/>
        <v>101039509.63</v>
      </c>
      <c r="AB169" s="23">
        <f t="shared" si="286"/>
        <v>305667791.25999999</v>
      </c>
      <c r="AC169" s="23">
        <f t="shared" si="286"/>
        <v>96395161.620000005</v>
      </c>
      <c r="AD169" s="23">
        <f t="shared" si="286"/>
        <v>75370359.00999999</v>
      </c>
      <c r="AE169" s="23">
        <f t="shared" si="286"/>
        <v>64757892.140000001</v>
      </c>
      <c r="AF169" s="23">
        <v>18050956.109999999</v>
      </c>
      <c r="AG169" s="23">
        <v>66713209.680000007</v>
      </c>
      <c r="AH169" s="23">
        <v>610160.64000000001</v>
      </c>
      <c r="AI169" s="23"/>
      <c r="AJ169" s="23">
        <f t="shared" si="233"/>
        <v>816812968.30000007</v>
      </c>
      <c r="AK169" s="23">
        <f>SUM(AK170:AK182)</f>
        <v>731438641.87</v>
      </c>
      <c r="AM169" s="79">
        <f t="shared" si="246"/>
        <v>0.40525023852924752</v>
      </c>
      <c r="AN169" s="79">
        <f t="shared" si="247"/>
        <v>0.3400287848856543</v>
      </c>
      <c r="AO169" s="79">
        <f t="shared" si="248"/>
        <v>2.1446339569725956</v>
      </c>
      <c r="AP169" s="79">
        <f t="shared" si="249"/>
        <v>8.5132420918203859</v>
      </c>
      <c r="AQ169" s="79">
        <f t="shared" si="250"/>
        <v>2.0000887734723416</v>
      </c>
      <c r="AR169" s="79">
        <f t="shared" si="251"/>
        <v>1.3457377332885363</v>
      </c>
      <c r="AS169" s="79">
        <f t="shared" si="252"/>
        <v>1.0154478911381151</v>
      </c>
      <c r="AT169" s="79">
        <f t="shared" si="253"/>
        <v>-0.4382034340111835</v>
      </c>
      <c r="AU169" s="79">
        <f t="shared" si="254"/>
        <v>1.0763028770289265</v>
      </c>
      <c r="AV169" s="79">
        <f t="shared" si="245"/>
        <v>-0.98101008333494089</v>
      </c>
      <c r="AW169" s="79">
        <f t="shared" si="228"/>
        <v>1.5421518829789678</v>
      </c>
      <c r="AY169" s="349" t="s">
        <v>481</v>
      </c>
      <c r="AZ169" s="350" t="s">
        <v>482</v>
      </c>
    </row>
    <row r="170" spans="1:52" x14ac:dyDescent="0.25">
      <c r="A170" s="351" t="s">
        <v>483</v>
      </c>
      <c r="B170" s="352" t="s">
        <v>484</v>
      </c>
      <c r="C170" s="375"/>
      <c r="D170" s="357"/>
      <c r="E170" s="378"/>
      <c r="F170" s="375">
        <f t="shared" si="231"/>
        <v>0</v>
      </c>
      <c r="G170" s="142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141"/>
      <c r="S170" s="143"/>
      <c r="T170" s="27">
        <f t="shared" si="232"/>
        <v>0</v>
      </c>
      <c r="U170" s="48">
        <f t="shared" si="215"/>
        <v>0</v>
      </c>
      <c r="V170" s="391">
        <f t="shared" si="216"/>
        <v>0</v>
      </c>
      <c r="W170" s="391">
        <f t="shared" si="217"/>
        <v>0</v>
      </c>
      <c r="Y170" s="27">
        <v>1555316.76</v>
      </c>
      <c r="Z170" s="27"/>
      <c r="AA170" s="27">
        <v>1770379.74</v>
      </c>
      <c r="AB170" s="27">
        <v>1261285.0899999989</v>
      </c>
      <c r="AC170" s="27">
        <v>1544642.65</v>
      </c>
      <c r="AD170" s="27">
        <v>1793219.65</v>
      </c>
      <c r="AE170" s="27">
        <v>1704568.29</v>
      </c>
      <c r="AF170" s="27">
        <v>57388.85</v>
      </c>
      <c r="AG170" s="27">
        <v>4983271.78</v>
      </c>
      <c r="AH170" s="27">
        <v>2252313.0299999998</v>
      </c>
      <c r="AI170" s="27"/>
      <c r="AJ170" s="27">
        <f t="shared" si="233"/>
        <v>16922385.84</v>
      </c>
      <c r="AK170" s="31">
        <v>9629412.1799999997</v>
      </c>
      <c r="AM170" s="79" t="e">
        <f t="shared" si="246"/>
        <v>#DIV/0!</v>
      </c>
      <c r="AN170" s="79" t="e">
        <f t="shared" si="247"/>
        <v>#DIV/0!</v>
      </c>
      <c r="AO170" s="79" t="e">
        <f t="shared" si="248"/>
        <v>#DIV/0!</v>
      </c>
      <c r="AP170" s="79" t="e">
        <f t="shared" si="249"/>
        <v>#DIV/0!</v>
      </c>
      <c r="AQ170" s="79" t="e">
        <f t="shared" si="250"/>
        <v>#DIV/0!</v>
      </c>
      <c r="AR170" s="79" t="e">
        <f t="shared" si="251"/>
        <v>#DIV/0!</v>
      </c>
      <c r="AS170" s="79" t="e">
        <f t="shared" si="252"/>
        <v>#DIV/0!</v>
      </c>
      <c r="AT170" s="79" t="e">
        <f t="shared" si="253"/>
        <v>#DIV/0!</v>
      </c>
      <c r="AU170" s="79" t="e">
        <f t="shared" si="254"/>
        <v>#DIV/0!</v>
      </c>
      <c r="AV170" s="79" t="e">
        <f t="shared" si="245"/>
        <v>#DIV/0!</v>
      </c>
      <c r="AW170" s="79" t="e">
        <f t="shared" si="228"/>
        <v>#DIV/0!</v>
      </c>
      <c r="AY170" s="351" t="s">
        <v>483</v>
      </c>
      <c r="AZ170" s="352" t="s">
        <v>484</v>
      </c>
    </row>
    <row r="171" spans="1:52" x14ac:dyDescent="0.25">
      <c r="A171" s="351" t="s">
        <v>485</v>
      </c>
      <c r="B171" s="352" t="s">
        <v>486</v>
      </c>
      <c r="C171" s="357"/>
      <c r="D171" s="357"/>
      <c r="E171" s="378"/>
      <c r="F171" s="375">
        <f t="shared" si="231"/>
        <v>0</v>
      </c>
      <c r="G171" s="186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141"/>
      <c r="S171" s="141"/>
      <c r="T171" s="27">
        <f t="shared" si="232"/>
        <v>0</v>
      </c>
      <c r="U171" s="48">
        <f t="shared" si="215"/>
        <v>0</v>
      </c>
      <c r="V171" s="391">
        <f t="shared" si="216"/>
        <v>0</v>
      </c>
      <c r="W171" s="391">
        <f t="shared" si="217"/>
        <v>0</v>
      </c>
      <c r="Y171" s="27">
        <v>1123208.75</v>
      </c>
      <c r="Z171" s="27"/>
      <c r="AA171" s="27">
        <v>1107682.5</v>
      </c>
      <c r="AB171" s="27">
        <v>1654730.0899999999</v>
      </c>
      <c r="AC171" s="27">
        <v>1119733.54</v>
      </c>
      <c r="AD171" s="27">
        <v>1190850.92</v>
      </c>
      <c r="AE171" s="27">
        <v>1148513.44</v>
      </c>
      <c r="AF171" s="27">
        <v>283539.89</v>
      </c>
      <c r="AG171" s="27">
        <v>768641.72</v>
      </c>
      <c r="AH171" s="27">
        <v>3703663.1</v>
      </c>
      <c r="AI171" s="27"/>
      <c r="AJ171" s="27">
        <f t="shared" si="233"/>
        <v>12100563.949999999</v>
      </c>
      <c r="AK171" s="31">
        <v>7344719.2400000002</v>
      </c>
      <c r="AM171" s="79" t="e">
        <f t="shared" si="246"/>
        <v>#DIV/0!</v>
      </c>
      <c r="AN171" s="79" t="e">
        <f t="shared" si="247"/>
        <v>#DIV/0!</v>
      </c>
      <c r="AO171" s="79" t="e">
        <f t="shared" si="248"/>
        <v>#DIV/0!</v>
      </c>
      <c r="AP171" s="79" t="e">
        <f t="shared" si="249"/>
        <v>#DIV/0!</v>
      </c>
      <c r="AQ171" s="79" t="e">
        <f t="shared" si="250"/>
        <v>#DIV/0!</v>
      </c>
      <c r="AR171" s="79" t="e">
        <f t="shared" si="251"/>
        <v>#DIV/0!</v>
      </c>
      <c r="AS171" s="79" t="e">
        <f t="shared" si="252"/>
        <v>#DIV/0!</v>
      </c>
      <c r="AT171" s="79" t="e">
        <f t="shared" si="253"/>
        <v>#DIV/0!</v>
      </c>
      <c r="AU171" s="79" t="e">
        <f t="shared" si="254"/>
        <v>#DIV/0!</v>
      </c>
      <c r="AV171" s="79" t="e">
        <f t="shared" si="245"/>
        <v>#DIV/0!</v>
      </c>
      <c r="AW171" s="79" t="e">
        <f t="shared" si="228"/>
        <v>#DIV/0!</v>
      </c>
      <c r="AY171" s="351" t="s">
        <v>485</v>
      </c>
      <c r="AZ171" s="352" t="s">
        <v>486</v>
      </c>
    </row>
    <row r="172" spans="1:52" x14ac:dyDescent="0.25">
      <c r="A172" s="351" t="s">
        <v>487</v>
      </c>
      <c r="B172" s="352" t="s">
        <v>488</v>
      </c>
      <c r="C172" s="357"/>
      <c r="D172" s="357">
        <v>20933828.129999999</v>
      </c>
      <c r="E172" s="378"/>
      <c r="F172" s="375">
        <f t="shared" si="231"/>
        <v>20933828.129999999</v>
      </c>
      <c r="G172" s="186"/>
      <c r="H172" s="27"/>
      <c r="I172" s="27">
        <v>20933828.129999999</v>
      </c>
      <c r="J172" s="27"/>
      <c r="K172" s="27"/>
      <c r="L172" s="27"/>
      <c r="M172" s="27"/>
      <c r="N172" s="27"/>
      <c r="O172" s="27"/>
      <c r="P172" s="27"/>
      <c r="Q172" s="27"/>
      <c r="R172" s="141"/>
      <c r="S172" s="141"/>
      <c r="T172" s="27">
        <f t="shared" si="232"/>
        <v>20933828.129999999</v>
      </c>
      <c r="U172" s="48">
        <f t="shared" si="215"/>
        <v>20933828.129999999</v>
      </c>
      <c r="V172" s="391">
        <f t="shared" si="216"/>
        <v>20933828.129999999</v>
      </c>
      <c r="W172" s="391">
        <f t="shared" si="217"/>
        <v>0</v>
      </c>
      <c r="Y172" s="27">
        <v>6589032.1200000001</v>
      </c>
      <c r="Z172" s="27">
        <v>6589032.1200000001</v>
      </c>
      <c r="AA172" s="27">
        <f>14045821.87-6483730.24</f>
        <v>7562091.629999999</v>
      </c>
      <c r="AB172" s="27"/>
      <c r="AC172" s="27">
        <v>8508672.3499999996</v>
      </c>
      <c r="AD172" s="27">
        <v>7715047.0199999996</v>
      </c>
      <c r="AE172" s="27">
        <v>5434688.2400000002</v>
      </c>
      <c r="AF172" s="27">
        <v>6273016.79</v>
      </c>
      <c r="AG172" s="27">
        <v>5381552.7199999997</v>
      </c>
      <c r="AH172" s="27">
        <v>1611475.44</v>
      </c>
      <c r="AI172" s="27"/>
      <c r="AJ172" s="27">
        <f t="shared" si="233"/>
        <v>55664608.429999992</v>
      </c>
      <c r="AK172" s="31">
        <v>42398563.480000004</v>
      </c>
      <c r="AM172" s="79" t="e">
        <f t="shared" si="246"/>
        <v>#DIV/0!</v>
      </c>
      <c r="AN172" s="79">
        <f t="shared" si="247"/>
        <v>-0.68524475890975023</v>
      </c>
      <c r="AO172" s="79" t="e">
        <f t="shared" si="248"/>
        <v>#DIV/0!</v>
      </c>
      <c r="AP172" s="79" t="e">
        <f t="shared" si="249"/>
        <v>#DIV/0!</v>
      </c>
      <c r="AQ172" s="79" t="e">
        <f t="shared" si="250"/>
        <v>#DIV/0!</v>
      </c>
      <c r="AR172" s="79" t="e">
        <f t="shared" si="251"/>
        <v>#DIV/0!</v>
      </c>
      <c r="AS172" s="79" t="e">
        <f t="shared" si="252"/>
        <v>#DIV/0!</v>
      </c>
      <c r="AT172" s="79" t="e">
        <f t="shared" si="253"/>
        <v>#DIV/0!</v>
      </c>
      <c r="AU172" s="79" t="e">
        <f t="shared" si="254"/>
        <v>#DIV/0!</v>
      </c>
      <c r="AV172" s="79" t="e">
        <f t="shared" si="245"/>
        <v>#DIV/0!</v>
      </c>
      <c r="AW172" s="79">
        <f t="shared" si="228"/>
        <v>1.6590744934142152</v>
      </c>
      <c r="AY172" s="351" t="s">
        <v>487</v>
      </c>
      <c r="AZ172" s="352" t="s">
        <v>488</v>
      </c>
    </row>
    <row r="173" spans="1:52" x14ac:dyDescent="0.25">
      <c r="A173" s="351" t="s">
        <v>489</v>
      </c>
      <c r="B173" s="352" t="s">
        <v>490</v>
      </c>
      <c r="C173" s="357"/>
      <c r="D173" s="357">
        <v>1579921.17</v>
      </c>
      <c r="E173" s="378"/>
      <c r="F173" s="375">
        <f t="shared" si="231"/>
        <v>1579921.17</v>
      </c>
      <c r="G173" s="140"/>
      <c r="H173" s="27"/>
      <c r="I173" s="27">
        <v>1579921.17</v>
      </c>
      <c r="J173" s="27"/>
      <c r="K173" s="27"/>
      <c r="L173" s="27"/>
      <c r="M173" s="27"/>
      <c r="N173" s="27"/>
      <c r="O173" s="27"/>
      <c r="P173" s="27"/>
      <c r="Q173" s="27"/>
      <c r="R173" s="141"/>
      <c r="S173" s="141"/>
      <c r="T173" s="27">
        <f t="shared" si="232"/>
        <v>1579921.17</v>
      </c>
      <c r="U173" s="48">
        <f t="shared" si="215"/>
        <v>1579921.17</v>
      </c>
      <c r="V173" s="391">
        <f t="shared" si="216"/>
        <v>1579921.17</v>
      </c>
      <c r="W173" s="391">
        <f t="shared" si="217"/>
        <v>0</v>
      </c>
      <c r="Y173" s="27">
        <v>464616.48</v>
      </c>
      <c r="Z173" s="27">
        <v>464616.48</v>
      </c>
      <c r="AA173" s="27">
        <v>383094.8</v>
      </c>
      <c r="AB173" s="27">
        <v>267593.41000000015</v>
      </c>
      <c r="AC173" s="27">
        <v>1985767.42</v>
      </c>
      <c r="AD173" s="27">
        <v>3124590.16</v>
      </c>
      <c r="AE173" s="27">
        <v>2689617.58</v>
      </c>
      <c r="AF173" s="27">
        <v>2431147.4700000002</v>
      </c>
      <c r="AG173" s="27">
        <v>12437341.560000001</v>
      </c>
      <c r="AH173" s="27"/>
      <c r="AI173" s="27"/>
      <c r="AJ173" s="27">
        <f t="shared" si="233"/>
        <v>24248385.359999999</v>
      </c>
      <c r="AK173" s="31">
        <v>9379896.3300000001</v>
      </c>
      <c r="AM173" s="79" t="e">
        <f t="shared" si="246"/>
        <v>#DIV/0!</v>
      </c>
      <c r="AN173" s="79">
        <f t="shared" si="247"/>
        <v>-0.70592426456314905</v>
      </c>
      <c r="AO173" s="79" t="e">
        <f t="shared" si="248"/>
        <v>#DIV/0!</v>
      </c>
      <c r="AP173" s="79" t="e">
        <f t="shared" si="249"/>
        <v>#DIV/0!</v>
      </c>
      <c r="AQ173" s="79" t="e">
        <f t="shared" si="250"/>
        <v>#DIV/0!</v>
      </c>
      <c r="AR173" s="79" t="e">
        <f t="shared" si="251"/>
        <v>#DIV/0!</v>
      </c>
      <c r="AS173" s="79" t="e">
        <f t="shared" si="252"/>
        <v>#DIV/0!</v>
      </c>
      <c r="AT173" s="79" t="e">
        <f t="shared" si="253"/>
        <v>#DIV/0!</v>
      </c>
      <c r="AU173" s="79" t="e">
        <f t="shared" si="254"/>
        <v>#DIV/0!</v>
      </c>
      <c r="AV173" s="79" t="e">
        <f t="shared" si="245"/>
        <v>#DIV/0!</v>
      </c>
      <c r="AW173" s="79">
        <f t="shared" si="228"/>
        <v>14.347845082675864</v>
      </c>
      <c r="AY173" s="351" t="s">
        <v>489</v>
      </c>
      <c r="AZ173" s="352" t="s">
        <v>490</v>
      </c>
    </row>
    <row r="174" spans="1:52" x14ac:dyDescent="0.25">
      <c r="A174" s="351" t="s">
        <v>491</v>
      </c>
      <c r="B174" s="352" t="s">
        <v>492</v>
      </c>
      <c r="C174" s="357"/>
      <c r="D174" s="357"/>
      <c r="E174" s="378"/>
      <c r="F174" s="375">
        <f t="shared" si="231"/>
        <v>0</v>
      </c>
      <c r="G174" s="140"/>
      <c r="H174" s="27"/>
      <c r="I174" s="27">
        <v>0</v>
      </c>
      <c r="J174" s="27"/>
      <c r="K174" s="27"/>
      <c r="L174" s="27"/>
      <c r="M174" s="27"/>
      <c r="N174" s="27"/>
      <c r="O174" s="27"/>
      <c r="P174" s="27"/>
      <c r="Q174" s="27"/>
      <c r="R174" s="141"/>
      <c r="S174" s="141"/>
      <c r="T174" s="27">
        <f t="shared" si="232"/>
        <v>0</v>
      </c>
      <c r="U174" s="48">
        <f t="shared" si="215"/>
        <v>0</v>
      </c>
      <c r="V174" s="391">
        <f t="shared" si="216"/>
        <v>0</v>
      </c>
      <c r="W174" s="391">
        <f t="shared" si="217"/>
        <v>0</v>
      </c>
      <c r="Y174" s="27">
        <v>17949899</v>
      </c>
      <c r="Z174" s="27">
        <v>17949899</v>
      </c>
      <c r="AA174" s="27">
        <v>19903717</v>
      </c>
      <c r="AB174" s="27">
        <v>2262730</v>
      </c>
      <c r="AC174" s="27">
        <v>33500312</v>
      </c>
      <c r="AD174" s="27">
        <v>12149480</v>
      </c>
      <c r="AE174" s="27">
        <v>11485107.66</v>
      </c>
      <c r="AF174" s="27"/>
      <c r="AG174" s="27">
        <v>8912151</v>
      </c>
      <c r="AH174" s="27">
        <v>7903418.5700000003</v>
      </c>
      <c r="AI174" s="27"/>
      <c r="AJ174" s="27">
        <f t="shared" si="233"/>
        <v>132016714.22999999</v>
      </c>
      <c r="AK174" s="31">
        <v>115201144.66</v>
      </c>
      <c r="AM174" s="79" t="e">
        <f t="shared" si="246"/>
        <v>#DIV/0!</v>
      </c>
      <c r="AN174" s="79" t="e">
        <f t="shared" si="247"/>
        <v>#DIV/0!</v>
      </c>
      <c r="AO174" s="79" t="e">
        <f t="shared" si="248"/>
        <v>#DIV/0!</v>
      </c>
      <c r="AP174" s="79" t="e">
        <f t="shared" si="249"/>
        <v>#DIV/0!</v>
      </c>
      <c r="AQ174" s="79" t="e">
        <f t="shared" si="250"/>
        <v>#DIV/0!</v>
      </c>
      <c r="AR174" s="79" t="e">
        <f t="shared" si="251"/>
        <v>#DIV/0!</v>
      </c>
      <c r="AS174" s="79" t="e">
        <f t="shared" si="252"/>
        <v>#DIV/0!</v>
      </c>
      <c r="AT174" s="79" t="e">
        <f t="shared" si="253"/>
        <v>#DIV/0!</v>
      </c>
      <c r="AU174" s="79" t="e">
        <f t="shared" si="254"/>
        <v>#DIV/0!</v>
      </c>
      <c r="AV174" s="79" t="e">
        <f t="shared" si="245"/>
        <v>#DIV/0!</v>
      </c>
      <c r="AW174" s="79" t="e">
        <f t="shared" si="228"/>
        <v>#DIV/0!</v>
      </c>
      <c r="AY174" s="351" t="s">
        <v>491</v>
      </c>
      <c r="AZ174" s="352" t="s">
        <v>492</v>
      </c>
    </row>
    <row r="175" spans="1:52" x14ac:dyDescent="0.25">
      <c r="A175" s="351" t="s">
        <v>493</v>
      </c>
      <c r="B175" s="352" t="s">
        <v>494</v>
      </c>
      <c r="C175" s="357"/>
      <c r="D175" s="357">
        <v>2489290.7400000002</v>
      </c>
      <c r="E175" s="378"/>
      <c r="F175" s="375">
        <f t="shared" si="231"/>
        <v>2489290.7400000002</v>
      </c>
      <c r="G175" s="140"/>
      <c r="H175" s="27"/>
      <c r="I175" s="27">
        <v>2489290.7400000002</v>
      </c>
      <c r="J175" s="27"/>
      <c r="K175" s="27"/>
      <c r="L175" s="27"/>
      <c r="M175" s="27"/>
      <c r="N175" s="27"/>
      <c r="O175" s="27"/>
      <c r="P175" s="27"/>
      <c r="Q175" s="27"/>
      <c r="R175" s="141"/>
      <c r="S175" s="141"/>
      <c r="T175" s="27">
        <f t="shared" si="232"/>
        <v>2489290.7400000002</v>
      </c>
      <c r="U175" s="48">
        <f t="shared" si="215"/>
        <v>2489290.7400000002</v>
      </c>
      <c r="V175" s="391">
        <f t="shared" si="216"/>
        <v>2489290.7400000002</v>
      </c>
      <c r="W175" s="391">
        <f t="shared" si="217"/>
        <v>0</v>
      </c>
      <c r="Y175" s="27">
        <v>787322.82</v>
      </c>
      <c r="Z175" s="27">
        <v>787322.82</v>
      </c>
      <c r="AA175" s="27">
        <v>276248.21000000002</v>
      </c>
      <c r="AB175" s="27">
        <v>94045.950000000186</v>
      </c>
      <c r="AC175" s="27">
        <v>170077.42</v>
      </c>
      <c r="AD175" s="27">
        <v>176314.23</v>
      </c>
      <c r="AE175" s="27">
        <v>6018652.6799999997</v>
      </c>
      <c r="AF175" s="27"/>
      <c r="AG175" s="27">
        <v>2378271.17</v>
      </c>
      <c r="AH175" s="27">
        <v>80138</v>
      </c>
      <c r="AI175" s="27"/>
      <c r="AJ175" s="27">
        <f t="shared" si="233"/>
        <v>10768393.300000001</v>
      </c>
      <c r="AK175" s="31">
        <v>8309984.1299999999</v>
      </c>
      <c r="AM175" s="79" t="e">
        <f t="shared" si="246"/>
        <v>#DIV/0!</v>
      </c>
      <c r="AN175" s="79">
        <f t="shared" si="247"/>
        <v>-0.68371600498542018</v>
      </c>
      <c r="AO175" s="79" t="e">
        <f t="shared" si="248"/>
        <v>#DIV/0!</v>
      </c>
      <c r="AP175" s="79" t="e">
        <f t="shared" si="249"/>
        <v>#DIV/0!</v>
      </c>
      <c r="AQ175" s="79" t="e">
        <f t="shared" si="250"/>
        <v>#DIV/0!</v>
      </c>
      <c r="AR175" s="79" t="e">
        <f t="shared" si="251"/>
        <v>#DIV/0!</v>
      </c>
      <c r="AS175" s="79" t="e">
        <f t="shared" si="252"/>
        <v>#DIV/0!</v>
      </c>
      <c r="AT175" s="79" t="e">
        <f t="shared" si="253"/>
        <v>#DIV/0!</v>
      </c>
      <c r="AU175" s="79" t="e">
        <f t="shared" si="254"/>
        <v>#DIV/0!</v>
      </c>
      <c r="AV175" s="79" t="e">
        <f t="shared" si="245"/>
        <v>#DIV/0!</v>
      </c>
      <c r="AW175" s="79">
        <f t="shared" si="228"/>
        <v>3.3258881443474939</v>
      </c>
      <c r="AY175" s="351" t="s">
        <v>493</v>
      </c>
      <c r="AZ175" s="352" t="s">
        <v>494</v>
      </c>
    </row>
    <row r="176" spans="1:52" x14ac:dyDescent="0.25">
      <c r="A176" s="351" t="s">
        <v>495</v>
      </c>
      <c r="B176" s="352" t="s">
        <v>496</v>
      </c>
      <c r="C176" s="357"/>
      <c r="D176" s="357"/>
      <c r="E176" s="378"/>
      <c r="F176" s="375">
        <f t="shared" si="231"/>
        <v>0</v>
      </c>
      <c r="G176" s="140"/>
      <c r="H176" s="27"/>
      <c r="I176" s="27">
        <v>0</v>
      </c>
      <c r="J176" s="27"/>
      <c r="K176" s="27"/>
      <c r="L176" s="27"/>
      <c r="M176" s="27"/>
      <c r="N176" s="27"/>
      <c r="O176" s="27"/>
      <c r="P176" s="27"/>
      <c r="Q176" s="27"/>
      <c r="R176" s="141"/>
      <c r="S176" s="141"/>
      <c r="T176" s="27">
        <f t="shared" si="232"/>
        <v>0</v>
      </c>
      <c r="U176" s="48">
        <f t="shared" si="215"/>
        <v>0</v>
      </c>
      <c r="V176" s="391">
        <f t="shared" si="216"/>
        <v>0</v>
      </c>
      <c r="W176" s="391">
        <f t="shared" si="217"/>
        <v>0</v>
      </c>
      <c r="Y176" s="27">
        <v>152875.48000000001</v>
      </c>
      <c r="Z176" s="27">
        <v>152875.48000000001</v>
      </c>
      <c r="AA176" s="27">
        <v>178984</v>
      </c>
      <c r="AB176" s="27">
        <v>612027.51999999955</v>
      </c>
      <c r="AC176" s="27">
        <v>162717</v>
      </c>
      <c r="AD176" s="27">
        <v>498197.41</v>
      </c>
      <c r="AE176" s="27">
        <v>6723798.8700000001</v>
      </c>
      <c r="AF176" s="27">
        <v>1374643.11</v>
      </c>
      <c r="AG176" s="27">
        <v>87200</v>
      </c>
      <c r="AH176" s="27">
        <v>6032615.4199999999</v>
      </c>
      <c r="AI176" s="27"/>
      <c r="AJ176" s="27">
        <f t="shared" si="233"/>
        <v>15975934.289999999</v>
      </c>
      <c r="AK176" s="31">
        <v>8481475.7599999998</v>
      </c>
      <c r="AM176" s="79" t="e">
        <f t="shared" si="246"/>
        <v>#DIV/0!</v>
      </c>
      <c r="AN176" s="79" t="e">
        <f t="shared" si="247"/>
        <v>#DIV/0!</v>
      </c>
      <c r="AO176" s="79" t="e">
        <f t="shared" si="248"/>
        <v>#DIV/0!</v>
      </c>
      <c r="AP176" s="79" t="e">
        <f t="shared" si="249"/>
        <v>#DIV/0!</v>
      </c>
      <c r="AQ176" s="79" t="e">
        <f t="shared" si="250"/>
        <v>#DIV/0!</v>
      </c>
      <c r="AR176" s="79" t="e">
        <f t="shared" si="251"/>
        <v>#DIV/0!</v>
      </c>
      <c r="AS176" s="79" t="e">
        <f t="shared" si="252"/>
        <v>#DIV/0!</v>
      </c>
      <c r="AT176" s="79" t="e">
        <f t="shared" si="253"/>
        <v>#DIV/0!</v>
      </c>
      <c r="AU176" s="79" t="e">
        <f t="shared" si="254"/>
        <v>#DIV/0!</v>
      </c>
      <c r="AV176" s="79" t="e">
        <f t="shared" si="245"/>
        <v>#DIV/0!</v>
      </c>
      <c r="AW176" s="79" t="e">
        <f t="shared" si="228"/>
        <v>#DIV/0!</v>
      </c>
      <c r="AY176" s="351" t="s">
        <v>495</v>
      </c>
      <c r="AZ176" s="352" t="s">
        <v>496</v>
      </c>
    </row>
    <row r="177" spans="1:52" x14ac:dyDescent="0.25">
      <c r="A177" s="351" t="s">
        <v>497</v>
      </c>
      <c r="B177" s="352" t="s">
        <v>498</v>
      </c>
      <c r="C177" s="357">
        <v>360566197</v>
      </c>
      <c r="D177" s="357"/>
      <c r="E177" s="378"/>
      <c r="F177" s="375">
        <f t="shared" si="231"/>
        <v>360566197</v>
      </c>
      <c r="G177" s="140"/>
      <c r="H177" s="27"/>
      <c r="I177" s="27">
        <v>360566197</v>
      </c>
      <c r="J177" s="27"/>
      <c r="K177" s="27"/>
      <c r="L177" s="27"/>
      <c r="M177" s="27"/>
      <c r="N177" s="27"/>
      <c r="O177" s="27"/>
      <c r="P177" s="27"/>
      <c r="Q177" s="27"/>
      <c r="R177" s="141"/>
      <c r="S177" s="141"/>
      <c r="T177" s="27">
        <f t="shared" si="232"/>
        <v>360566197</v>
      </c>
      <c r="U177" s="48">
        <f t="shared" si="215"/>
        <v>360566197</v>
      </c>
      <c r="V177" s="391">
        <f t="shared" si="216"/>
        <v>360566197</v>
      </c>
      <c r="W177" s="391">
        <f t="shared" si="217"/>
        <v>0</v>
      </c>
      <c r="Y177" s="27">
        <v>5295216.45</v>
      </c>
      <c r="Z177" s="27">
        <v>5295216.45</v>
      </c>
      <c r="AA177" s="27">
        <v>17513294.75</v>
      </c>
      <c r="AB177" s="27">
        <v>13390830.200000018</v>
      </c>
      <c r="AC177" s="27">
        <v>38469514.239999995</v>
      </c>
      <c r="AD177" s="27">
        <v>41424837.619999997</v>
      </c>
      <c r="AE177" s="27">
        <v>21215110.379999999</v>
      </c>
      <c r="AF177" s="27">
        <v>442071</v>
      </c>
      <c r="AG177" s="27">
        <v>9506514.7300000004</v>
      </c>
      <c r="AH177" s="27">
        <v>2819</v>
      </c>
      <c r="AI177" s="27"/>
      <c r="AJ177" s="27">
        <f t="shared" si="233"/>
        <v>152555424.81999999</v>
      </c>
      <c r="AK177" s="31">
        <v>142604020.09</v>
      </c>
      <c r="AM177" s="79" t="e">
        <f t="shared" si="246"/>
        <v>#DIV/0!</v>
      </c>
      <c r="AN177" s="79">
        <f t="shared" si="247"/>
        <v>-0.98531416285259821</v>
      </c>
      <c r="AO177" s="79" t="e">
        <f t="shared" si="248"/>
        <v>#DIV/0!</v>
      </c>
      <c r="AP177" s="79" t="e">
        <f t="shared" si="249"/>
        <v>#DIV/0!</v>
      </c>
      <c r="AQ177" s="79" t="e">
        <f t="shared" si="250"/>
        <v>#DIV/0!</v>
      </c>
      <c r="AR177" s="79" t="e">
        <f t="shared" si="251"/>
        <v>#DIV/0!</v>
      </c>
      <c r="AS177" s="79" t="e">
        <f t="shared" si="252"/>
        <v>#DIV/0!</v>
      </c>
      <c r="AT177" s="79" t="e">
        <f t="shared" si="253"/>
        <v>#DIV/0!</v>
      </c>
      <c r="AU177" s="79" t="e">
        <f t="shared" si="254"/>
        <v>#DIV/0!</v>
      </c>
      <c r="AV177" s="79" t="e">
        <f t="shared" si="245"/>
        <v>#DIV/0!</v>
      </c>
      <c r="AW177" s="79">
        <f t="shared" si="228"/>
        <v>-0.57690036922679144</v>
      </c>
      <c r="AY177" s="351" t="s">
        <v>497</v>
      </c>
      <c r="AZ177" s="352" t="s">
        <v>498</v>
      </c>
    </row>
    <row r="178" spans="1:52" x14ac:dyDescent="0.25">
      <c r="A178" s="351" t="s">
        <v>499</v>
      </c>
      <c r="B178" s="352" t="s">
        <v>500</v>
      </c>
      <c r="C178" s="357"/>
      <c r="D178" s="357"/>
      <c r="E178" s="378"/>
      <c r="F178" s="375">
        <f t="shared" si="231"/>
        <v>0</v>
      </c>
      <c r="G178" s="140"/>
      <c r="H178" s="27"/>
      <c r="I178" s="27">
        <v>0</v>
      </c>
      <c r="J178" s="27"/>
      <c r="K178" s="27"/>
      <c r="L178" s="27"/>
      <c r="M178" s="27"/>
      <c r="N178" s="27"/>
      <c r="O178" s="27"/>
      <c r="P178" s="27"/>
      <c r="Q178" s="27"/>
      <c r="R178" s="141"/>
      <c r="S178" s="141"/>
      <c r="T178" s="27">
        <f t="shared" si="232"/>
        <v>0</v>
      </c>
      <c r="U178" s="48">
        <f t="shared" si="215"/>
        <v>0</v>
      </c>
      <c r="V178" s="391">
        <f t="shared" si="216"/>
        <v>0</v>
      </c>
      <c r="W178" s="391">
        <f t="shared" si="217"/>
        <v>0</v>
      </c>
      <c r="Y178" s="27">
        <v>494735</v>
      </c>
      <c r="Z178" s="27"/>
      <c r="AA178" s="27">
        <v>189861</v>
      </c>
      <c r="AB178" s="27"/>
      <c r="AC178" s="27"/>
      <c r="AD178" s="27">
        <v>505575</v>
      </c>
      <c r="AE178" s="27"/>
      <c r="AF178" s="27">
        <v>14640</v>
      </c>
      <c r="AG178" s="27"/>
      <c r="AH178" s="27">
        <v>399317</v>
      </c>
      <c r="AI178" s="27"/>
      <c r="AJ178" s="27">
        <f t="shared" si="233"/>
        <v>1604128</v>
      </c>
      <c r="AK178" s="31">
        <v>1190171</v>
      </c>
      <c r="AM178" s="79" t="e">
        <f t="shared" si="246"/>
        <v>#DIV/0!</v>
      </c>
      <c r="AN178" s="79" t="e">
        <f t="shared" si="247"/>
        <v>#DIV/0!</v>
      </c>
      <c r="AO178" s="79" t="e">
        <f t="shared" si="248"/>
        <v>#DIV/0!</v>
      </c>
      <c r="AP178" s="79" t="e">
        <f t="shared" si="249"/>
        <v>#DIV/0!</v>
      </c>
      <c r="AQ178" s="79" t="e">
        <f t="shared" si="250"/>
        <v>#DIV/0!</v>
      </c>
      <c r="AR178" s="79" t="e">
        <f t="shared" si="251"/>
        <v>#DIV/0!</v>
      </c>
      <c r="AS178" s="79" t="e">
        <f t="shared" si="252"/>
        <v>#DIV/0!</v>
      </c>
      <c r="AT178" s="79" t="e">
        <f t="shared" si="253"/>
        <v>#DIV/0!</v>
      </c>
      <c r="AU178" s="79" t="e">
        <f t="shared" si="254"/>
        <v>#DIV/0!</v>
      </c>
      <c r="AV178" s="79" t="e">
        <f t="shared" si="245"/>
        <v>#DIV/0!</v>
      </c>
      <c r="AW178" s="79" t="e">
        <f t="shared" si="228"/>
        <v>#DIV/0!</v>
      </c>
      <c r="AY178" s="351" t="s">
        <v>499</v>
      </c>
      <c r="AZ178" s="352" t="s">
        <v>500</v>
      </c>
    </row>
    <row r="179" spans="1:52" x14ac:dyDescent="0.25">
      <c r="A179" s="351" t="s">
        <v>501</v>
      </c>
      <c r="B179" s="352" t="s">
        <v>502</v>
      </c>
      <c r="C179" s="357"/>
      <c r="D179" s="357"/>
      <c r="E179" s="378"/>
      <c r="F179" s="375">
        <f t="shared" si="231"/>
        <v>0</v>
      </c>
      <c r="G179" s="140"/>
      <c r="H179" s="27"/>
      <c r="I179" s="27">
        <v>0</v>
      </c>
      <c r="J179" s="27"/>
      <c r="K179" s="27"/>
      <c r="L179" s="27"/>
      <c r="M179" s="27"/>
      <c r="N179" s="27"/>
      <c r="O179" s="27"/>
      <c r="P179" s="27"/>
      <c r="Q179" s="27"/>
      <c r="R179" s="141"/>
      <c r="S179" s="141"/>
      <c r="T179" s="27">
        <f t="shared" si="232"/>
        <v>0</v>
      </c>
      <c r="U179" s="48">
        <f t="shared" si="215"/>
        <v>0</v>
      </c>
      <c r="V179" s="391">
        <f t="shared" si="216"/>
        <v>0</v>
      </c>
      <c r="W179" s="391">
        <f t="shared" si="217"/>
        <v>0</v>
      </c>
      <c r="Y179" s="27">
        <v>515480</v>
      </c>
      <c r="Z179" s="27">
        <f>515480-65788</f>
        <v>449692</v>
      </c>
      <c r="AA179" s="27">
        <v>568741</v>
      </c>
      <c r="AB179" s="27">
        <v>587040</v>
      </c>
      <c r="AC179" s="27">
        <v>9843825</v>
      </c>
      <c r="AD179" s="27">
        <v>6102012</v>
      </c>
      <c r="AE179" s="27">
        <v>522936</v>
      </c>
      <c r="AF179" s="27">
        <v>534441</v>
      </c>
      <c r="AG179" s="27">
        <v>55461</v>
      </c>
      <c r="AH179" s="27">
        <v>4077343</v>
      </c>
      <c r="AI179" s="27"/>
      <c r="AJ179" s="27">
        <f t="shared" si="233"/>
        <v>23256971</v>
      </c>
      <c r="AK179" s="31">
        <v>18589726</v>
      </c>
      <c r="AM179" s="79" t="e">
        <f t="shared" si="246"/>
        <v>#DIV/0!</v>
      </c>
      <c r="AN179" s="79" t="e">
        <f t="shared" si="247"/>
        <v>#DIV/0!</v>
      </c>
      <c r="AO179" s="79" t="e">
        <f t="shared" si="248"/>
        <v>#DIV/0!</v>
      </c>
      <c r="AP179" s="79" t="e">
        <f t="shared" si="249"/>
        <v>#DIV/0!</v>
      </c>
      <c r="AQ179" s="79" t="e">
        <f t="shared" si="250"/>
        <v>#DIV/0!</v>
      </c>
      <c r="AR179" s="79" t="e">
        <f t="shared" si="251"/>
        <v>#DIV/0!</v>
      </c>
      <c r="AS179" s="79" t="e">
        <f t="shared" si="252"/>
        <v>#DIV/0!</v>
      </c>
      <c r="AT179" s="79" t="e">
        <f t="shared" si="253"/>
        <v>#DIV/0!</v>
      </c>
      <c r="AU179" s="79" t="e">
        <f t="shared" si="254"/>
        <v>#DIV/0!</v>
      </c>
      <c r="AV179" s="79" t="e">
        <f t="shared" si="245"/>
        <v>#DIV/0!</v>
      </c>
      <c r="AW179" s="79" t="e">
        <f t="shared" si="228"/>
        <v>#DIV/0!</v>
      </c>
      <c r="AY179" s="351" t="s">
        <v>501</v>
      </c>
      <c r="AZ179" s="352" t="s">
        <v>502</v>
      </c>
    </row>
    <row r="180" spans="1:52" x14ac:dyDescent="0.25">
      <c r="A180" s="351" t="s">
        <v>503</v>
      </c>
      <c r="B180" s="352" t="s">
        <v>504</v>
      </c>
      <c r="C180" s="357"/>
      <c r="D180" s="357"/>
      <c r="E180" s="378"/>
      <c r="F180" s="375">
        <f t="shared" si="231"/>
        <v>0</v>
      </c>
      <c r="G180" s="140"/>
      <c r="H180" s="27"/>
      <c r="I180" s="27">
        <v>0</v>
      </c>
      <c r="J180" s="27"/>
      <c r="K180" s="27"/>
      <c r="L180" s="27"/>
      <c r="M180" s="27"/>
      <c r="N180" s="27"/>
      <c r="O180" s="27"/>
      <c r="P180" s="27"/>
      <c r="Q180" s="27"/>
      <c r="R180" s="141"/>
      <c r="S180" s="141"/>
      <c r="T180" s="27">
        <f t="shared" si="232"/>
        <v>0</v>
      </c>
      <c r="U180" s="48">
        <f t="shared" si="215"/>
        <v>0</v>
      </c>
      <c r="V180" s="391">
        <f t="shared" si="216"/>
        <v>0</v>
      </c>
      <c r="W180" s="391">
        <f t="shared" si="217"/>
        <v>0</v>
      </c>
      <c r="Y180" s="27">
        <f>11355758+11744-1470673+500</f>
        <v>9897329</v>
      </c>
      <c r="Z180" s="27">
        <f>11355758+11744</f>
        <v>11367502</v>
      </c>
      <c r="AA180" s="27">
        <v>9818423</v>
      </c>
      <c r="AB180" s="27">
        <v>10606680</v>
      </c>
      <c r="AC180" s="27">
        <v>569679</v>
      </c>
      <c r="AD180" s="27"/>
      <c r="AE180" s="27">
        <v>7086220</v>
      </c>
      <c r="AF180" s="27">
        <v>5958602</v>
      </c>
      <c r="AG180" s="27">
        <v>21564746</v>
      </c>
      <c r="AH180" s="27">
        <v>766839</v>
      </c>
      <c r="AI180" s="27"/>
      <c r="AJ180" s="27">
        <f t="shared" si="233"/>
        <v>77636020</v>
      </c>
      <c r="AK180" s="31">
        <v>49345833</v>
      </c>
      <c r="AM180" s="79" t="e">
        <f t="shared" si="246"/>
        <v>#DIV/0!</v>
      </c>
      <c r="AN180" s="79" t="e">
        <f t="shared" si="247"/>
        <v>#DIV/0!</v>
      </c>
      <c r="AO180" s="79" t="e">
        <f t="shared" si="248"/>
        <v>#DIV/0!</v>
      </c>
      <c r="AP180" s="79" t="e">
        <f t="shared" si="249"/>
        <v>#DIV/0!</v>
      </c>
      <c r="AQ180" s="79" t="e">
        <f t="shared" si="250"/>
        <v>#DIV/0!</v>
      </c>
      <c r="AR180" s="79" t="e">
        <f t="shared" si="251"/>
        <v>#DIV/0!</v>
      </c>
      <c r="AS180" s="79" t="e">
        <f t="shared" si="252"/>
        <v>#DIV/0!</v>
      </c>
      <c r="AT180" s="79" t="e">
        <f t="shared" si="253"/>
        <v>#DIV/0!</v>
      </c>
      <c r="AU180" s="79" t="e">
        <f t="shared" si="254"/>
        <v>#DIV/0!</v>
      </c>
      <c r="AV180" s="79" t="e">
        <f t="shared" si="245"/>
        <v>#DIV/0!</v>
      </c>
      <c r="AW180" s="79" t="e">
        <f t="shared" si="228"/>
        <v>#DIV/0!</v>
      </c>
      <c r="AY180" s="351" t="s">
        <v>503</v>
      </c>
      <c r="AZ180" s="352" t="s">
        <v>504</v>
      </c>
    </row>
    <row r="181" spans="1:52" x14ac:dyDescent="0.25">
      <c r="A181" s="353">
        <v>1262212</v>
      </c>
      <c r="B181" s="352" t="s">
        <v>871</v>
      </c>
      <c r="C181" s="378"/>
      <c r="D181" s="378"/>
      <c r="E181" s="378"/>
      <c r="F181" s="375">
        <f t="shared" si="231"/>
        <v>0</v>
      </c>
      <c r="G181" s="140"/>
      <c r="H181" s="27"/>
      <c r="I181" s="27">
        <v>0</v>
      </c>
      <c r="J181" s="27"/>
      <c r="K181" s="27"/>
      <c r="L181" s="27"/>
      <c r="M181" s="27"/>
      <c r="N181" s="27"/>
      <c r="O181" s="27"/>
      <c r="P181" s="27"/>
      <c r="Q181" s="27"/>
      <c r="R181" s="141"/>
      <c r="S181" s="141"/>
      <c r="T181" s="27">
        <f t="shared" si="232"/>
        <v>0</v>
      </c>
      <c r="U181" s="48">
        <f t="shared" si="215"/>
        <v>0</v>
      </c>
      <c r="V181" s="391">
        <f t="shared" si="216"/>
        <v>0</v>
      </c>
      <c r="W181" s="391">
        <f t="shared" si="217"/>
        <v>0</v>
      </c>
      <c r="Y181" s="27">
        <v>326740</v>
      </c>
      <c r="Z181" s="27"/>
      <c r="AA181" s="27">
        <v>327375</v>
      </c>
      <c r="AB181" s="27">
        <v>383006</v>
      </c>
      <c r="AC181" s="27">
        <v>520221</v>
      </c>
      <c r="AD181" s="27">
        <v>690235</v>
      </c>
      <c r="AE181" s="27">
        <v>728679</v>
      </c>
      <c r="AF181" s="27">
        <v>681466</v>
      </c>
      <c r="AG181" s="27">
        <v>638058</v>
      </c>
      <c r="AH181" s="27">
        <v>63024884</v>
      </c>
      <c r="AI181" s="27"/>
      <c r="AJ181" s="27">
        <f t="shared" si="233"/>
        <v>67320664</v>
      </c>
      <c r="AK181" s="31">
        <v>2976256</v>
      </c>
      <c r="AM181" s="79" t="e">
        <f t="shared" si="246"/>
        <v>#DIV/0!</v>
      </c>
      <c r="AN181" s="79" t="e">
        <f t="shared" si="247"/>
        <v>#DIV/0!</v>
      </c>
      <c r="AO181" s="79" t="e">
        <f t="shared" si="248"/>
        <v>#DIV/0!</v>
      </c>
      <c r="AP181" s="79" t="e">
        <f t="shared" si="249"/>
        <v>#DIV/0!</v>
      </c>
      <c r="AQ181" s="79" t="e">
        <f t="shared" si="250"/>
        <v>#DIV/0!</v>
      </c>
      <c r="AR181" s="79" t="e">
        <f t="shared" si="251"/>
        <v>#DIV/0!</v>
      </c>
      <c r="AS181" s="79" t="e">
        <f t="shared" si="252"/>
        <v>#DIV/0!</v>
      </c>
      <c r="AT181" s="79" t="e">
        <f t="shared" si="253"/>
        <v>#DIV/0!</v>
      </c>
      <c r="AU181" s="79" t="e">
        <f t="shared" si="254"/>
        <v>#DIV/0!</v>
      </c>
      <c r="AV181" s="79" t="e">
        <f t="shared" si="245"/>
        <v>#DIV/0!</v>
      </c>
      <c r="AW181" s="79" t="e">
        <f t="shared" si="228"/>
        <v>#DIV/0!</v>
      </c>
      <c r="AY181" s="353">
        <v>1262212</v>
      </c>
      <c r="AZ181" s="352" t="s">
        <v>871</v>
      </c>
    </row>
    <row r="182" spans="1:52" s="75" customFormat="1" x14ac:dyDescent="0.25">
      <c r="A182" s="353">
        <v>12627</v>
      </c>
      <c r="B182" s="352" t="s">
        <v>872</v>
      </c>
      <c r="C182" s="378"/>
      <c r="D182" s="378">
        <v>315987440</v>
      </c>
      <c r="E182" s="378"/>
      <c r="F182" s="375">
        <f t="shared" si="231"/>
        <v>315987440</v>
      </c>
      <c r="G182" s="140"/>
      <c r="H182" s="27"/>
      <c r="I182" s="27">
        <v>315987440</v>
      </c>
      <c r="J182" s="27"/>
      <c r="K182" s="27"/>
      <c r="L182" s="27"/>
      <c r="M182" s="27"/>
      <c r="N182" s="27"/>
      <c r="O182" s="27"/>
      <c r="P182" s="27"/>
      <c r="Q182" s="27"/>
      <c r="R182" s="141"/>
      <c r="S182" s="141"/>
      <c r="T182" s="27">
        <f t="shared" si="232"/>
        <v>315987440</v>
      </c>
      <c r="U182" s="48">
        <f t="shared" si="215"/>
        <v>315987440</v>
      </c>
      <c r="V182" s="391">
        <f t="shared" si="216"/>
        <v>315987440</v>
      </c>
      <c r="W182" s="391">
        <f t="shared" si="217"/>
        <v>0</v>
      </c>
      <c r="X182" s="46"/>
      <c r="Y182" s="27"/>
      <c r="Z182" s="27"/>
      <c r="AA182" s="27">
        <v>41439617</v>
      </c>
      <c r="AB182" s="27">
        <v>274547823</v>
      </c>
      <c r="AC182" s="27"/>
      <c r="AD182" s="27"/>
      <c r="AE182" s="27"/>
      <c r="AF182" s="27">
        <v>4406473</v>
      </c>
      <c r="AG182" s="27">
        <v>7929425</v>
      </c>
      <c r="AH182" s="27">
        <v>7929425</v>
      </c>
      <c r="AI182" s="27"/>
      <c r="AJ182" s="27">
        <f t="shared" si="233"/>
        <v>336252763</v>
      </c>
      <c r="AK182" s="31">
        <v>315987440</v>
      </c>
      <c r="AL182" s="46"/>
      <c r="AM182" s="79" t="e">
        <f t="shared" si="246"/>
        <v>#DIV/0!</v>
      </c>
      <c r="AN182" s="79">
        <f t="shared" si="247"/>
        <v>-1</v>
      </c>
      <c r="AO182" s="79" t="e">
        <f t="shared" si="248"/>
        <v>#DIV/0!</v>
      </c>
      <c r="AP182" s="79" t="e">
        <f t="shared" si="249"/>
        <v>#DIV/0!</v>
      </c>
      <c r="AQ182" s="79" t="e">
        <f t="shared" si="250"/>
        <v>#DIV/0!</v>
      </c>
      <c r="AR182" s="79" t="e">
        <f t="shared" si="251"/>
        <v>#DIV/0!</v>
      </c>
      <c r="AS182" s="79" t="e">
        <f t="shared" si="252"/>
        <v>#DIV/0!</v>
      </c>
      <c r="AT182" s="79" t="e">
        <f t="shared" si="253"/>
        <v>#DIV/0!</v>
      </c>
      <c r="AU182" s="79" t="e">
        <f t="shared" si="254"/>
        <v>#DIV/0!</v>
      </c>
      <c r="AV182" s="79" t="e">
        <f t="shared" si="245"/>
        <v>#DIV/0!</v>
      </c>
      <c r="AW182" s="79">
        <f t="shared" si="228"/>
        <v>6.4133318083782059E-2</v>
      </c>
      <c r="AX182" s="46"/>
      <c r="AY182" s="353">
        <v>12627</v>
      </c>
      <c r="AZ182" s="352" t="s">
        <v>872</v>
      </c>
    </row>
    <row r="184" spans="1:52" x14ac:dyDescent="0.25">
      <c r="A184" s="390"/>
      <c r="B184" s="390"/>
      <c r="C184" s="390"/>
      <c r="D184" s="390"/>
      <c r="E184" s="390"/>
      <c r="F184" s="390"/>
    </row>
    <row r="185" spans="1:52" x14ac:dyDescent="0.25">
      <c r="A185" s="83" t="s">
        <v>941</v>
      </c>
      <c r="F185" s="80"/>
    </row>
    <row r="186" spans="1:52" ht="47.25" x14ac:dyDescent="0.25">
      <c r="A186" s="187" t="s">
        <v>651</v>
      </c>
      <c r="B186" s="188" t="s">
        <v>652</v>
      </c>
      <c r="C186" s="188" t="str">
        <f t="shared" ref="C186:F187" si="287">+C1</f>
        <v>PRESUPUESTO INICIAL</v>
      </c>
      <c r="D186" s="188" t="str">
        <f t="shared" si="287"/>
        <v>ADICIONES</v>
      </c>
      <c r="E186" s="188" t="str">
        <f t="shared" si="287"/>
        <v>REDUCCIONES</v>
      </c>
      <c r="F186" s="188" t="str">
        <f t="shared" si="287"/>
        <v>PRESUPUESTO DEFINITIVO</v>
      </c>
      <c r="G186" s="189" t="s">
        <v>653</v>
      </c>
      <c r="H186" s="189" t="s">
        <v>654</v>
      </c>
      <c r="I186" s="189" t="s">
        <v>655</v>
      </c>
      <c r="J186" s="189" t="s">
        <v>656</v>
      </c>
      <c r="K186" s="189" t="s">
        <v>657</v>
      </c>
      <c r="L186" s="189" t="s">
        <v>658</v>
      </c>
      <c r="M186" s="189" t="s">
        <v>659</v>
      </c>
      <c r="N186" s="189" t="s">
        <v>660</v>
      </c>
      <c r="O186" s="189" t="s">
        <v>661</v>
      </c>
      <c r="P186" s="189" t="s">
        <v>662</v>
      </c>
      <c r="Q186" s="189" t="s">
        <v>663</v>
      </c>
      <c r="R186" s="190" t="s">
        <v>664</v>
      </c>
      <c r="S186" s="190" t="s">
        <v>665</v>
      </c>
      <c r="T186" s="189" t="s">
        <v>1039</v>
      </c>
      <c r="U186" s="189" t="s">
        <v>666</v>
      </c>
      <c r="V186" s="189"/>
      <c r="W186" s="189"/>
      <c r="X186" s="75"/>
      <c r="Y186" s="73" t="s">
        <v>911</v>
      </c>
      <c r="Z186" s="73" t="s">
        <v>912</v>
      </c>
      <c r="AA186" s="73" t="s">
        <v>913</v>
      </c>
      <c r="AB186" s="73" t="s">
        <v>914</v>
      </c>
      <c r="AC186" s="73" t="s">
        <v>915</v>
      </c>
      <c r="AD186" s="73" t="s">
        <v>916</v>
      </c>
      <c r="AE186" s="73" t="s">
        <v>917</v>
      </c>
      <c r="AF186" s="73" t="s">
        <v>1016</v>
      </c>
      <c r="AG186" s="73" t="s">
        <v>1004</v>
      </c>
      <c r="AH186" s="73" t="s">
        <v>1034</v>
      </c>
      <c r="AI186" s="73"/>
      <c r="AJ186" s="189" t="s">
        <v>1040</v>
      </c>
      <c r="AK186" s="73" t="s">
        <v>911</v>
      </c>
      <c r="AL186" s="75"/>
      <c r="AM186" s="73" t="s">
        <v>904</v>
      </c>
      <c r="AN186" s="73" t="s">
        <v>905</v>
      </c>
      <c r="AO186" s="73" t="s">
        <v>906</v>
      </c>
      <c r="AP186" s="73" t="s">
        <v>907</v>
      </c>
      <c r="AQ186" s="73" t="s">
        <v>908</v>
      </c>
      <c r="AR186" s="73" t="s">
        <v>909</v>
      </c>
      <c r="AS186" s="73" t="s">
        <v>1013</v>
      </c>
      <c r="AT186" s="73" t="s">
        <v>1014</v>
      </c>
      <c r="AU186" s="73" t="s">
        <v>1015</v>
      </c>
      <c r="AV186" s="73" t="s">
        <v>903</v>
      </c>
      <c r="AW186" s="73" t="s">
        <v>903</v>
      </c>
      <c r="AX186" s="75"/>
    </row>
    <row r="187" spans="1:52" x14ac:dyDescent="0.25">
      <c r="A187" s="424">
        <f>+A2</f>
        <v>1</v>
      </c>
      <c r="B187" s="192" t="str">
        <f>+B2</f>
        <v>PRESUPUESTO DE 'INGRESOS</v>
      </c>
      <c r="C187" s="192">
        <f t="shared" si="287"/>
        <v>128545687388</v>
      </c>
      <c r="D187" s="192">
        <f t="shared" si="287"/>
        <v>27215530991.77</v>
      </c>
      <c r="E187" s="192">
        <f t="shared" si="287"/>
        <v>0</v>
      </c>
      <c r="F187" s="192">
        <f t="shared" si="287"/>
        <v>155761218379.76999</v>
      </c>
      <c r="G187" s="191" t="e">
        <f t="shared" ref="G187:S187" si="288">+G2</f>
        <v>#REF!</v>
      </c>
      <c r="H187" s="192">
        <f t="shared" si="288"/>
        <v>29994277287.897503</v>
      </c>
      <c r="I187" s="192">
        <f t="shared" si="288"/>
        <v>22251453743.08083</v>
      </c>
      <c r="J187" s="192">
        <f t="shared" si="288"/>
        <v>16971764187.4575</v>
      </c>
      <c r="K187" s="192">
        <f t="shared" si="288"/>
        <v>12165205585.187498</v>
      </c>
      <c r="L187" s="192">
        <f t="shared" si="288"/>
        <v>5506673941.4875011</v>
      </c>
      <c r="M187" s="192">
        <f t="shared" si="288"/>
        <v>9943748871.3208351</v>
      </c>
      <c r="N187" s="192">
        <f t="shared" si="288"/>
        <v>6488928525.0075016</v>
      </c>
      <c r="O187" s="192">
        <f t="shared" si="288"/>
        <v>22851773612.977501</v>
      </c>
      <c r="P187" s="192">
        <f t="shared" si="288"/>
        <v>6879769564.8075008</v>
      </c>
      <c r="Q187" s="192">
        <f t="shared" si="288"/>
        <v>6236503108.1275005</v>
      </c>
      <c r="R187" s="192">
        <f t="shared" si="288"/>
        <v>6139027838.647501</v>
      </c>
      <c r="S187" s="192">
        <f t="shared" si="288"/>
        <v>10332092102.670834</v>
      </c>
      <c r="T187" s="192">
        <f>+T188+T191</f>
        <v>139290098427.35165</v>
      </c>
      <c r="U187" s="192">
        <f>+U2</f>
        <v>155761218368.67001</v>
      </c>
      <c r="V187" s="392"/>
      <c r="W187" s="392"/>
      <c r="Y187" s="192">
        <f t="shared" ref="Y187:AH187" si="289">+Y2</f>
        <v>26127444886.259998</v>
      </c>
      <c r="Z187" s="192">
        <f t="shared" si="289"/>
        <v>19473754629.389999</v>
      </c>
      <c r="AA187" s="192">
        <f t="shared" si="289"/>
        <v>9269082981.3299999</v>
      </c>
      <c r="AB187" s="192">
        <f t="shared" si="289"/>
        <v>10081510142.99</v>
      </c>
      <c r="AC187" s="192">
        <f t="shared" si="289"/>
        <v>8725634148.6800022</v>
      </c>
      <c r="AD187" s="192">
        <f t="shared" si="289"/>
        <v>8748311181.7900009</v>
      </c>
      <c r="AE187" s="192">
        <f t="shared" si="289"/>
        <v>8203344902.9800005</v>
      </c>
      <c r="AF187" s="192">
        <f t="shared" si="289"/>
        <v>7111334475.5099993</v>
      </c>
      <c r="AG187" s="192">
        <f t="shared" si="289"/>
        <v>15680504201.18</v>
      </c>
      <c r="AH187" s="192">
        <f t="shared" si="289"/>
        <v>11021975226.709999</v>
      </c>
      <c r="AI187" s="192"/>
      <c r="AJ187" s="192">
        <f>+AJ188+AJ191</f>
        <v>117948374696.81999</v>
      </c>
      <c r="AM187" s="197">
        <f t="shared" ref="AM187:AW187" si="290">+AM2</f>
        <v>-0.12891900559970307</v>
      </c>
      <c r="AN187" s="197">
        <f t="shared" si="290"/>
        <v>-0.12483225346813873</v>
      </c>
      <c r="AO187" s="197">
        <f t="shared" si="290"/>
        <v>-0.45385271213112588</v>
      </c>
      <c r="AP187" s="197">
        <f t="shared" si="290"/>
        <v>-0.17128320829486279</v>
      </c>
      <c r="AQ187" s="197">
        <f t="shared" si="290"/>
        <v>0.58455616609887262</v>
      </c>
      <c r="AR187" s="197">
        <f t="shared" si="290"/>
        <v>-0.12022002013532783</v>
      </c>
      <c r="AS187" s="197">
        <f t="shared" si="290"/>
        <v>0.26420638960120413</v>
      </c>
      <c r="AT187" s="197">
        <f t="shared" si="290"/>
        <v>-0.68880601585027612</v>
      </c>
      <c r="AU187" s="197">
        <f t="shared" si="290"/>
        <v>1.279219391502795</v>
      </c>
      <c r="AV187" s="197">
        <f t="shared" si="290"/>
        <v>0.76733259578528912</v>
      </c>
      <c r="AW187" s="197">
        <f t="shared" si="290"/>
        <v>-0.15321780924480202</v>
      </c>
      <c r="AX187" s="264"/>
    </row>
    <row r="188" spans="1:52" x14ac:dyDescent="0.25">
      <c r="A188" s="425" t="str">
        <f>+A3</f>
        <v>11</v>
      </c>
      <c r="B188" s="194" t="str">
        <f>+B3</f>
        <v>INGRESOS CORRIENTES</v>
      </c>
      <c r="C188" s="194">
        <f t="shared" ref="C188:F188" si="291">+C3</f>
        <v>128185121191</v>
      </c>
      <c r="D188" s="194">
        <f t="shared" si="291"/>
        <v>4134710808</v>
      </c>
      <c r="E188" s="194">
        <f t="shared" si="291"/>
        <v>0</v>
      </c>
      <c r="F188" s="194">
        <f t="shared" si="291"/>
        <v>132319831999</v>
      </c>
      <c r="G188" s="193" t="e">
        <f t="shared" ref="G188:S188" si="292">+G3</f>
        <v>#REF!</v>
      </c>
      <c r="H188" s="194">
        <f t="shared" si="292"/>
        <v>8850440422.793335</v>
      </c>
      <c r="I188" s="194">
        <f t="shared" si="292"/>
        <v>20582809810.556664</v>
      </c>
      <c r="J188" s="194">
        <f t="shared" si="292"/>
        <v>16908873629.143333</v>
      </c>
      <c r="K188" s="194">
        <f t="shared" si="292"/>
        <v>12102315026.873331</v>
      </c>
      <c r="L188" s="194">
        <f t="shared" si="292"/>
        <v>5443783383.1733341</v>
      </c>
      <c r="M188" s="194">
        <f t="shared" si="292"/>
        <v>9880858313.0066681</v>
      </c>
      <c r="N188" s="194">
        <f t="shared" si="292"/>
        <v>6426037966.6933346</v>
      </c>
      <c r="O188" s="194">
        <f t="shared" si="292"/>
        <v>22788883054.663334</v>
      </c>
      <c r="P188" s="194">
        <f t="shared" si="292"/>
        <v>6816879006.4933338</v>
      </c>
      <c r="Q188" s="194">
        <f t="shared" si="292"/>
        <v>6173612549.8133335</v>
      </c>
      <c r="R188" s="194">
        <f t="shared" si="292"/>
        <v>6076137280.333334</v>
      </c>
      <c r="S188" s="194">
        <f t="shared" si="292"/>
        <v>10269201544.356667</v>
      </c>
      <c r="T188" s="194">
        <f>+T3</f>
        <v>115974493163.20999</v>
      </c>
      <c r="U188" s="194">
        <f>+U3</f>
        <v>132319831987.90001</v>
      </c>
      <c r="V188" s="393"/>
      <c r="W188" s="393"/>
      <c r="Y188" s="194">
        <f t="shared" ref="Y188:AH188" si="293">+Y3</f>
        <v>5965363308.6100006</v>
      </c>
      <c r="Z188" s="194">
        <f t="shared" si="293"/>
        <v>16872311055.360001</v>
      </c>
      <c r="AA188" s="194">
        <f t="shared" si="293"/>
        <v>9168043471.7000008</v>
      </c>
      <c r="AB188" s="194">
        <f t="shared" si="293"/>
        <v>9711329931</v>
      </c>
      <c r="AC188" s="194">
        <f t="shared" si="293"/>
        <v>8629238987.0600014</v>
      </c>
      <c r="AD188" s="194">
        <f t="shared" si="293"/>
        <v>8672940822.7800007</v>
      </c>
      <c r="AE188" s="194">
        <f t="shared" si="293"/>
        <v>8138587010.8400002</v>
      </c>
      <c r="AF188" s="194">
        <f t="shared" si="293"/>
        <v>7088877046.3999996</v>
      </c>
      <c r="AG188" s="194">
        <f t="shared" si="293"/>
        <v>15605861566.5</v>
      </c>
      <c r="AH188" s="194">
        <f t="shared" si="293"/>
        <v>11021975226.709999</v>
      </c>
      <c r="AI188" s="194"/>
      <c r="AJ188" s="194">
        <f>+AJ3</f>
        <v>94380006346.959991</v>
      </c>
      <c r="AM188" s="198">
        <f t="shared" ref="AM188:AW188" si="294">+AM3</f>
        <v>-0.32598119148433968</v>
      </c>
      <c r="AN188" s="198">
        <f t="shared" si="294"/>
        <v>-0.18027173108763775</v>
      </c>
      <c r="AO188" s="198">
        <f t="shared" si="294"/>
        <v>-0.4577969134562343</v>
      </c>
      <c r="AP188" s="198">
        <f t="shared" si="294"/>
        <v>-0.1975642751460461</v>
      </c>
      <c r="AQ188" s="198">
        <f t="shared" si="294"/>
        <v>0.58515473149296693</v>
      </c>
      <c r="AR188" s="198">
        <f t="shared" si="294"/>
        <v>-0.1222482351190711</v>
      </c>
      <c r="AS188" s="198">
        <f t="shared" si="294"/>
        <v>0.26650154465674547</v>
      </c>
      <c r="AT188" s="198">
        <f t="shared" si="294"/>
        <v>-0.6889326682051059</v>
      </c>
      <c r="AU188" s="198">
        <f t="shared" si="294"/>
        <v>1.2892971331359746</v>
      </c>
      <c r="AV188" s="198">
        <f t="shared" si="294"/>
        <v>0.78533640356864665</v>
      </c>
      <c r="AW188" s="198">
        <f t="shared" si="294"/>
        <v>-0.18620031204499637</v>
      </c>
    </row>
    <row r="189" spans="1:52" x14ac:dyDescent="0.25">
      <c r="A189" s="426" t="str">
        <f>+A5</f>
        <v>1125</v>
      </c>
      <c r="B189" s="196" t="str">
        <f>+B5</f>
        <v>Venta de Bienes y Servicios</v>
      </c>
      <c r="C189" s="196">
        <f t="shared" ref="C189:F189" si="295">+C5</f>
        <v>46439868581</v>
      </c>
      <c r="D189" s="196">
        <f t="shared" si="295"/>
        <v>0</v>
      </c>
      <c r="E189" s="196">
        <f t="shared" si="295"/>
        <v>0</v>
      </c>
      <c r="F189" s="196">
        <f t="shared" si="295"/>
        <v>46439868581</v>
      </c>
      <c r="G189" s="195" t="e">
        <f t="shared" ref="G189:U189" si="296">+G5</f>
        <v>#REF!</v>
      </c>
      <c r="H189" s="196">
        <f t="shared" si="296"/>
        <v>4320482844.3266678</v>
      </c>
      <c r="I189" s="196">
        <f t="shared" si="296"/>
        <v>11866998366.956663</v>
      </c>
      <c r="J189" s="196">
        <f t="shared" si="296"/>
        <v>3873856146.6766672</v>
      </c>
      <c r="K189" s="196">
        <f t="shared" si="296"/>
        <v>537974633.40666664</v>
      </c>
      <c r="L189" s="196">
        <f t="shared" si="296"/>
        <v>913825804.70666659</v>
      </c>
      <c r="M189" s="196">
        <f t="shared" si="296"/>
        <v>1085424628.1566668</v>
      </c>
      <c r="N189" s="196">
        <f t="shared" si="296"/>
        <v>1735014639.9766669</v>
      </c>
      <c r="O189" s="196">
        <f t="shared" si="296"/>
        <v>17222433234.946667</v>
      </c>
      <c r="P189" s="196">
        <f t="shared" si="296"/>
        <v>1176822528.7766666</v>
      </c>
      <c r="Q189" s="196">
        <f t="shared" si="296"/>
        <v>607465939.34666669</v>
      </c>
      <c r="R189" s="196">
        <f t="shared" si="296"/>
        <v>1546179701.8666668</v>
      </c>
      <c r="S189" s="196">
        <f t="shared" si="296"/>
        <v>1553390100.7566664</v>
      </c>
      <c r="T189" s="196">
        <f t="shared" si="296"/>
        <v>43340298767.276657</v>
      </c>
      <c r="U189" s="196">
        <f t="shared" si="296"/>
        <v>46439868569.899994</v>
      </c>
      <c r="V189" s="394"/>
      <c r="W189" s="394"/>
      <c r="Y189" s="196">
        <f t="shared" ref="Y189:AH189" si="297">+Y5</f>
        <v>1689559116.6100001</v>
      </c>
      <c r="Z189" s="196">
        <f t="shared" si="297"/>
        <v>8325206694.3600006</v>
      </c>
      <c r="AA189" s="196">
        <f t="shared" si="297"/>
        <v>4799722637.2800007</v>
      </c>
      <c r="AB189" s="196">
        <f t="shared" si="297"/>
        <v>710340075</v>
      </c>
      <c r="AC189" s="196">
        <f t="shared" si="297"/>
        <v>658812677</v>
      </c>
      <c r="AD189" s="196">
        <f t="shared" si="297"/>
        <v>650968384.77999997</v>
      </c>
      <c r="AE189" s="196">
        <f t="shared" si="297"/>
        <v>2469549123</v>
      </c>
      <c r="AF189" s="196">
        <f t="shared" si="297"/>
        <v>2803467908</v>
      </c>
      <c r="AG189" s="196">
        <f t="shared" si="297"/>
        <v>4134612388.5</v>
      </c>
      <c r="AH189" s="196">
        <f t="shared" si="297"/>
        <v>6494522080</v>
      </c>
      <c r="AI189" s="196"/>
      <c r="AJ189" s="196">
        <f>+AJ5</f>
        <v>26242239004.530003</v>
      </c>
      <c r="AM189" s="199">
        <f t="shared" ref="AM189:AW189" si="298">+AM5</f>
        <v>-0.60894206099473314</v>
      </c>
      <c r="AN189" s="199">
        <f t="shared" si="298"/>
        <v>-0.29845724782929828</v>
      </c>
      <c r="AO189" s="199">
        <f t="shared" si="298"/>
        <v>0.23900383895195043</v>
      </c>
      <c r="AP189" s="199">
        <f t="shared" si="298"/>
        <v>0.32039696835117987</v>
      </c>
      <c r="AQ189" s="199">
        <f t="shared" si="298"/>
        <v>-0.27906098338788377</v>
      </c>
      <c r="AR189" s="199">
        <f t="shared" si="298"/>
        <v>-0.40026385260346126</v>
      </c>
      <c r="AS189" s="199">
        <f t="shared" si="298"/>
        <v>0.42335924210599823</v>
      </c>
      <c r="AT189" s="199">
        <f t="shared" si="298"/>
        <v>-0.83721998687668697</v>
      </c>
      <c r="AU189" s="199">
        <f t="shared" si="298"/>
        <v>2.5133695076334255</v>
      </c>
      <c r="AV189" s="199">
        <f t="shared" si="298"/>
        <v>9.6911707461078365</v>
      </c>
      <c r="AW189" s="199">
        <f t="shared" si="298"/>
        <v>-0.3945071965137501</v>
      </c>
    </row>
    <row r="190" spans="1:52" x14ac:dyDescent="0.25">
      <c r="A190" s="426" t="str">
        <f>+A124</f>
        <v>1126</v>
      </c>
      <c r="B190" s="196" t="str">
        <f>+B124</f>
        <v>TRANSFERENCIAS CORRIENTES</v>
      </c>
      <c r="C190" s="196">
        <f t="shared" ref="C190:F190" si="299">+C124</f>
        <v>81745252610</v>
      </c>
      <c r="D190" s="196">
        <f t="shared" si="299"/>
        <v>4134710808</v>
      </c>
      <c r="E190" s="196">
        <f t="shared" si="299"/>
        <v>0</v>
      </c>
      <c r="F190" s="196">
        <f t="shared" si="299"/>
        <v>85879963418</v>
      </c>
      <c r="G190" s="195">
        <f t="shared" ref="G190:U190" si="300">+G124</f>
        <v>81745252610</v>
      </c>
      <c r="H190" s="196">
        <f t="shared" si="300"/>
        <v>4529957578.4666672</v>
      </c>
      <c r="I190" s="196">
        <f t="shared" si="300"/>
        <v>8715811443.6000004</v>
      </c>
      <c r="J190" s="196">
        <f t="shared" si="300"/>
        <v>13035017482.466665</v>
      </c>
      <c r="K190" s="196">
        <f t="shared" si="300"/>
        <v>11564340393.466665</v>
      </c>
      <c r="L190" s="196">
        <f t="shared" si="300"/>
        <v>4529957578.4666672</v>
      </c>
      <c r="M190" s="196">
        <f t="shared" si="300"/>
        <v>8795433684.8500004</v>
      </c>
      <c r="N190" s="196">
        <f t="shared" si="300"/>
        <v>4691023326.7166672</v>
      </c>
      <c r="O190" s="196">
        <f t="shared" si="300"/>
        <v>5566449819.7166672</v>
      </c>
      <c r="P190" s="196">
        <f t="shared" si="300"/>
        <v>5640056477.7166672</v>
      </c>
      <c r="Q190" s="196">
        <f t="shared" si="300"/>
        <v>5566146610.4666672</v>
      </c>
      <c r="R190" s="196">
        <f t="shared" si="300"/>
        <v>4529957578.4666672</v>
      </c>
      <c r="S190" s="196">
        <f t="shared" si="300"/>
        <v>8715811443.6000004</v>
      </c>
      <c r="T190" s="196">
        <f t="shared" si="300"/>
        <v>72634194395.933334</v>
      </c>
      <c r="U190" s="196">
        <f t="shared" si="300"/>
        <v>85879963418.000015</v>
      </c>
      <c r="V190" s="394"/>
      <c r="W190" s="394"/>
      <c r="Y190" s="196">
        <f t="shared" ref="Y190:AH190" si="301">+Y124</f>
        <v>4275804192</v>
      </c>
      <c r="Z190" s="196">
        <f t="shared" si="301"/>
        <v>8547104361</v>
      </c>
      <c r="AA190" s="196">
        <f t="shared" si="301"/>
        <v>4368320834.4200001</v>
      </c>
      <c r="AB190" s="196">
        <f t="shared" si="301"/>
        <v>9000989856</v>
      </c>
      <c r="AC190" s="196">
        <f t="shared" si="301"/>
        <v>7970426310.0600004</v>
      </c>
      <c r="AD190" s="196">
        <f t="shared" si="301"/>
        <v>8021972438</v>
      </c>
      <c r="AE190" s="196">
        <f t="shared" si="301"/>
        <v>5669037887.8400002</v>
      </c>
      <c r="AF190" s="196">
        <f t="shared" si="301"/>
        <v>4285409138.4000001</v>
      </c>
      <c r="AG190" s="196">
        <f t="shared" si="301"/>
        <v>11471249178</v>
      </c>
      <c r="AH190" s="196">
        <f t="shared" si="301"/>
        <v>4527453146.71</v>
      </c>
      <c r="AI190" s="196"/>
      <c r="AJ190" s="196">
        <f>+AJ124</f>
        <v>68137767342.429993</v>
      </c>
      <c r="AM190" s="199">
        <f t="shared" ref="AM190:AW190" si="302">+AM126</f>
        <v>-6.7866137273758842E-2</v>
      </c>
      <c r="AN190" s="199">
        <f t="shared" si="302"/>
        <v>-5.5363306300005258E-2</v>
      </c>
      <c r="AO190" s="199">
        <f t="shared" si="302"/>
        <v>-0.66835320740692716</v>
      </c>
      <c r="AP190" s="199">
        <f t="shared" si="302"/>
        <v>-0.27279467513897332</v>
      </c>
      <c r="AQ190" s="199">
        <f t="shared" si="302"/>
        <v>0.85210118427569514</v>
      </c>
      <c r="AR190" s="199">
        <f t="shared" si="302"/>
        <v>-6.3416885232397968E-2</v>
      </c>
      <c r="AS190" s="199">
        <f t="shared" si="302"/>
        <v>0.17967055663615419</v>
      </c>
      <c r="AT190" s="199">
        <f t="shared" si="302"/>
        <v>-0.24883215946021436</v>
      </c>
      <c r="AU190" s="199">
        <f t="shared" si="302"/>
        <v>1.0046492264856497</v>
      </c>
      <c r="AV190" s="199">
        <f t="shared" si="302"/>
        <v>-8.8536844247400007E-2</v>
      </c>
      <c r="AW190" s="199">
        <f t="shared" si="302"/>
        <v>-6.8875782793979767E-2</v>
      </c>
    </row>
    <row r="191" spans="1:52" x14ac:dyDescent="0.25">
      <c r="A191" s="425" t="str">
        <f t="shared" ref="A191:B191" si="303">+A162</f>
        <v>12</v>
      </c>
      <c r="B191" s="194" t="str">
        <f t="shared" si="303"/>
        <v>RECURSOS DE CAPITAL</v>
      </c>
      <c r="C191" s="194">
        <f t="shared" ref="C191:F191" si="304">+C162</f>
        <v>360566197</v>
      </c>
      <c r="D191" s="194">
        <f t="shared" si="304"/>
        <v>23080820183.77</v>
      </c>
      <c r="E191" s="194">
        <f t="shared" si="304"/>
        <v>0</v>
      </c>
      <c r="F191" s="194">
        <f t="shared" si="304"/>
        <v>23441386380.77</v>
      </c>
      <c r="G191" s="193">
        <f t="shared" ref="G191:U191" si="305">+G162</f>
        <v>360566197</v>
      </c>
      <c r="H191" s="194">
        <f t="shared" si="305"/>
        <v>21143836865.104168</v>
      </c>
      <c r="I191" s="194">
        <f t="shared" si="305"/>
        <v>1668643932.5241656</v>
      </c>
      <c r="J191" s="194">
        <f t="shared" si="305"/>
        <v>62890558.314166665</v>
      </c>
      <c r="K191" s="194">
        <f t="shared" si="305"/>
        <v>62890558.314166665</v>
      </c>
      <c r="L191" s="194">
        <f t="shared" si="305"/>
        <v>62890558.314166665</v>
      </c>
      <c r="M191" s="194">
        <f t="shared" si="305"/>
        <v>62890558.314166665</v>
      </c>
      <c r="N191" s="194">
        <f t="shared" si="305"/>
        <v>62890558.314166665</v>
      </c>
      <c r="O191" s="194">
        <f t="shared" si="305"/>
        <v>62890558.314166665</v>
      </c>
      <c r="P191" s="194">
        <f t="shared" si="305"/>
        <v>62890558.314166665</v>
      </c>
      <c r="Q191" s="194">
        <f t="shared" si="305"/>
        <v>62890558.314166665</v>
      </c>
      <c r="R191" s="194">
        <f t="shared" si="305"/>
        <v>62890558.314166665</v>
      </c>
      <c r="S191" s="194">
        <f t="shared" si="305"/>
        <v>62890558.314166665</v>
      </c>
      <c r="T191" s="194">
        <f t="shared" si="305"/>
        <v>23315605264.14167</v>
      </c>
      <c r="U191" s="194">
        <f t="shared" si="305"/>
        <v>23441386380.77</v>
      </c>
      <c r="V191" s="393"/>
      <c r="W191" s="393"/>
      <c r="Y191" s="194">
        <f t="shared" ref="Y191:AJ191" si="306">+Y162</f>
        <v>20162081577.649998</v>
      </c>
      <c r="Z191" s="194">
        <f t="shared" si="306"/>
        <v>2601443574.0300002</v>
      </c>
      <c r="AA191" s="194">
        <f t="shared" si="306"/>
        <v>101039509.63</v>
      </c>
      <c r="AB191" s="194">
        <f t="shared" si="306"/>
        <v>370180211.99000001</v>
      </c>
      <c r="AC191" s="194">
        <f t="shared" si="306"/>
        <v>96395161.620000005</v>
      </c>
      <c r="AD191" s="194">
        <f t="shared" si="306"/>
        <v>75370359.00999999</v>
      </c>
      <c r="AE191" s="194">
        <f t="shared" si="306"/>
        <v>64757892.140000001</v>
      </c>
      <c r="AF191" s="194">
        <f t="shared" si="306"/>
        <v>22457429.109999999</v>
      </c>
      <c r="AG191" s="194">
        <f t="shared" si="306"/>
        <v>74642634.680000007</v>
      </c>
      <c r="AH191" s="194">
        <f t="shared" si="306"/>
        <v>0</v>
      </c>
      <c r="AI191" s="194"/>
      <c r="AJ191" s="194">
        <f t="shared" si="306"/>
        <v>23568368349.859997</v>
      </c>
      <c r="AM191" s="198">
        <f t="shared" ref="AM191:AV191" si="307">+AM164</f>
        <v>-6.0178583304933926E-2</v>
      </c>
      <c r="AN191" s="198">
        <f t="shared" si="307"/>
        <v>0.98360597827934637</v>
      </c>
      <c r="AO191" s="198" t="e">
        <f t="shared" si="307"/>
        <v>#DIV/0!</v>
      </c>
      <c r="AP191" s="198" t="e">
        <f t="shared" si="307"/>
        <v>#DIV/0!</v>
      </c>
      <c r="AQ191" s="198" t="e">
        <f t="shared" si="307"/>
        <v>#DIV/0!</v>
      </c>
      <c r="AR191" s="198" t="e">
        <f t="shared" si="307"/>
        <v>#DIV/0!</v>
      </c>
      <c r="AS191" s="198" t="e">
        <f t="shared" si="307"/>
        <v>#DIV/0!</v>
      </c>
      <c r="AT191" s="198" t="e">
        <f t="shared" si="307"/>
        <v>#DIV/0!</v>
      </c>
      <c r="AU191" s="198" t="e">
        <f t="shared" si="307"/>
        <v>#DIV/0!</v>
      </c>
      <c r="AV191" s="198" t="e">
        <f t="shared" si="307"/>
        <v>#DIV/0!</v>
      </c>
      <c r="AW191" s="198">
        <f t="shared" ref="AW191" si="308">+AW164</f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EJEC-ING.JULIO-2020</vt:lpstr>
      <vt:lpstr>EJEC-GASTOS-JULIO-2020</vt:lpstr>
      <vt:lpstr>Ingresos Marzo 2020</vt:lpstr>
      <vt:lpstr>Gastos Marzo 2020</vt:lpstr>
      <vt:lpstr>RESUMEN EJEC-INGRESOS</vt:lpstr>
      <vt:lpstr>RESUMEN EJEC-GASTOS</vt:lpstr>
      <vt:lpstr>EJEC-INGRESOS OCT-2020</vt:lpstr>
      <vt:lpstr>EJEC-OCT-2020</vt:lpstr>
      <vt:lpstr>PAC de Ingresos</vt:lpstr>
      <vt:lpstr>PAC de Gastos</vt:lpstr>
      <vt:lpstr>COMPARATIVO PAC ING-GASTOS</vt:lpstr>
      <vt:lpstr>FUENTES Y USOS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UT</cp:lastModifiedBy>
  <cp:lastPrinted>2020-03-11T16:18:55Z</cp:lastPrinted>
  <dcterms:created xsi:type="dcterms:W3CDTF">2020-02-18T14:42:30Z</dcterms:created>
  <dcterms:modified xsi:type="dcterms:W3CDTF">2020-12-02T13:06:56Z</dcterms:modified>
</cp:coreProperties>
</file>