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ARA PUBLICAR ESTEBAN\C\"/>
    </mc:Choice>
  </mc:AlternateContent>
  <bookViews>
    <workbookView xWindow="0" yWindow="0" windowWidth="24000" windowHeight="9435" tabRatio="500" firstSheet="2" activeTab="11"/>
  </bookViews>
  <sheets>
    <sheet name="GENERAL" sheetId="1" state="hidden" r:id="rId1"/>
    <sheet name="1" sheetId="25" r:id="rId2"/>
    <sheet name="2" sheetId="18" r:id="rId3"/>
    <sheet name="3" sheetId="27" r:id="rId4"/>
    <sheet name="4" sheetId="29" r:id="rId5"/>
    <sheet name="5" sheetId="28" r:id="rId6"/>
    <sheet name="6" sheetId="26" r:id="rId7"/>
    <sheet name="7" sheetId="19" r:id="rId8"/>
    <sheet name="8" sheetId="2" r:id="rId9"/>
    <sheet name="9" sheetId="24" r:id="rId10"/>
    <sheet name="EVALUACIÓN DEL PERFIL" sheetId="30" r:id="rId11"/>
    <sheet name="INFORMACIÓN IMPORTANTE" sheetId="31" r:id="rId12"/>
    <sheet name="Hoja3" sheetId="32" state="hidden" r:id="rId13"/>
    <sheet name="10" sheetId="20" state="hidden" r:id="rId14"/>
    <sheet name="11" sheetId="21" state="hidden" r:id="rId15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24" l="1"/>
  <c r="P2" i="2"/>
  <c r="P2" i="19"/>
  <c r="P2" i="26"/>
  <c r="P2" i="28"/>
  <c r="P2" i="29"/>
  <c r="P2" i="27"/>
  <c r="P2" i="18"/>
  <c r="P2" i="25"/>
  <c r="A6" i="30" l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N35" i="27" l="1"/>
  <c r="N25" i="27"/>
  <c r="N30" i="25"/>
  <c r="N35" i="28" l="1"/>
  <c r="S34" i="28"/>
  <c r="N25" i="28" l="1"/>
  <c r="N35" i="29"/>
  <c r="N25" i="29"/>
  <c r="N35" i="24" l="1"/>
  <c r="T38" i="24"/>
  <c r="S38" i="24"/>
  <c r="N25" i="24"/>
  <c r="S23" i="24"/>
  <c r="U30" i="24"/>
  <c r="N30" i="24"/>
  <c r="R20" i="24"/>
  <c r="R27" i="24"/>
  <c r="N25" i="19" l="1"/>
  <c r="N35" i="2"/>
  <c r="N30" i="2"/>
  <c r="S29" i="2"/>
  <c r="Q26" i="2"/>
  <c r="Q31" i="2"/>
  <c r="Q29" i="2"/>
  <c r="N25" i="2"/>
  <c r="N35" i="26"/>
  <c r="N37" i="26"/>
  <c r="N25" i="26"/>
  <c r="N37" i="18"/>
  <c r="Q22" i="18" l="1"/>
  <c r="S27" i="18"/>
  <c r="N25" i="18"/>
  <c r="N96" i="29" l="1"/>
  <c r="N88" i="29"/>
  <c r="I79" i="29"/>
  <c r="N78" i="29"/>
  <c r="N77" i="29"/>
  <c r="N76" i="29"/>
  <c r="K72" i="29"/>
  <c r="J72" i="29"/>
  <c r="I72" i="29"/>
  <c r="N71" i="29"/>
  <c r="N70" i="29"/>
  <c r="N69" i="29"/>
  <c r="N72" i="29" s="1"/>
  <c r="N73" i="29" s="1"/>
  <c r="N94" i="29" s="1"/>
  <c r="K65" i="29"/>
  <c r="J65" i="29"/>
  <c r="I65" i="29"/>
  <c r="N64" i="29"/>
  <c r="N63" i="29"/>
  <c r="N62" i="29"/>
  <c r="N61" i="29"/>
  <c r="N60" i="29"/>
  <c r="N59" i="29"/>
  <c r="N58" i="29"/>
  <c r="N37" i="29"/>
  <c r="J10" i="29" s="1"/>
  <c r="N32" i="29"/>
  <c r="I10" i="29" s="1"/>
  <c r="N27" i="29"/>
  <c r="H10" i="29" s="1"/>
  <c r="N22" i="29"/>
  <c r="G10" i="29"/>
  <c r="F10" i="29"/>
  <c r="E10" i="29"/>
  <c r="C10" i="29"/>
  <c r="E5" i="29"/>
  <c r="E4" i="29"/>
  <c r="D20" i="29"/>
  <c r="N65" i="29" l="1"/>
  <c r="N66" i="29" s="1"/>
  <c r="N93" i="29" s="1"/>
  <c r="N80" i="29"/>
  <c r="N95" i="29" s="1"/>
  <c r="N10" i="29"/>
  <c r="N40" i="29"/>
  <c r="N92" i="29" s="1"/>
  <c r="N97" i="29" s="1"/>
  <c r="N96" i="28"/>
  <c r="N88" i="28"/>
  <c r="I79" i="28"/>
  <c r="N78" i="28"/>
  <c r="N77" i="28"/>
  <c r="N76" i="28"/>
  <c r="N80" i="28" s="1"/>
  <c r="N95" i="28" s="1"/>
  <c r="K72" i="28"/>
  <c r="J72" i="28"/>
  <c r="I72" i="28"/>
  <c r="N71" i="28"/>
  <c r="N70" i="28"/>
  <c r="N69" i="28"/>
  <c r="K65" i="28"/>
  <c r="J65" i="28"/>
  <c r="I65" i="28"/>
  <c r="N64" i="28"/>
  <c r="N63" i="28"/>
  <c r="N62" i="28"/>
  <c r="N61" i="28"/>
  <c r="N60" i="28"/>
  <c r="N59" i="28"/>
  <c r="N58" i="28"/>
  <c r="N65" i="28" s="1"/>
  <c r="N66" i="28" s="1"/>
  <c r="N93" i="28" s="1"/>
  <c r="N37" i="28"/>
  <c r="J10" i="28" s="1"/>
  <c r="N32" i="28"/>
  <c r="I10" i="28" s="1"/>
  <c r="N27" i="28"/>
  <c r="H10" i="28" s="1"/>
  <c r="N22" i="28"/>
  <c r="G10" i="28"/>
  <c r="F10" i="28"/>
  <c r="E10" i="28"/>
  <c r="C10" i="28"/>
  <c r="E5" i="28"/>
  <c r="E4" i="28"/>
  <c r="N96" i="27"/>
  <c r="N88" i="27"/>
  <c r="I79" i="27"/>
  <c r="N78" i="27"/>
  <c r="N77" i="27"/>
  <c r="N76" i="27"/>
  <c r="K72" i="27"/>
  <c r="J72" i="27"/>
  <c r="I72" i="27"/>
  <c r="N71" i="27"/>
  <c r="N70" i="27"/>
  <c r="N69" i="27"/>
  <c r="K65" i="27"/>
  <c r="J65" i="27"/>
  <c r="I65" i="27"/>
  <c r="N64" i="27"/>
  <c r="N63" i="27"/>
  <c r="N62" i="27"/>
  <c r="N61" i="27"/>
  <c r="N60" i="27"/>
  <c r="N59" i="27"/>
  <c r="N58" i="27"/>
  <c r="N37" i="27"/>
  <c r="J10" i="27" s="1"/>
  <c r="N32" i="27"/>
  <c r="I10" i="27" s="1"/>
  <c r="N27" i="27"/>
  <c r="H10" i="27" s="1"/>
  <c r="N22" i="27"/>
  <c r="G10" i="27"/>
  <c r="F10" i="27"/>
  <c r="E10" i="27"/>
  <c r="C10" i="27"/>
  <c r="E5" i="27"/>
  <c r="E4" i="27"/>
  <c r="E16" i="29"/>
  <c r="A10" i="29"/>
  <c r="D14" i="28"/>
  <c r="E18" i="29"/>
  <c r="D14" i="29"/>
  <c r="D14" i="27"/>
  <c r="N72" i="28" l="1"/>
  <c r="N73" i="28" s="1"/>
  <c r="N94" i="28" s="1"/>
  <c r="N65" i="27"/>
  <c r="N66" i="27" s="1"/>
  <c r="N93" i="27" s="1"/>
  <c r="N80" i="27"/>
  <c r="N95" i="27" s="1"/>
  <c r="N72" i="27"/>
  <c r="N73" i="27" s="1"/>
  <c r="N94" i="27" s="1"/>
  <c r="N40" i="27"/>
  <c r="N92" i="27" s="1"/>
  <c r="N10" i="27"/>
  <c r="N40" i="28"/>
  <c r="N92" i="28" s="1"/>
  <c r="N97" i="28" s="1"/>
  <c r="N10" i="28"/>
  <c r="N96" i="26"/>
  <c r="N88" i="26"/>
  <c r="I79" i="26"/>
  <c r="N78" i="26"/>
  <c r="N77" i="26"/>
  <c r="N76" i="26"/>
  <c r="N80" i="26" s="1"/>
  <c r="N95" i="26" s="1"/>
  <c r="K72" i="26"/>
  <c r="J72" i="26"/>
  <c r="I72" i="26"/>
  <c r="N71" i="26"/>
  <c r="N70" i="26"/>
  <c r="N69" i="26"/>
  <c r="K65" i="26"/>
  <c r="J65" i="26"/>
  <c r="I65" i="26"/>
  <c r="N64" i="26"/>
  <c r="N63" i="26"/>
  <c r="N62" i="26"/>
  <c r="N61" i="26"/>
  <c r="N60" i="26"/>
  <c r="N59" i="26"/>
  <c r="N58" i="26"/>
  <c r="N65" i="26" s="1"/>
  <c r="N66" i="26" s="1"/>
  <c r="N93" i="26" s="1"/>
  <c r="J10" i="26"/>
  <c r="N32" i="26"/>
  <c r="I10" i="26" s="1"/>
  <c r="N27" i="26"/>
  <c r="H10" i="26" s="1"/>
  <c r="N22" i="26"/>
  <c r="G10" i="26"/>
  <c r="F10" i="26"/>
  <c r="E10" i="26"/>
  <c r="C10" i="26"/>
  <c r="E5" i="26"/>
  <c r="E4" i="26"/>
  <c r="N96" i="25"/>
  <c r="N88" i="25"/>
  <c r="I79" i="25"/>
  <c r="N78" i="25"/>
  <c r="N77" i="25"/>
  <c r="N76" i="25"/>
  <c r="K72" i="25"/>
  <c r="J72" i="25"/>
  <c r="I72" i="25"/>
  <c r="N71" i="25"/>
  <c r="N70" i="25"/>
  <c r="N69" i="25"/>
  <c r="N72" i="25" s="1"/>
  <c r="N73" i="25" s="1"/>
  <c r="N94" i="25" s="1"/>
  <c r="K65" i="25"/>
  <c r="J65" i="25"/>
  <c r="I65" i="25"/>
  <c r="N64" i="25"/>
  <c r="N63" i="25"/>
  <c r="N62" i="25"/>
  <c r="N61" i="25"/>
  <c r="N60" i="25"/>
  <c r="N59" i="25"/>
  <c r="N58" i="25"/>
  <c r="N37" i="25"/>
  <c r="N32" i="25"/>
  <c r="N27" i="25"/>
  <c r="N22" i="25"/>
  <c r="J10" i="25"/>
  <c r="I10" i="25"/>
  <c r="H10" i="25"/>
  <c r="G10" i="25"/>
  <c r="F10" i="25"/>
  <c r="E10" i="25"/>
  <c r="C10" i="25"/>
  <c r="E5" i="25"/>
  <c r="E4" i="25"/>
  <c r="N96" i="24"/>
  <c r="N88" i="24"/>
  <c r="I79" i="24"/>
  <c r="N78" i="24"/>
  <c r="N77" i="24"/>
  <c r="N76" i="24"/>
  <c r="K72" i="24"/>
  <c r="J72" i="24"/>
  <c r="I72" i="24"/>
  <c r="N71" i="24"/>
  <c r="N70" i="24"/>
  <c r="N69" i="24"/>
  <c r="N72" i="24" s="1"/>
  <c r="N73" i="24" s="1"/>
  <c r="N94" i="24" s="1"/>
  <c r="K65" i="24"/>
  <c r="J65" i="24"/>
  <c r="I65" i="24"/>
  <c r="N64" i="24"/>
  <c r="N63" i="24"/>
  <c r="N62" i="24"/>
  <c r="N61" i="24"/>
  <c r="N60" i="24"/>
  <c r="N59" i="24"/>
  <c r="N58" i="24"/>
  <c r="N37" i="24"/>
  <c r="J10" i="24" s="1"/>
  <c r="N32" i="24"/>
  <c r="I10" i="24" s="1"/>
  <c r="N27" i="24"/>
  <c r="H10" i="24" s="1"/>
  <c r="N22" i="24"/>
  <c r="G10" i="24"/>
  <c r="F10" i="24"/>
  <c r="E10" i="24"/>
  <c r="C10" i="24"/>
  <c r="E5" i="24"/>
  <c r="E4" i="24"/>
  <c r="D14" i="24"/>
  <c r="D14" i="26"/>
  <c r="A10" i="28"/>
  <c r="A10" i="27"/>
  <c r="E16" i="28"/>
  <c r="D14" i="25"/>
  <c r="E18" i="28"/>
  <c r="D20" i="28"/>
  <c r="E18" i="27"/>
  <c r="E16" i="27"/>
  <c r="D20" i="27"/>
  <c r="N65" i="24" l="1"/>
  <c r="N66" i="24" s="1"/>
  <c r="N93" i="24" s="1"/>
  <c r="N80" i="24"/>
  <c r="N95" i="24" s="1"/>
  <c r="N65" i="25"/>
  <c r="N66" i="25" s="1"/>
  <c r="N93" i="25" s="1"/>
  <c r="N80" i="25"/>
  <c r="N95" i="25" s="1"/>
  <c r="N72" i="26"/>
  <c r="N73" i="26" s="1"/>
  <c r="N94" i="26" s="1"/>
  <c r="N97" i="27"/>
  <c r="N40" i="25"/>
  <c r="N92" i="25" s="1"/>
  <c r="N10" i="25"/>
  <c r="N40" i="24"/>
  <c r="N92" i="24" s="1"/>
  <c r="N97" i="24" s="1"/>
  <c r="N10" i="24"/>
  <c r="N92" i="26"/>
  <c r="N96" i="2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N72" i="20"/>
  <c r="N73" i="20" s="1"/>
  <c r="N94" i="20" s="1"/>
  <c r="K72" i="20"/>
  <c r="J72" i="20"/>
  <c r="I72" i="20"/>
  <c r="N71" i="20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I10" i="20" s="1"/>
  <c r="N27" i="20"/>
  <c r="N22" i="20"/>
  <c r="N40" i="20" s="1"/>
  <c r="N92" i="20" s="1"/>
  <c r="J10" i="20"/>
  <c r="H10" i="20"/>
  <c r="G10" i="20"/>
  <c r="F10" i="20"/>
  <c r="E10" i="20"/>
  <c r="C10" i="20"/>
  <c r="E5" i="20"/>
  <c r="E4" i="20"/>
  <c r="P2" i="20"/>
  <c r="N96" i="19"/>
  <c r="N88" i="19"/>
  <c r="I79" i="19"/>
  <c r="N78" i="19"/>
  <c r="N77" i="19"/>
  <c r="N76" i="19"/>
  <c r="N80" i="19" s="1"/>
  <c r="N95" i="19" s="1"/>
  <c r="K72" i="19"/>
  <c r="J72" i="19"/>
  <c r="I72" i="19"/>
  <c r="N71" i="19"/>
  <c r="N70" i="19"/>
  <c r="N69" i="19"/>
  <c r="N72" i="19" s="1"/>
  <c r="N73" i="19" s="1"/>
  <c r="N94" i="19" s="1"/>
  <c r="K65" i="19"/>
  <c r="J65" i="19"/>
  <c r="I65" i="19"/>
  <c r="N64" i="19"/>
  <c r="N63" i="19"/>
  <c r="N62" i="19"/>
  <c r="N61" i="19"/>
  <c r="N60" i="19"/>
  <c r="N59" i="19"/>
  <c r="N58" i="19"/>
  <c r="N37" i="19"/>
  <c r="N32" i="19"/>
  <c r="N27" i="19"/>
  <c r="N22" i="19"/>
  <c r="J10" i="19"/>
  <c r="I10" i="19"/>
  <c r="H10" i="19"/>
  <c r="G10" i="19"/>
  <c r="F10" i="19"/>
  <c r="E10" i="19"/>
  <c r="C10" i="19"/>
  <c r="E5" i="19"/>
  <c r="E4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N72" i="18" s="1"/>
  <c r="N73" i="18" s="1"/>
  <c r="N94" i="18" s="1"/>
  <c r="K65" i="18"/>
  <c r="J65" i="18"/>
  <c r="I65" i="18"/>
  <c r="N64" i="18"/>
  <c r="N63" i="18"/>
  <c r="N62" i="18"/>
  <c r="N61" i="18"/>
  <c r="N60" i="18"/>
  <c r="N59" i="18"/>
  <c r="N58" i="18"/>
  <c r="N32" i="18"/>
  <c r="I10" i="18" s="1"/>
  <c r="N27" i="18"/>
  <c r="N22" i="18"/>
  <c r="J10" i="18"/>
  <c r="G10" i="18"/>
  <c r="F10" i="18"/>
  <c r="E10" i="18"/>
  <c r="C10" i="18"/>
  <c r="E5" i="18"/>
  <c r="E4" i="18"/>
  <c r="E5" i="2"/>
  <c r="E4" i="2"/>
  <c r="N37" i="2"/>
  <c r="N32" i="2"/>
  <c r="N27" i="2"/>
  <c r="N22" i="2"/>
  <c r="E16" i="26"/>
  <c r="A10" i="24"/>
  <c r="D20" i="24"/>
  <c r="D14" i="19"/>
  <c r="E18" i="26"/>
  <c r="A10" i="26"/>
  <c r="E16" i="18"/>
  <c r="D20" i="26"/>
  <c r="D20" i="25"/>
  <c r="D20" i="2"/>
  <c r="E18" i="25"/>
  <c r="A10" i="25"/>
  <c r="E16" i="24"/>
  <c r="E18" i="24"/>
  <c r="E16" i="25"/>
  <c r="D14" i="20"/>
  <c r="E16" i="21"/>
  <c r="N97" i="20" l="1"/>
  <c r="N40" i="21"/>
  <c r="N92" i="21" s="1"/>
  <c r="N65" i="18"/>
  <c r="N66" i="18" s="1"/>
  <c r="N93" i="18" s="1"/>
  <c r="N65" i="19"/>
  <c r="N66" i="19" s="1"/>
  <c r="N93" i="19" s="1"/>
  <c r="N10" i="20"/>
  <c r="N72" i="21"/>
  <c r="N73" i="21" s="1"/>
  <c r="N94" i="21" s="1"/>
  <c r="N97" i="26"/>
  <c r="N97" i="25"/>
  <c r="N65" i="21"/>
  <c r="N66" i="21" s="1"/>
  <c r="N93" i="21" s="1"/>
  <c r="N40" i="19"/>
  <c r="N92" i="19" s="1"/>
  <c r="N97" i="19" s="1"/>
  <c r="N10" i="19"/>
  <c r="N40" i="18"/>
  <c r="N92" i="18" s="1"/>
  <c r="N97" i="18" s="1"/>
  <c r="N40" i="2"/>
  <c r="N10" i="21"/>
  <c r="I10" i="21"/>
  <c r="H10" i="18"/>
  <c r="N10" i="18" s="1"/>
  <c r="Z2" i="1"/>
  <c r="D14" i="18"/>
  <c r="D14" i="21"/>
  <c r="E16" i="2"/>
  <c r="A10" i="20"/>
  <c r="E18" i="21"/>
  <c r="A10" i="21"/>
  <c r="E18" i="20"/>
  <c r="A10" i="2"/>
  <c r="E18" i="2"/>
  <c r="D20" i="18"/>
  <c r="E18" i="19"/>
  <c r="E16" i="20"/>
  <c r="E18" i="18"/>
  <c r="D20" i="19"/>
  <c r="D20" i="20"/>
  <c r="A10" i="18"/>
  <c r="D20" i="21"/>
  <c r="A10" i="19"/>
  <c r="D14" i="2"/>
  <c r="E16" i="19"/>
  <c r="N97" i="21" l="1"/>
  <c r="E3" i="29"/>
  <c r="E3" i="28"/>
  <c r="E3" i="27"/>
  <c r="E3" i="26"/>
  <c r="E3" i="25"/>
  <c r="E3" i="24"/>
  <c r="E3" i="19"/>
  <c r="E3" i="18"/>
  <c r="E3" i="20"/>
  <c r="E3" i="21"/>
  <c r="E3" i="2"/>
  <c r="Z1" i="1"/>
  <c r="E31" i="1" l="1"/>
  <c r="E30" i="1"/>
  <c r="N96" i="2" l="1"/>
  <c r="N88" i="2"/>
  <c r="I79" i="2"/>
  <c r="N78" i="2"/>
  <c r="N77" i="2"/>
  <c r="N76" i="2"/>
  <c r="K72" i="2"/>
  <c r="J72" i="2"/>
  <c r="I72" i="2"/>
  <c r="N71" i="2"/>
  <c r="N70" i="2"/>
  <c r="N69" i="2"/>
  <c r="K65" i="2"/>
  <c r="J65" i="2"/>
  <c r="I65" i="2"/>
  <c r="N64" i="2"/>
  <c r="N63" i="2"/>
  <c r="N62" i="2"/>
  <c r="N61" i="2"/>
  <c r="N60" i="2"/>
  <c r="N59" i="2"/>
  <c r="N58" i="2"/>
  <c r="H10" i="2"/>
  <c r="G10" i="2"/>
  <c r="F10" i="2"/>
  <c r="E10" i="2"/>
  <c r="R6" i="1" s="1"/>
  <c r="C10" i="2"/>
  <c r="N80" i="2" l="1"/>
  <c r="N95" i="2" s="1"/>
  <c r="N72" i="2"/>
  <c r="N73" i="2" s="1"/>
  <c r="N94" i="2" s="1"/>
  <c r="N65" i="2"/>
  <c r="N66" i="2" s="1"/>
  <c r="N93" i="2" s="1"/>
  <c r="I10" i="2"/>
  <c r="J10" i="2"/>
  <c r="N10" i="2" l="1"/>
  <c r="N92" i="2"/>
  <c r="N97" i="2" s="1"/>
</calcChain>
</file>

<file path=xl/sharedStrings.xml><?xml version="1.0" encoding="utf-8"?>
<sst xmlns="http://schemas.openxmlformats.org/spreadsheetml/2006/main" count="1371" uniqueCount="293">
  <si>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</si>
  <si>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</si>
  <si>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</si>
  <si>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</si>
  <si>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</si>
  <si>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</si>
  <si>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</si>
  <si>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</si>
  <si>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</si>
  <si>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</si>
  <si>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</si>
  <si>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</si>
  <si>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</si>
  <si>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</si>
  <si>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</si>
  <si>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</si>
  <si>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</si>
  <si>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</si>
  <si>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</si>
  <si>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</si>
  <si>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</si>
  <si>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</si>
  <si>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</si>
  <si>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</si>
  <si>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</si>
  <si>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</si>
  <si>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</si>
  <si>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</si>
  <si>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</si>
  <si>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</si>
  <si>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</si>
  <si>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</si>
  <si>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</si>
  <si>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</si>
  <si>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</si>
  <si>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</si>
  <si>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</si>
  <si>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</si>
  <si>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</si>
  <si>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</si>
  <si>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</si>
  <si>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</si>
  <si>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</si>
  <si>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</si>
  <si>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</si>
  <si>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</si>
  <si>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</si>
  <si>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</si>
  <si>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</si>
  <si>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</si>
  <si>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</si>
  <si>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</si>
  <si>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</si>
  <si>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</si>
  <si>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</si>
  <si>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</si>
  <si>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</si>
  <si>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</si>
  <si>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</si>
  <si>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</si>
  <si>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</si>
  <si>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</si>
  <si>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</si>
  <si>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</si>
  <si>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</si>
  <si>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</si>
  <si>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</si>
  <si>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</si>
  <si>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</si>
  <si>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</si>
  <si>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</si>
  <si>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</si>
  <si>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</si>
  <si>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</si>
  <si>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</si>
  <si>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</si>
  <si>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</si>
  <si>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</si>
  <si>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</si>
  <si>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</si>
  <si>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</si>
  <si>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</si>
  <si>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</si>
  <si>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</si>
  <si>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</si>
  <si>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</si>
  <si>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</si>
  <si>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</si>
  <si>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</si>
  <si>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</si>
  <si>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</si>
  <si>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</si>
  <si>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</si>
  <si>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</si>
  <si>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</si>
  <si>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FISICO</t>
  </si>
  <si>
    <t>Total Evaluación</t>
  </si>
  <si>
    <t>NO REGISTRA</t>
  </si>
  <si>
    <t>CIENCIAS</t>
  </si>
  <si>
    <t>C-P-07-4</t>
  </si>
  <si>
    <t xml:space="preserve">RODRIGUEZ PAEZ </t>
  </si>
  <si>
    <t xml:space="preserve">LILIANA </t>
  </si>
  <si>
    <t>3167191052/8572224</t>
  </si>
  <si>
    <t>liliana_rod@hotmail.com</t>
  </si>
  <si>
    <t>CARRERA 4 No. 5-04 SOPO CUNDINAMARCA</t>
  </si>
  <si>
    <t>CUNDINAMARCA</t>
  </si>
  <si>
    <t>LICENCIADO EN QUÍMICA/UNIVERSIDAD PEDAGOGICA NACIONAL/1998</t>
  </si>
  <si>
    <t>DOCTOR EN QUÍMICA/UNIVERSIDAD DE QUIMICA (PRAGA)/2005</t>
  </si>
  <si>
    <t>MACIAS LOPEZ</t>
  </si>
  <si>
    <t>MARIO ALBERTO</t>
  </si>
  <si>
    <t>3157117832 / 6545335</t>
  </si>
  <si>
    <t>mariomacias@ciencias.uis.edu.co</t>
  </si>
  <si>
    <t xml:space="preserve">CARRRERA 16A No.13-70 MANZANA D CASA 137 MOLINOS DEL VIENTO. PIEDECUESTA </t>
  </si>
  <si>
    <t>SANTANDER</t>
  </si>
  <si>
    <t>QUÍMICO/UNIVERSIDAD INDUSTRIAL DE SANTANDER /2006</t>
  </si>
  <si>
    <t>MAGISTER EN QUIMICA /UNIVERSIDAD INDUSTRIAL DE SANTANDER /2009</t>
  </si>
  <si>
    <t>DOCTOR EN QUÍMICA/UNIVERSIDAD INDUSTRIAL DE SANTANDER (PENDIENTE DE CEREMONIA DE GRADO)</t>
  </si>
  <si>
    <t>AVILA VANEGAS</t>
  </si>
  <si>
    <t>HUMAR ALBERTO</t>
  </si>
  <si>
    <t>humarmeister@gmail.com</t>
  </si>
  <si>
    <t>CALLE 15 No.28 - 19</t>
  </si>
  <si>
    <t xml:space="preserve">POPAYAN </t>
  </si>
  <si>
    <t>QUIMICO /UNIVERSIDAD DEL CAUCA/2004</t>
  </si>
  <si>
    <t>DOCTOR EN CIENCIAS MATEMATICAS /UNIVERSIDAD NACIONAL DE MAR DEL PLATA (PENDIENTE DE CEREMONIA DE GRADO)</t>
  </si>
  <si>
    <t>CARDENAS OCAMPO</t>
  </si>
  <si>
    <t>DORA VIVIANA</t>
  </si>
  <si>
    <t>CALLE 65 No.34A -77</t>
  </si>
  <si>
    <t>MANIZALES</t>
  </si>
  <si>
    <t>LICENCIADO EN BIOLOGIA Y QUIMICA /UNIVERSIDAD DE CALDAS / 2002</t>
  </si>
  <si>
    <t>ESPECIALISTA EN QUIMICA / UNIVERSIDAD DE CALDAS/ 2009</t>
  </si>
  <si>
    <t>MAGISTER EN QUIMICA / UNIVERSIDAD DE CALDAS/ 2013</t>
  </si>
  <si>
    <t>CUARTAS DOMINGUEZ</t>
  </si>
  <si>
    <t>CRISTINA ALEXANDRA</t>
  </si>
  <si>
    <t>criscuardo@gmail.com</t>
  </si>
  <si>
    <t>CALLE 4 No. 98 - 20 APTO 402 TORRE B CONJUNTO RESIDENCIAL RIVERA CAMPESTRE</t>
  </si>
  <si>
    <t>CALI</t>
  </si>
  <si>
    <t>QUIMICA/ UNIVERSIDAD DEL VALLE/2007</t>
  </si>
  <si>
    <t xml:space="preserve">DOCTORA EN CIENCIAS QUIMICA/UNIVERSIDAD DE SAO PAULO( BRASIL) /2013 </t>
  </si>
  <si>
    <t xml:space="preserve">MIRANDA MUÑOZ </t>
  </si>
  <si>
    <t>CRISTIAN DAVID</t>
  </si>
  <si>
    <t>cdmiranda@unicauca.edu.co</t>
  </si>
  <si>
    <t>CARRERA 21 NO. 4-36</t>
  </si>
  <si>
    <t>QUIMICO/UNIVERSIDAD DEL CAUCA/2011</t>
  </si>
  <si>
    <t>MAGISTER EN CIENCIAS QUIMICAS/UNIVERSIDAD DEL CAUCA/2013</t>
  </si>
  <si>
    <t>VARGAS DELGADILLO</t>
  </si>
  <si>
    <t>DIANA PAOLA</t>
  </si>
  <si>
    <t>dian863@yahoo.es</t>
  </si>
  <si>
    <t>CALLE 1 NO 38-23</t>
  </si>
  <si>
    <t>BOGOTA D.C</t>
  </si>
  <si>
    <t>LICENCIADA EN QUIMICA/UNIVERSIDAD PEDAGOGICA NACIONAL/2007</t>
  </si>
  <si>
    <t>MAGISTER EN CIENCIAS QUIMICA/UNIVERSIDAD NACIONAL DE COLOMBIA/2009</t>
  </si>
  <si>
    <t>DOCTORA EN CIENCIAS QUIMICAS/UNIVERSIDAD NACIONAL/ PENDIENTE CEREMONIA DE GRADUACION</t>
  </si>
  <si>
    <t xml:space="preserve">CALDERON GOMEZ </t>
  </si>
  <si>
    <t xml:space="preserve"> JUAN CARLOS</t>
  </si>
  <si>
    <t>34678153349 / 34922318030</t>
  </si>
  <si>
    <t>jccalderong@yahoo.es</t>
  </si>
  <si>
    <t xml:space="preserve">CALLE OBISPO PEREZ CACERES, 21 SAN CRISTOBAL DE LA LAGUNA TENERIFE </t>
  </si>
  <si>
    <t>ESPAÑA</t>
  </si>
  <si>
    <t>QUIMICO/UNIVERSIDAD NACIONAL DE COLOMBIA/2004</t>
  </si>
  <si>
    <t>DOCTOR EN QUIMICA E INGENIERIA QUIMICA/UNIVERSIDAD DE LA LAGUNA (ESPAÑA)/2013</t>
  </si>
  <si>
    <t>CASTRO SALAZAR</t>
  </si>
  <si>
    <t>HANS THIELIN</t>
  </si>
  <si>
    <t>hsinsile@gmail.com</t>
  </si>
  <si>
    <t>CARRERA 32 NO 3-79 B/ TRES UNIDOS BARRANCABERMEJA</t>
  </si>
  <si>
    <t>CUCUTA</t>
  </si>
  <si>
    <t>QUIMICO/UNIVERSIDAD INDUSTRIAL DE SANTANDER/2002</t>
  </si>
  <si>
    <t>DOCTOR EN QUIMICA/UNIVERSIDAD INDUSTRIAL DE SANTANDER/2010</t>
  </si>
  <si>
    <t>AVILA TORRES</t>
  </si>
  <si>
    <t>YENNY PATRICIA</t>
  </si>
  <si>
    <t>yennypatricia.avila@utp.edu.co</t>
  </si>
  <si>
    <t>CALLE 12 NO 6-45 CENTRO</t>
  </si>
  <si>
    <t>PEREIRA</t>
  </si>
  <si>
    <t>TECNOLOGO QUIMICO/UNIVERSIDAD TECNOLOGICA DE PEREIRA/2003/QUIMICO/UNIVERSIDAD DEL QUINDIO/2005</t>
  </si>
  <si>
    <t>MAESTRIA EN CIENCIA E INGENIERIA DE MATERIALES/UNIVERSIDAD NACIONAL AUTONOMA DE MEXICO/2008</t>
  </si>
  <si>
    <t>DOCTORADO EN CIENCIA E INGENIERIA DE MATERIALES/ UNIVERSIDAD NACIONAL AUTONOMA DE MEXICO/2013</t>
  </si>
  <si>
    <t xml:space="preserve">LA PRESENTACION DE LA HOJA DE VIDA NO CUMPLE CON LOS PARAMETROS ESTABLECIDOS POR LA UNIVERSIDAD </t>
  </si>
  <si>
    <t>SALAMANCA GUZMAN</t>
  </si>
  <si>
    <t>MAURIN</t>
  </si>
  <si>
    <t>maurin.sg@gmail.com</t>
  </si>
  <si>
    <t xml:space="preserve">CARRERA 25 NO 40-67 APTO 103 BLOQUE C-1 </t>
  </si>
  <si>
    <t>MADELLIN</t>
  </si>
  <si>
    <t>QUIMICA/UNIVERSIDAD DE ANTIOQUIA 2008</t>
  </si>
  <si>
    <t>DOCTORA EN CIENCIAS QUIMICAS UNIVERSIDAD DE ANTIOQUIA/2013</t>
  </si>
  <si>
    <t xml:space="preserve">COOPERATIVA DE TECNOLOGOS PETROLABIN: 
NANALISTA DE LABORATORIO :01/06/2011-10/12/2011 Y 02/02/2012/09/07/2012 = 350 DIAS =0,97 PUNTOS
23/07/2012 - 15/03/2013 AL 15/03/2013 = 249 DIAS = 0,66 PUNTOS
CENTRO DE DESARROLLO PRODUCTIVO DE JOYERIA:
DIRECTOR DE LABORATORIO: 13/06/2009 - 31/05/2011=678 DIAS = 1,88
INSTITUTO ZULIANO DE INVESTIGACIONES TECNOLOGICAS:
INVESTIGADOR:01/01/2009-30/06/2009= 180 DIAS = 0,5 PUNTOS
LABORATORIO NACIONAL DE LUZ SINCROTON CAMPINAS SAO PAULO (BRASIL)
INVESTIGADOR: 03/12/2012 - 07/12/2012 =7 DIAS = 0,1 PUNTOS
UNITED DE CATALYSE ET DE CHIMIE DU SOLIDE:
INVESTIGADOR: NO SE LE RECONOCEN PUNTOS POR QUE NO ESPECIFICA FECHAS DE INOCIO Y FINALIZACION DEL CONTRATO DE TRABAJO.
</t>
  </si>
  <si>
    <t>UNIVERSIDAD INDUSTRIAL DE SANTANDER 
CATEDRATICO: 13/05/2010 - 02/03/2014 = 677 HORAS =1,41 PUNTOS</t>
  </si>
  <si>
    <t xml:space="preserve">REV. LATINAM. METAL. MAT./ NO INDEXADA / ISSSN 025-6952; 2244-7113/ 9 AUTORES = 0,25 PUNTOS
POWDER DIFFRACTION/ HOMOLOHADA/ SYNTHESIS AND X-RAY POWDER DIFFRCTION/ CATEGORIA A2/ ISSN 7156/ 5 AUTORES / 2 PUNTOS
POWDER DIFFRACTION /DIFFRATION DATA OF 7 METHTHYL -CIS 2  /HOMOLOHADA/ CATEGORIA A2/ ISSN 7156/ 4 AUTORES / 2 PUNTOS
POWDER DIFFRACTION/ /HOMOLOHADA/ CATEGORIA A2/ ISSN 7156/ 5 AUTORES / 2 PUNTOS
REV. FAC.ING.UNIV.ANTIOQUIA / HOMOLOGADA / STRUCTURAL ANALYSIS OF THE NATURAL CLINKERL / CATEGORIA A1/ ISSN 0120 -6230 / 3 AUTORES / 2 PUNTOS 
POWDER DIFFRACTION/ /HOMOLOHADA/ CATEGORIA A2/ ISSN 7156/ 5 AUTORES / 2 PUNTOS
REV. FAC.ING.UNIV.ANTIOQUIA / HOMOLOGADA / STRUCTURAL ANALYSIS OF THE NATURAL CLINKERL / CATEGORIA A1/ ISSN 0120 -6230 / 3 AUTORES / 2 PUNTOS 
REVISTA COLOMBIANA FISICA  / HOMOLOGADA USO DE LA CORRECCION DEL ENSANCHAMIENETO INSTRUMENTAL/ CATEGORIA 
EXECEDE EL TOPE POR NUMERO DE PUBLICACIONES </t>
  </si>
  <si>
    <t>ALISIOS SOLUCIONES ENERGETICAS S.L.L:
LABORES DE INVESTIGACION 15/04/2103 - 28/12/2103 = 257DIAS = 0,71 AÑOS= 0,71 PUNTOS
UNIVERSIDAD NACIONAL INVEST: 3 MESES: 0,23
UNIVERSIDAD NACIONAL DE RIO CUARTO:82 DIAS =0,22AÑOS=0,22 PUNTOS</t>
  </si>
  <si>
    <t xml:space="preserve">NO REGISTRA </t>
  </si>
  <si>
    <t xml:space="preserve">ARÍCULOS DE REVISTAS:
INTERNATIONALJUORNAL OF HYDROGEN ENERGY/HOMOLOGADA/CATEGORIA A1/ISSN3060-3199/8 AUTORES=1 PUNTO
CIENCIA &amp; TECNOLOGÍA DOS MATERIAIS/HOMOLOGADA/ CATEGORIA A1/ISSN0870-8312/ 5 AUTORES/2 PUNTOS
INTERNATIONAL JURNAL OF HYDROGEN ENERGY/HOMOLOGADA/CATEGORIA A1/ISSN 0360-3199/ 9 AUTORES=1,12 PUNTO
CIENCIA &amp; TCCNOLOGIA DOS MATERIAIS/HOMOLOGADA/ CATEGORIA A1/ISSN0870-8312/ 9 AUTORES/1.12 PUNTOS
INTERNATIONALJUORNAL OF HYDROGEN ENERGY/HOMOLOGADA/CATEGORIA A1/ISSN3060-3199/8 AUTORES=1 PUNTO
BIOCHIMIE/HOMOLOGADA/CATEGORIA A1/ISSN 0300-9084/6 AUTORES /0,75 PUNTOS
PONENCIAS:
INERNATIONAL SICIETY OF ELECTROCHEMISTRY/ 59 ANNUAL MEETING IN SEVILLE, SPAIN/ 5 AUTORES = 0,1 PUNTO
3 SEMINARIO INTERNACIONAL DE TORRES VEDRAS HIDROGÉNO ENERGÍA E SUSTENTIBILIDADE/ 5 AUTORES/0,1 PUNTO
IIIHYCELTEC 2011 HYDROGEN,FUEL CELLS ADVANCED BATTERIES/ 5 AUTORES/ 0,1 PUNTO
IMAGEGINENANO 2013/ 6 AUTORES/0,16 PUNTOS
 </t>
  </si>
  <si>
    <t xml:space="preserve">UNIVERSIDAD TECNOLOGICA DE BRNO REP. CHECA
INVESTIGADOR: NO SE LE ASIGNA PUNTUACIÓN PORQUE LA CERTIFICACION NO ESPECIFICA FECHA DE INICIO Y FINALIZACION DEL CONTRATO
COLEGIO UNIDAD PEDAGOGICA
DOCENTE:16/01/2012-30/11/2012 = 316 DIAS =0,87 PUNTOS
15/01/2013 - 25/08/2013 =220 DIAS= 0,61
</t>
  </si>
  <si>
    <t xml:space="preserve">UNIVERSIDAD DEL CAUCA
PROFESOR OCASIONAL TIEMPO COMPLETO:  11/04/2005 - 23/12/2005 =244 DIAS=0,70 PUNTOS
18/1/2006 - 14/07/2006 =182 DIAS =0,50 PUNTOS 
14/08/2006 - 11/12/2006 = 126 DIAS =0,35
01/02/2007 - 22/06/2007 = 142 DIAS = 0,39 PUNTOS
06/11/2007 - 21/12/2007=27 DIAS =0,07 PUNTOS
22/04/2008 - 22/08/2008 =134 DIAS =0,37 PUNTOS
CATEDRATICO: 2007 AL 2011= 2,15 PUNTOS </t>
  </si>
  <si>
    <t xml:space="preserve">REVISTAS:
MATERIAL DIVULGATIVO 
CERAMICS - SILIKATY/ 0862-5468 PREPARATION OF TIO 2 SOL- GEL LAYERS ON GLASS =0,5 PUNTOS 
CERAMICS - SILIKATY/ 0862-5468 PROPERTIES OF SOL - GEL TIO 2 LAYERS ON GLASS SUBSTRATE=0,5 PUNTOS 
CERAMICS - SILIKATY/ 0862-5468PREPARATION AND CHARACTERIZATION OF TIO 2 MnO SOL - GEL LAYERS ON GLASS = 0,5 PUNTOS </t>
  </si>
  <si>
    <t xml:space="preserve">COLCIENCIAS UNIVERSIDAD DEL CAUCA: 
9/03/2007 - 30/11/2007=266 DIAS=0,73 AÑOS=0,73 PUNTOS
COLEGIO VALLE DEL GUAMUEZ=83 DIS=,23 AÑOS= 0,23 PUNTOS
CONSEJO REGIONAL INDIGENA DEL CAUCA:
26/03/2008 - 12/12/2008=261 = 0,72 PUNTOS
FUNDACION LICEO COMERCIAL CIUDAD DEL BORDO: NO SE LE ASIGNA PUNTUACION, PORQUE LO QUE SEDEBE ANEXAR ES LA CERTIFICACION LABORAL EXPEDIDA POR LA INSTSTITUCION Y FIRMADA </t>
  </si>
  <si>
    <t>REVISTAS:
JOURNAL OF NON CRYSTALLINE SOLIDS/ ISSN 0022-3093/HOMOLOGADA/CATEGORIA A1/ 2 AUTORES= 4 PUNTOS
MATERIALS RESEARCH/ ISSN 1516-1439/HOMOLOGADA/CATEGORIA A1/ 6 AUTORES/ 0,75 PUNTOS
CERAMICS INTERNACIONAL/ISSN 0272-8842/HOMOLOGADA/CATEGORIA A1/ 4 AUTORES/ 2 PUNTOS
ACS APPLIED MATERIALS AND INTERFACES/ HOMOLOGADA/ CATEGORIA A1/ 5 AUTORES= 2 PUNTOS
MATERIALS RESEARCH/ ISSN 1516-1439/ HOMOLOGADA/ CATEGORIA A1/ 3 AUTORES = 4 PUNTOS
EXCEDE EL TOPE MAXIMO ESTABLECIDO</t>
  </si>
  <si>
    <t>UNIVERSIDAD DEL CAUCA
CATEDRATICO: 09/04/2013 AL 17/02/2014 = 1,40 PUNTOS 
CORPORACION UNIVERSITARIA AUTONOMA DEL CAUCA
DOCENTE DE MEDIO TIEMPO : 30/01/2014 AL 2/03/2014 = 31 DIAS =0,08</t>
  </si>
  <si>
    <t xml:space="preserve">UNIVERSIDAD DEL CAUCA
OPERARIO DE LABORATORIO: 19/11/2009 al 05/05/2010= 174 DIAS =0,48
MONITORIA: 01/11/2011 AL 20/03/2013=809 DIAS =2,24 PUNTOS  </t>
  </si>
  <si>
    <t>REVISTAS
REVISTA DE INVESTIGACIONES UNIVERSIDAD DEL QUINDIO / OBTENCION DE CATALALIZADORES TIPO EGG-SHELL: COBALTO SOPORTADO EN DOS MATERIALES COMPOSITES / ISSN 1794-631X/7 AUTORES NO INDEXADA = 0,11
CIENCIA EN DESARROLLO/ GESTION INTEGRAL DE RESIDUOS QUIMICOS GENERADOS EN LOS LABORATORIOS DE DOCENCIA EN QUIMICA DE LA UNIVERSIDAD DEL CAUCA = NO INDEXADA =0,05</t>
  </si>
  <si>
    <t>EL PERFIL NO CUMPLE  CON LOS PARAMETROS ESTABLECIDOS POR LA UNIVERSIDAD</t>
  </si>
  <si>
    <t xml:space="preserve">UNIVERSIDAD NAPOLI FEDERICO II: 81 DIAS = 0,22 AÑOS = 0,22 PUNTOS
INSTITUTO DI RICERCHE SULLA COMMBUSTIONIONE:15/01/2011-15/07/2011= 181 DIAS = 0,49 AÑOS = 0,49 PUNTOS
SIU UNIVERSIDAD DE ANTIOQUIA: ACTIVIDADES DE INVESTIGACION/26/12/2007-20/06/2010 = 907 DIAS = 2,48 AÑOS = 2,48 PUNTOS </t>
  </si>
  <si>
    <t xml:space="preserve">UNIVERSIDAD DE LA AMAZONIA: 14/02/2013-25/03/2014= 340 DIAS = 0,93 AÑOS = 0,93 PUNTOS
</t>
  </si>
  <si>
    <t xml:space="preserve">REVISTAS
REVISTA FUEL:  ISSN 0016-2361/ THE ROLE OF DIMETHYL ETHER AS SUBSTITUENT TO ETHYLENE ON PARTICULATE FORMATION IN PREMIXED AND CONTER -FLOW DIFFUSION FLAMES/ 3 AUTORES / HOMOLOGADA CLASIFICACION A1= 4 PUNTOS 
ATMOSPHERIC ENVIRONMENT/ ISSN 1352-2310/ INFLUENCE OF PALM OIL BIODESEL ON THE CHEMICAL AND MORPHOLOGICAL/ HOMOLOGADA CATEGORIA 41/ 4 AUTORES  =2 PUNTOS  
EXPERIMENTAL THERMAL AND FLUID SCIENCE/ ISSN 0894-1777 / THE EFFECT OF ETHANOL ON THE PARTICLE SIZE DISTRIBUTIONS IN ETHYLENE PREMIXED FLAMES/ HOMOLOGADA 41/ 5 AUTORES =2 PUNTOS 
ENERGY &amp; FUELS/ ISSN 0887-0624/ PARTICULATE OF THE SOOT PRECURSORS CHEMICAL COMPOSITION INDUCED BY ETHANOL ADDITION TO FUEL/ HOMOLOGADA CATEGORIA A1/ 4 AUTORES =2 PUNTOS  </t>
  </si>
  <si>
    <t xml:space="preserve">INSTITUTO DE INVESTIGACIONES EN MATERIALES ( MEXICO): 13/08/2007 - 04/02/2012 = 1,97 AÑOS = 1,97 PUNTOS 
UNIVERSIDAD NACIONAL AUTONOMA DE MEXICO : 07/01/2006 - 30/07/2006 = 204 DIAS  = 0,55 AÑOS  = 0,55 PUNTOS 
CNRS ( FRANCIA) : 01/03/2012 - 31/05/2012= 91 DIAS = 0,79 AÑOS = 0,79 PUNTOS 
UNIVERSIDAD DE BARCELONA : 10/05/2008 - 10/08/2008 =92 DIAS = 0,25 AÑOS = 0,25 PUNTOS </t>
  </si>
  <si>
    <t>UNIVERSIDAD TECNOLOGICA DE PEREIRA: CATEDRA : 980 HORAS = 2,04 AÑOS = 2,04 PUNTOS</t>
  </si>
  <si>
    <t xml:space="preserve">REVISTAS
POLYHEDRON/ HOMOLOGADA / CAREGORIA  A1 / ISSN 0277-5387/ 10 AUTORES / 0,8 PUNTOS
JOURNAL OF CHEMISTRY  " XPS- CHARACTERIZATION  OF HETEROMETALLIC COORDINATION COMPOUNDS WITH OPTICALLY ACTIVE LIGANDS" ISSN 2090-9063/ HOMOLOGADA / CATEGORIA 42 =4 PUNTOS 
MATERIAL DIVULGATIVO
ACTUALIDADES BIOLOGICAS ESTANDARIZACION DE TECNICAS ESPECTROFOMETRICAS PARA LA CUANTIFICACION DE FENOLES TOTALES Y TAMINOS HIDROLIZABLES EN PLANTAS DE LA FAMILIA MELASTOMATACEAE/ NO INDEXADA/ 4 AUTORES =0,06
PONENCIAS 
NO ES SUCEPTIBLE DE PUNTUACION YA QUE NO ANEXA LAS DEBIDAS MEMORIAS Y SUS CORRESPONDIENTES CERTIFICACIONES 
</t>
  </si>
  <si>
    <t xml:space="preserve">ASERORIAS INTEGRALES
CURSOS DE PREPARACION DE EXAMENES DE ESTADO: 01/02/20007 AL 20/03/2014= 5,00 PUNTOS 
EXCEDE EL TOTAL DE PUNTOS EN EXPERIENCIA PROFESIONAL </t>
  </si>
  <si>
    <t xml:space="preserve">UNIVERSIDAD NACIONAL 
CATEDRATICA: 2009 AL 2012 = 510 DIAS = 1,06 PUNTOS 
UNIVERSIDAD AUTONOMA DE COLOMBIA 
CATEDRATICA: SEMESTRE A Y B DEL 2013 =765 HORAS =1,59 PUNTOS
</t>
  </si>
  <si>
    <t xml:space="preserve">MATERIAL DIVULGATIVO 
REVISTA 
JOURNAL TERMAN ANALITICA: 0,5 PUNTO 
JOURNAL TERMAN ANALITICA: 0,25 PUNTOS 
PUBLICACIONES EN REVITAS HOMOLOGADAS
E-JOURNAL OF CHEMISTRY /ISSN 0973-4945/ HOMOLOGADA/3 AUTORES/4 PUNTOS 
ABSORPTION/ ISSN1572-8757 /HOMOLOGADA /3 AUTORES/ 4 PUNTOS
ABSORPTION/ ISSN1572-8757 /HOMOLOGADA /3 AUTORES/ 4 PUNTOS
EXCEDE EL PUNTAJE EN PRODUCCIÓN </t>
  </si>
  <si>
    <t xml:space="preserve">LABORATORIO DE CRAMATOGRAFIA UNIVERSIDA INDUSTRIAL DE SANTANDER
11/06/2007 AL 15/06/2007 Y 03/12/2012 Y 21/04/2008 =40 HORAS =0,16 PUNTOS
INDCO LTDA. 
ASESOR QUIMICO: 31/10/2010 -27/04/2011= 178 DIAS =0,49 PUNTOS
MULTINSA 1A
CORDINADOR DE INVESTIGACION :02/03/2012-27/09/2012= 209 DIAS =0,58 PUNTOS </t>
  </si>
  <si>
    <t xml:space="preserve">UNIVERSIDA FRANCISCO DE PAULA SANTANDER 
CATEDRATICO: 01/04/2013-11/032014=330 DIAS =0,19 PUNTOS 
CORPORACION UNIVERSITARIA CORHUILA
DOCENTE TIEMPO COMPLETO: 11/02/2013-31/03/2013=48 DIAS =0,13 PUNTOS 
UNIVERSIDAD SANTO TOMAS
DOCENTE PLANTA : 06/07/2009-12/08/2009=37 DIAS 0,10 PUNTOS 
CATEDRA: 1/02/2010-3012/2010=332=0,92
13/08/2009-3012/12/2009=139 DIAS =0,19
UNIVERSIDAD DE SANTANDER 
CATEDRATICO 20/01/2009-27/05/2009=300 DIAS =0,62 PUNTOS 
UNIVERSIDAD INDUSTRIAL DE SANTANDER 
CATEDRATICO 
2003 AL 2012 = 2386 DIAS =4,97
EXCEDE EL PUNTAJE POR EXPERIENCIA COMO DOCENTE </t>
  </si>
  <si>
    <t>REVISTA 
BOLETÍN LATINOAMERICANO Y DEL CARIBE DE PLANTAS MEDICINALES Y AROMÁTICAS/ ISSN 0717-7917/HOMOLOGADA CALSIFICACION A2 / AUTORES 6 =2 PUNTOS 
MOLECULES ISSN1420-3049/ HOMOLOGADA/CATEGORIA 41/ 3 UTORES=4 PUNTOS 
MATERIAL DIVULGATIVO 
LIBRO REACCIONES INDESEABLES EN LA INDUTRIA DE LOS ALIMENTO Y LICORES ISSBN 978-3-659-03671-2/ EDITORIAL  NO RECONOCIDA = 0,5
NO SE LE ASIGNAN PUNTOS POR PONENCIAS POR FALTA DE ANEXO DE MEMORIAS Y/O CERTIFICACIONES CORRESPONDIENTES A LOS DIFERENTES EVENTOS.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</si>
  <si>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</si>
  <si>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</si>
  <si>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</si>
  <si>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</si>
  <si>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</si>
  <si>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</si>
  <si>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</si>
  <si>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</si>
  <si>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</si>
  <si>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</si>
  <si>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 xml:space="preserve">CIENCIAS </t>
  </si>
  <si>
    <t>X</t>
  </si>
  <si>
    <t>PRESELECCIONADO</t>
  </si>
  <si>
    <t>VAC/BENÍTEZ/YOLANDA O.</t>
  </si>
  <si>
    <t xml:space="preserve">                                                           EVALUACIÓN DE LAS HOJAS DE VIDA PARA EL CUMPLIMIENTO DEL PERFIL DE LOS ASPIRANTES AL CÓDIGO DE CONCURSO C-P-07-4</t>
  </si>
  <si>
    <t>VARGAS DELGADILLO DIANA PAOLA</t>
  </si>
  <si>
    <t>MAGISTER EN CIENCIAS QUIMICA/UNIVERSIDAD NACIONAL DE COLOMBIA/2009
DOCTORA EN CIENCIAS QUIMICAS/UNIVERSIDAD NACIONAL/ PENDIENTE CEREMONIA DE GRADUACION</t>
  </si>
  <si>
    <t>MACIAS LOPEZ MARIO ALBERTO</t>
  </si>
  <si>
    <t>MAGISTER EN QUIMICA /UNIVERSIDAD INDUSTRIAL DE SANTANDER /2009
DOCTOR EN QUÍMICA/UNIVERSIDAD INDUSTRIAL DE SANTANDER (PENDIENTE DE CEREMONIA DE GRADO)</t>
  </si>
  <si>
    <t>CASTRO SALAZAR HANS THIELIN</t>
  </si>
  <si>
    <t>SALAMANCA GUZMAN MAURIN</t>
  </si>
  <si>
    <t>AVILA TORRES YENNY PATRICIA</t>
  </si>
  <si>
    <t>MAESTRIA EN CIENCIA E INGENIERIA DE MATERIALES/UNIVERSIDAD NACIONAL AUTONOMA DE MEXICO/2008
DOCTORADO EN CIENCIA E INGENIERIA DE MATERIALES/ UNIVERSIDAD NACIONAL AUTONOMA DE MEXICO/2013</t>
  </si>
  <si>
    <t>CALDERON GOMEZ JUAN CARLOS</t>
  </si>
  <si>
    <t>AVILA VANEGAS HUMAR ALBERTO</t>
  </si>
  <si>
    <t xml:space="preserve">RODRIGUEZ PAEZ LILIANA </t>
  </si>
  <si>
    <t>MIRANDA MUÑOZ CRISTIAN DAVID</t>
  </si>
  <si>
    <t>CARDENAS OCAMPO DORA VIVIANA</t>
  </si>
  <si>
    <t>CUARTAS DOMINGUEZ CRISTINA ALEXANDRA</t>
  </si>
  <si>
    <t>ESPECIALISTA EN QUIMICA / UNIVERSIDAD DE CALDAS/ 2009
MAGISTER EN QUIMICA / UNIVERSIDAD DE CALDAS/ 2013</t>
  </si>
  <si>
    <r>
      <t xml:space="preserve">NO PRESELECCIONADO
</t>
    </r>
    <r>
      <rPr>
        <sz val="9"/>
        <rFont val="Arial"/>
        <family val="2"/>
      </rPr>
      <t>LA EXPERIENCIA QUE CERTIFICA NO CORRESPONDE A LA MÍNIMA REQUERIDA EN EL ÁREA DEL CONCURSO.</t>
    </r>
  </si>
  <si>
    <t xml:space="preserve">QUÍMICO O QUÍMICO FARMACÉUTICO O LICENCIADO EN 
BIOLOGÍA Y QUÍMICA O LICENCIADO EN QUÍMICA, CON 
MAESTRÍA O DOCTORADO EN EL ÁREA DE LAS CIENCIAS 
QUÍMICAS, CON EXPERIENCIA MÍNIMA DE UN AÑO EN 
DOCENCIA UNIVERSITARIA O INVESTIGATIVA EN EL ÁREA DE LA 
QUÍMICA INORGÁNICA.  
</t>
  </si>
  <si>
    <r>
      <t xml:space="preserve">NO PRESELECCIONADO
</t>
    </r>
    <r>
      <rPr>
        <sz val="9"/>
        <rFont val="Arial"/>
        <family val="2"/>
      </rPr>
      <t>LA EXPERIENCIA QUE CERTIFICA NO CORRESPONDE A LA REQUERIDA EN EL ÁREA DEL CONCURSO.</t>
    </r>
  </si>
  <si>
    <t>8</t>
  </si>
  <si>
    <t>2</t>
  </si>
  <si>
    <t>7</t>
  </si>
  <si>
    <t>10</t>
  </si>
  <si>
    <t>11</t>
  </si>
  <si>
    <t>9</t>
  </si>
  <si>
    <t>1</t>
  </si>
  <si>
    <t>6</t>
  </si>
  <si>
    <t>3</t>
  </si>
  <si>
    <t>5</t>
  </si>
  <si>
    <t>4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</si>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</sst>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9" fillId="6" borderId="1" xfId="4" applyFont="1" applyFill="1" applyBorder="1" applyAlignment="1">
      <alignment horizontal="center" vertical="center" wrapText="1"/>
    </xf>
    <xf numFmtId="0" fontId="17" fillId="6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49" fontId="7" fillId="0" borderId="46" xfId="4" applyNumberFormat="1" applyFont="1" applyFill="1" applyBorder="1" applyAlignment="1">
      <alignment horizontal="justify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49" fontId="7" fillId="0" borderId="7" xfId="4" applyNumberFormat="1" applyFont="1" applyFill="1" applyBorder="1" applyAlignment="1">
      <alignment horizontal="justify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49" fontId="7" fillId="0" borderId="52" xfId="4" applyNumberFormat="1" applyFont="1" applyFill="1" applyBorder="1" applyAlignment="1">
      <alignment horizontal="justify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0" fontId="7" fillId="0" borderId="4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2" fontId="29" fillId="0" borderId="46" xfId="4" applyNumberFormat="1" applyFont="1" applyBorder="1" applyAlignment="1">
      <alignment horizontal="center" vertical="center" wrapText="1"/>
    </xf>
    <xf numFmtId="2" fontId="29" fillId="0" borderId="7" xfId="4" applyNumberFormat="1" applyFont="1" applyBorder="1" applyAlignment="1">
      <alignment horizontal="center" vertical="center" wrapText="1"/>
    </xf>
    <xf numFmtId="2" fontId="29" fillId="0" borderId="52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6" borderId="61" xfId="4" applyFont="1" applyFill="1" applyBorder="1" applyAlignment="1">
      <alignment horizontal="center" vertical="center" wrapText="1"/>
    </xf>
    <xf numFmtId="0" fontId="9" fillId="6" borderId="64" xfId="4" applyFont="1" applyFill="1" applyBorder="1" applyAlignment="1">
      <alignment horizontal="center" vertical="center" wrapText="1"/>
    </xf>
    <xf numFmtId="0" fontId="9" fillId="6" borderId="13" xfId="4" applyFont="1" applyFill="1" applyBorder="1" applyAlignment="1">
      <alignment horizontal="center" vertical="center" wrapText="1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2" fontId="8" fillId="6" borderId="2" xfId="4" applyNumberFormat="1" applyFont="1" applyFill="1" applyBorder="1" applyAlignment="1">
      <alignment horizontal="center" vertical="center" wrapText="1"/>
    </xf>
    <xf numFmtId="2" fontId="8" fillId="6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114301</xdr:rowOff>
    </xdr:from>
    <xdr:to>
      <xdr:col>2</xdr:col>
      <xdr:colOff>666750</xdr:colOff>
      <xdr:row>2</xdr:row>
      <xdr:rowOff>171451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1"/>
          <a:ext cx="216217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68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31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sinsile@gmail.com" TargetMode="External"/><Relationship Id="rId3" Type="http://schemas.openxmlformats.org/officeDocument/2006/relationships/hyperlink" Target="mailto:humarmeister@gmail.com" TargetMode="External"/><Relationship Id="rId7" Type="http://schemas.openxmlformats.org/officeDocument/2006/relationships/hyperlink" Target="mailto:jccalderong@yahoo.es" TargetMode="External"/><Relationship Id="rId2" Type="http://schemas.openxmlformats.org/officeDocument/2006/relationships/hyperlink" Target="mailto:mariomacias@ciencias.uis.edu.co" TargetMode="External"/><Relationship Id="rId1" Type="http://schemas.openxmlformats.org/officeDocument/2006/relationships/hyperlink" Target="mailto:liliana_rod@hotmail.com" TargetMode="External"/><Relationship Id="rId6" Type="http://schemas.openxmlformats.org/officeDocument/2006/relationships/hyperlink" Target="mailto:dian863@yahoo.e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cdmiranda@unicauca.edu.co" TargetMode="External"/><Relationship Id="rId10" Type="http://schemas.openxmlformats.org/officeDocument/2006/relationships/hyperlink" Target="mailto:maurin.sg@gmail.com" TargetMode="External"/><Relationship Id="rId4" Type="http://schemas.openxmlformats.org/officeDocument/2006/relationships/hyperlink" Target="mailto:criscuardo@gmail.com" TargetMode="External"/><Relationship Id="rId9" Type="http://schemas.openxmlformats.org/officeDocument/2006/relationships/hyperlink" Target="mailto:yennypatricia.avila@utp.edu.co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A6" sqref="A6:A55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216" t="s">
        <v>98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Z1" s="121">
        <f>COUNTA(C:C)-1</f>
        <v>11</v>
      </c>
    </row>
    <row r="2" spans="1:26" ht="17.25" thickBot="1" x14ac:dyDescent="0.35">
      <c r="A2" s="216" t="s">
        <v>99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223" t="s">
        <v>93</v>
      </c>
      <c r="B3" s="220" t="s">
        <v>91</v>
      </c>
      <c r="C3" s="220" t="s">
        <v>92</v>
      </c>
      <c r="D3" s="220" t="s">
        <v>89</v>
      </c>
      <c r="E3" s="220" t="s">
        <v>90</v>
      </c>
      <c r="F3" s="220" t="s">
        <v>0</v>
      </c>
      <c r="G3" s="220" t="s">
        <v>1</v>
      </c>
      <c r="H3" s="220" t="s">
        <v>2</v>
      </c>
      <c r="I3" s="213" t="s">
        <v>3</v>
      </c>
      <c r="J3" s="226" t="s">
        <v>4</v>
      </c>
      <c r="K3" s="227"/>
      <c r="L3" s="227"/>
      <c r="M3" s="228"/>
      <c r="N3" s="220" t="s">
        <v>5</v>
      </c>
      <c r="O3" s="220" t="s">
        <v>88</v>
      </c>
      <c r="P3" s="220" t="s">
        <v>6</v>
      </c>
      <c r="Q3" s="218" t="s">
        <v>16</v>
      </c>
      <c r="R3" s="218" t="s">
        <v>17</v>
      </c>
      <c r="S3" s="218" t="s">
        <v>18</v>
      </c>
      <c r="T3" s="218" t="s">
        <v>19</v>
      </c>
      <c r="U3" s="218" t="s">
        <v>20</v>
      </c>
      <c r="V3" s="218" t="s">
        <v>21</v>
      </c>
      <c r="W3" s="218" t="s">
        <v>22</v>
      </c>
      <c r="X3" s="213" t="s">
        <v>96</v>
      </c>
    </row>
    <row r="4" spans="1:26" s="1" customFormat="1" ht="15.75" customHeight="1" thickBot="1" x14ac:dyDescent="0.25">
      <c r="A4" s="224"/>
      <c r="B4" s="221"/>
      <c r="C4" s="221"/>
      <c r="D4" s="221"/>
      <c r="E4" s="221"/>
      <c r="F4" s="221"/>
      <c r="G4" s="221"/>
      <c r="H4" s="221"/>
      <c r="I4" s="214"/>
      <c r="J4" s="213" t="s">
        <v>7</v>
      </c>
      <c r="K4" s="123"/>
      <c r="L4" s="123" t="s">
        <v>8</v>
      </c>
      <c r="M4" s="124"/>
      <c r="N4" s="221"/>
      <c r="O4" s="221"/>
      <c r="P4" s="221"/>
      <c r="Q4" s="219"/>
      <c r="R4" s="219"/>
      <c r="S4" s="219"/>
      <c r="T4" s="219"/>
      <c r="U4" s="219"/>
      <c r="V4" s="219"/>
      <c r="W4" s="219"/>
      <c r="X4" s="214"/>
    </row>
    <row r="5" spans="1:26" s="1" customFormat="1" ht="13.5" customHeight="1" thickBot="1" x14ac:dyDescent="0.25">
      <c r="A5" s="225"/>
      <c r="B5" s="222"/>
      <c r="C5" s="222"/>
      <c r="D5" s="222"/>
      <c r="E5" s="222"/>
      <c r="F5" s="222"/>
      <c r="G5" s="222"/>
      <c r="H5" s="222"/>
      <c r="I5" s="215"/>
      <c r="J5" s="215"/>
      <c r="K5" s="124" t="s">
        <v>85</v>
      </c>
      <c r="L5" s="126" t="s">
        <v>86</v>
      </c>
      <c r="M5" s="126" t="s">
        <v>87</v>
      </c>
      <c r="N5" s="222"/>
      <c r="O5" s="222"/>
      <c r="P5" s="222"/>
      <c r="Q5" s="219"/>
      <c r="R5" s="219"/>
      <c r="S5" s="219"/>
      <c r="T5" s="219"/>
      <c r="U5" s="219"/>
      <c r="V5" s="219"/>
      <c r="W5" s="219"/>
      <c r="X5" s="215"/>
    </row>
    <row r="6" spans="1:26" s="1" customFormat="1" ht="25.5" x14ac:dyDescent="0.2">
      <c r="A6" s="210" t="s">
        <v>243</v>
      </c>
      <c r="B6" s="130" t="s">
        <v>94</v>
      </c>
      <c r="C6" s="125">
        <v>39818433</v>
      </c>
      <c r="D6" s="125" t="s">
        <v>100</v>
      </c>
      <c r="E6" s="181" t="s">
        <v>101</v>
      </c>
      <c r="F6" s="125" t="s">
        <v>102</v>
      </c>
      <c r="G6" s="127" t="s">
        <v>103</v>
      </c>
      <c r="H6" s="125" t="s">
        <v>104</v>
      </c>
      <c r="I6" s="125" t="s">
        <v>105</v>
      </c>
      <c r="J6" s="125" t="s">
        <v>106</v>
      </c>
      <c r="K6" s="125" t="s">
        <v>97</v>
      </c>
      <c r="L6" s="125" t="s">
        <v>97</v>
      </c>
      <c r="M6" s="125" t="s">
        <v>107</v>
      </c>
      <c r="N6" s="125">
        <v>30</v>
      </c>
      <c r="O6" s="125" t="s">
        <v>95</v>
      </c>
      <c r="P6" s="128"/>
      <c r="Q6" s="131">
        <v>0</v>
      </c>
      <c r="R6" s="151">
        <f>'8'!E10</f>
        <v>0</v>
      </c>
      <c r="S6" s="151">
        <v>0</v>
      </c>
      <c r="T6" s="151">
        <v>0</v>
      </c>
      <c r="U6" s="151">
        <v>0</v>
      </c>
      <c r="V6" s="151">
        <v>0</v>
      </c>
      <c r="W6" s="151">
        <v>0</v>
      </c>
      <c r="X6" s="152">
        <v>0</v>
      </c>
    </row>
    <row r="7" spans="1:26" s="2" customFormat="1" ht="51" x14ac:dyDescent="0.2">
      <c r="A7" s="211" t="s">
        <v>244</v>
      </c>
      <c r="B7" s="133" t="s">
        <v>94</v>
      </c>
      <c r="C7" s="122">
        <v>91352729</v>
      </c>
      <c r="D7" s="122" t="s">
        <v>108</v>
      </c>
      <c r="E7" s="180" t="s">
        <v>109</v>
      </c>
      <c r="F7" s="122" t="s">
        <v>110</v>
      </c>
      <c r="G7" s="153" t="s">
        <v>111</v>
      </c>
      <c r="H7" s="122" t="s">
        <v>112</v>
      </c>
      <c r="I7" s="122" t="s">
        <v>113</v>
      </c>
      <c r="J7" s="122" t="s">
        <v>114</v>
      </c>
      <c r="K7" s="122" t="s">
        <v>97</v>
      </c>
      <c r="L7" s="122" t="s">
        <v>115</v>
      </c>
      <c r="M7" s="122" t="s">
        <v>116</v>
      </c>
      <c r="N7" s="122">
        <v>199</v>
      </c>
      <c r="O7" s="122" t="s">
        <v>95</v>
      </c>
      <c r="P7" s="129"/>
      <c r="Q7" s="132"/>
      <c r="R7" s="133"/>
      <c r="S7" s="133"/>
      <c r="T7" s="133"/>
      <c r="U7" s="133"/>
      <c r="V7" s="133"/>
      <c r="W7" s="133"/>
      <c r="X7" s="134"/>
    </row>
    <row r="8" spans="1:26" s="2" customFormat="1" ht="38.25" x14ac:dyDescent="0.2">
      <c r="A8" s="211" t="s">
        <v>245</v>
      </c>
      <c r="B8" s="133" t="s">
        <v>94</v>
      </c>
      <c r="C8" s="122">
        <v>76326378</v>
      </c>
      <c r="D8" s="122" t="s">
        <v>117</v>
      </c>
      <c r="E8" s="180" t="s">
        <v>118</v>
      </c>
      <c r="F8" s="122">
        <v>3136862263</v>
      </c>
      <c r="G8" s="153" t="s">
        <v>119</v>
      </c>
      <c r="H8" s="122" t="s">
        <v>120</v>
      </c>
      <c r="I8" s="122" t="s">
        <v>121</v>
      </c>
      <c r="J8" s="122" t="s">
        <v>122</v>
      </c>
      <c r="K8" s="122" t="s">
        <v>97</v>
      </c>
      <c r="L8" s="122" t="s">
        <v>97</v>
      </c>
      <c r="M8" s="122" t="s">
        <v>123</v>
      </c>
      <c r="N8" s="122">
        <v>21</v>
      </c>
      <c r="O8" s="122" t="s">
        <v>95</v>
      </c>
      <c r="P8" s="129"/>
      <c r="Q8" s="132"/>
      <c r="R8" s="133"/>
      <c r="S8" s="133"/>
      <c r="T8" s="133"/>
      <c r="U8" s="133"/>
      <c r="V8" s="133"/>
      <c r="W8" s="133"/>
      <c r="X8" s="134"/>
    </row>
    <row r="9" spans="1:26" s="2" customFormat="1" ht="49.5" customHeight="1" x14ac:dyDescent="0.2">
      <c r="A9" s="211" t="s">
        <v>246</v>
      </c>
      <c r="B9" s="133" t="s">
        <v>94</v>
      </c>
      <c r="C9" s="122">
        <v>24341275</v>
      </c>
      <c r="D9" s="122" t="s">
        <v>124</v>
      </c>
      <c r="E9" s="122" t="s">
        <v>125</v>
      </c>
      <c r="F9" s="122">
        <v>3206330499</v>
      </c>
      <c r="G9" s="153" t="s">
        <v>97</v>
      </c>
      <c r="H9" s="122" t="s">
        <v>126</v>
      </c>
      <c r="I9" s="122" t="s">
        <v>127</v>
      </c>
      <c r="J9" s="122" t="s">
        <v>128</v>
      </c>
      <c r="K9" s="122" t="s">
        <v>129</v>
      </c>
      <c r="L9" s="122" t="s">
        <v>130</v>
      </c>
      <c r="M9" s="122" t="s">
        <v>97</v>
      </c>
      <c r="N9" s="122">
        <v>19</v>
      </c>
      <c r="O9" s="122" t="s">
        <v>95</v>
      </c>
      <c r="P9" s="129" t="s">
        <v>197</v>
      </c>
      <c r="Q9" s="132"/>
      <c r="R9" s="133"/>
      <c r="S9" s="133"/>
      <c r="T9" s="133"/>
      <c r="U9" s="133"/>
      <c r="V9" s="133"/>
      <c r="W9" s="133"/>
      <c r="X9" s="134"/>
    </row>
    <row r="10" spans="1:26" s="2" customFormat="1" ht="63.75" x14ac:dyDescent="0.2">
      <c r="A10" s="211" t="s">
        <v>247</v>
      </c>
      <c r="B10" s="133" t="s">
        <v>94</v>
      </c>
      <c r="C10" s="122">
        <v>66963691</v>
      </c>
      <c r="D10" s="122" t="s">
        <v>131</v>
      </c>
      <c r="E10" s="122" t="s">
        <v>132</v>
      </c>
      <c r="F10" s="122">
        <v>3016568854</v>
      </c>
      <c r="G10" s="153" t="s">
        <v>133</v>
      </c>
      <c r="H10" s="122" t="s">
        <v>134</v>
      </c>
      <c r="I10" s="122" t="s">
        <v>135</v>
      </c>
      <c r="J10" s="122" t="s">
        <v>136</v>
      </c>
      <c r="K10" s="122" t="s">
        <v>97</v>
      </c>
      <c r="L10" s="122" t="s">
        <v>97</v>
      </c>
      <c r="M10" s="122" t="s">
        <v>137</v>
      </c>
      <c r="N10" s="122">
        <v>49</v>
      </c>
      <c r="O10" s="122" t="s">
        <v>95</v>
      </c>
      <c r="P10" s="129" t="s">
        <v>197</v>
      </c>
      <c r="Q10" s="132"/>
      <c r="R10" s="133"/>
      <c r="S10" s="133"/>
      <c r="T10" s="133"/>
      <c r="U10" s="133"/>
      <c r="V10" s="133"/>
      <c r="W10" s="133"/>
      <c r="X10" s="134"/>
    </row>
    <row r="11" spans="1:26" s="1" customFormat="1" ht="21" customHeight="1" x14ac:dyDescent="0.2">
      <c r="A11" s="211" t="s">
        <v>248</v>
      </c>
      <c r="B11" s="133" t="s">
        <v>94</v>
      </c>
      <c r="C11" s="122">
        <v>10308209</v>
      </c>
      <c r="D11" s="122" t="s">
        <v>138</v>
      </c>
      <c r="E11" s="180" t="s">
        <v>139</v>
      </c>
      <c r="F11" s="122">
        <v>3113827742</v>
      </c>
      <c r="G11" s="153" t="s">
        <v>140</v>
      </c>
      <c r="H11" s="122" t="s">
        <v>141</v>
      </c>
      <c r="I11" s="122" t="s">
        <v>121</v>
      </c>
      <c r="J11" s="122" t="s">
        <v>142</v>
      </c>
      <c r="K11" s="122" t="s">
        <v>97</v>
      </c>
      <c r="L11" s="122" t="s">
        <v>143</v>
      </c>
      <c r="M11" s="122" t="s">
        <v>97</v>
      </c>
      <c r="N11" s="122">
        <v>34</v>
      </c>
      <c r="O11" s="122" t="s">
        <v>95</v>
      </c>
      <c r="P11" s="129"/>
      <c r="Q11" s="135"/>
      <c r="R11" s="136"/>
      <c r="S11" s="136"/>
      <c r="T11" s="136"/>
      <c r="U11" s="136"/>
      <c r="V11" s="136"/>
      <c r="W11" s="136"/>
      <c r="X11" s="137"/>
    </row>
    <row r="12" spans="1:26" s="2" customFormat="1" ht="38.25" x14ac:dyDescent="0.2">
      <c r="A12" s="211" t="s">
        <v>249</v>
      </c>
      <c r="B12" s="133" t="s">
        <v>94</v>
      </c>
      <c r="C12" s="122">
        <v>1013576665</v>
      </c>
      <c r="D12" s="122" t="s">
        <v>144</v>
      </c>
      <c r="E12" s="180" t="s">
        <v>145</v>
      </c>
      <c r="F12" s="122">
        <v>3115044774</v>
      </c>
      <c r="G12" s="153" t="s">
        <v>146</v>
      </c>
      <c r="H12" s="122" t="s">
        <v>147</v>
      </c>
      <c r="I12" s="122" t="s">
        <v>148</v>
      </c>
      <c r="J12" s="122" t="s">
        <v>149</v>
      </c>
      <c r="K12" s="122" t="s">
        <v>97</v>
      </c>
      <c r="L12" s="122" t="s">
        <v>150</v>
      </c>
      <c r="M12" s="122" t="s">
        <v>151</v>
      </c>
      <c r="N12" s="122">
        <v>172</v>
      </c>
      <c r="O12" s="122" t="s">
        <v>95</v>
      </c>
      <c r="P12" s="129"/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51" x14ac:dyDescent="0.2">
      <c r="A13" s="211" t="s">
        <v>250</v>
      </c>
      <c r="B13" s="133" t="s">
        <v>94</v>
      </c>
      <c r="C13" s="122">
        <v>79971355</v>
      </c>
      <c r="D13" s="122" t="s">
        <v>152</v>
      </c>
      <c r="E13" s="180" t="s">
        <v>153</v>
      </c>
      <c r="F13" s="122" t="s">
        <v>154</v>
      </c>
      <c r="G13" s="153" t="s">
        <v>155</v>
      </c>
      <c r="H13" s="122" t="s">
        <v>156</v>
      </c>
      <c r="I13" s="122" t="s">
        <v>157</v>
      </c>
      <c r="J13" s="122" t="s">
        <v>158</v>
      </c>
      <c r="K13" s="122" t="s">
        <v>97</v>
      </c>
      <c r="L13" s="122" t="s">
        <v>97</v>
      </c>
      <c r="M13" s="122" t="s">
        <v>159</v>
      </c>
      <c r="N13" s="122">
        <v>120</v>
      </c>
      <c r="O13" s="122" t="s">
        <v>95</v>
      </c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38.25" x14ac:dyDescent="0.2">
      <c r="A14" s="211" t="s">
        <v>251</v>
      </c>
      <c r="B14" s="133" t="s">
        <v>94</v>
      </c>
      <c r="C14" s="122">
        <v>13721021</v>
      </c>
      <c r="D14" s="122" t="s">
        <v>160</v>
      </c>
      <c r="E14" s="180" t="s">
        <v>161</v>
      </c>
      <c r="F14" s="122">
        <v>3005582887</v>
      </c>
      <c r="G14" s="153" t="s">
        <v>162</v>
      </c>
      <c r="H14" s="122" t="s">
        <v>163</v>
      </c>
      <c r="I14" s="122" t="s">
        <v>164</v>
      </c>
      <c r="J14" s="122" t="s">
        <v>165</v>
      </c>
      <c r="K14" s="122" t="s">
        <v>97</v>
      </c>
      <c r="L14" s="122" t="s">
        <v>97</v>
      </c>
      <c r="M14" s="122" t="s">
        <v>166</v>
      </c>
      <c r="N14" s="122">
        <v>48</v>
      </c>
      <c r="O14" s="122" t="s">
        <v>95</v>
      </c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2" customFormat="1" ht="51" x14ac:dyDescent="0.2">
      <c r="A15" s="211" t="s">
        <v>252</v>
      </c>
      <c r="B15" s="133" t="s">
        <v>94</v>
      </c>
      <c r="C15" s="122">
        <v>42152169</v>
      </c>
      <c r="D15" s="122" t="s">
        <v>167</v>
      </c>
      <c r="E15" s="180" t="s">
        <v>168</v>
      </c>
      <c r="F15" s="122">
        <v>3122213532</v>
      </c>
      <c r="G15" s="153" t="s">
        <v>169</v>
      </c>
      <c r="H15" s="122" t="s">
        <v>170</v>
      </c>
      <c r="I15" s="122" t="s">
        <v>171</v>
      </c>
      <c r="J15" s="122" t="s">
        <v>172</v>
      </c>
      <c r="K15" s="122" t="s">
        <v>97</v>
      </c>
      <c r="L15" s="122" t="s">
        <v>173</v>
      </c>
      <c r="M15" s="122" t="s">
        <v>174</v>
      </c>
      <c r="N15" s="122">
        <v>60</v>
      </c>
      <c r="O15" s="122" t="s">
        <v>95</v>
      </c>
      <c r="P15" s="129" t="s">
        <v>175</v>
      </c>
      <c r="Q15" s="132"/>
      <c r="R15" s="133"/>
      <c r="S15" s="133"/>
      <c r="T15" s="133"/>
      <c r="U15" s="133"/>
      <c r="V15" s="133"/>
      <c r="W15" s="133"/>
      <c r="X15" s="134"/>
    </row>
    <row r="16" spans="1:26" s="1" customFormat="1" ht="25.5" x14ac:dyDescent="0.2">
      <c r="A16" s="211" t="s">
        <v>253</v>
      </c>
      <c r="B16" s="133" t="s">
        <v>94</v>
      </c>
      <c r="C16" s="122">
        <v>43976727</v>
      </c>
      <c r="D16" s="122" t="s">
        <v>176</v>
      </c>
      <c r="E16" s="180" t="s">
        <v>177</v>
      </c>
      <c r="F16" s="122">
        <v>3015861796</v>
      </c>
      <c r="G16" s="153" t="s">
        <v>178</v>
      </c>
      <c r="H16" s="122" t="s">
        <v>179</v>
      </c>
      <c r="I16" s="122" t="s">
        <v>180</v>
      </c>
      <c r="J16" s="122" t="s">
        <v>181</v>
      </c>
      <c r="K16" s="122" t="s">
        <v>97</v>
      </c>
      <c r="L16" s="122" t="s">
        <v>97</v>
      </c>
      <c r="M16" s="122" t="s">
        <v>182</v>
      </c>
      <c r="N16" s="122">
        <v>229</v>
      </c>
      <c r="O16" s="122" t="s">
        <v>95</v>
      </c>
      <c r="P16" s="129"/>
      <c r="Q16" s="135"/>
      <c r="R16" s="136"/>
      <c r="S16" s="136"/>
      <c r="T16" s="136"/>
      <c r="U16" s="136"/>
      <c r="V16" s="136"/>
      <c r="W16" s="136"/>
      <c r="X16" s="137"/>
    </row>
    <row r="17" spans="1:24" s="2" customFormat="1" ht="12.75" x14ac:dyDescent="0.2">
      <c r="A17" s="211" t="s">
        <v>254</v>
      </c>
      <c r="B17" s="13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12.75" x14ac:dyDescent="0.2">
      <c r="A18" s="211" t="s">
        <v>255</v>
      </c>
      <c r="B18" s="13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12.75" x14ac:dyDescent="0.2">
      <c r="A19" s="211" t="s">
        <v>256</v>
      </c>
      <c r="B19" s="133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2" customFormat="1" ht="12.75" x14ac:dyDescent="0.2">
      <c r="A20" s="211" t="s">
        <v>257</v>
      </c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2"/>
      <c r="R20" s="133"/>
      <c r="S20" s="133"/>
      <c r="T20" s="133"/>
      <c r="U20" s="133"/>
      <c r="V20" s="133"/>
      <c r="W20" s="133"/>
      <c r="X20" s="134"/>
    </row>
    <row r="21" spans="1:24" s="1" customFormat="1" ht="12.75" x14ac:dyDescent="0.2">
      <c r="A21" s="211" t="s">
        <v>258</v>
      </c>
      <c r="B21" s="13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5"/>
      <c r="R21" s="136"/>
      <c r="S21" s="136"/>
      <c r="T21" s="136"/>
      <c r="U21" s="136"/>
      <c r="V21" s="136"/>
      <c r="W21" s="136"/>
      <c r="X21" s="137"/>
    </row>
    <row r="22" spans="1:24" s="2" customFormat="1" ht="12.75" x14ac:dyDescent="0.2">
      <c r="A22" s="211" t="s">
        <v>259</v>
      </c>
      <c r="B22" s="13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211" t="s">
        <v>260</v>
      </c>
      <c r="B23" s="13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211" t="s">
        <v>261</v>
      </c>
      <c r="B24" s="13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s="2" customFormat="1" ht="12.75" x14ac:dyDescent="0.2">
      <c r="A25" s="211" t="s">
        <v>262</v>
      </c>
      <c r="B25" s="13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2"/>
      <c r="R25" s="133"/>
      <c r="S25" s="133"/>
      <c r="T25" s="133"/>
      <c r="U25" s="133"/>
      <c r="V25" s="133"/>
      <c r="W25" s="133"/>
      <c r="X25" s="134"/>
    </row>
    <row r="26" spans="1:24" x14ac:dyDescent="0.3">
      <c r="A26" s="211" t="s">
        <v>263</v>
      </c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211" t="s">
        <v>264</v>
      </c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211" t="s">
        <v>265</v>
      </c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211" t="s">
        <v>266</v>
      </c>
      <c r="B29" s="138"/>
      <c r="C29" s="139"/>
      <c r="D29" s="139"/>
      <c r="E29" s="140"/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211" t="s">
        <v>267</v>
      </c>
      <c r="B30" s="138"/>
      <c r="C30" s="139"/>
      <c r="D30" s="139"/>
      <c r="E30" s="140" t="str">
        <f>TRIM(RIGHT(SUBSTITUTE(E29,"-", REPT("-",LEN(E29))),LEN(E29)))</f>
        <v/>
      </c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211" t="s">
        <v>268</v>
      </c>
      <c r="B31" s="138"/>
      <c r="C31" s="139"/>
      <c r="D31" s="139"/>
      <c r="E31" s="144" t="str">
        <f>RIGHT(E29,1)</f>
        <v/>
      </c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211" t="s">
        <v>269</v>
      </c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211" t="s">
        <v>270</v>
      </c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211" t="s">
        <v>271</v>
      </c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211" t="s">
        <v>272</v>
      </c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211" t="s">
        <v>273</v>
      </c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211" t="s">
        <v>274</v>
      </c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211" t="s">
        <v>275</v>
      </c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211" t="s">
        <v>276</v>
      </c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211" t="s">
        <v>277</v>
      </c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211" t="s">
        <v>278</v>
      </c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211" t="s">
        <v>279</v>
      </c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211" t="s">
        <v>280</v>
      </c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211" t="s">
        <v>281</v>
      </c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211" t="s">
        <v>282</v>
      </c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211" t="s">
        <v>283</v>
      </c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211" t="s">
        <v>284</v>
      </c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211" t="s">
        <v>285</v>
      </c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211" t="s">
        <v>286</v>
      </c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211" t="s">
        <v>287</v>
      </c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211" t="s">
        <v>288</v>
      </c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211" t="s">
        <v>289</v>
      </c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211" t="s">
        <v>290</v>
      </c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x14ac:dyDescent="0.3">
      <c r="A54" s="211" t="s">
        <v>291</v>
      </c>
      <c r="B54" s="138"/>
      <c r="C54" s="139"/>
      <c r="D54" s="139"/>
      <c r="E54" s="140"/>
      <c r="F54" s="140"/>
      <c r="G54" s="140"/>
      <c r="H54" s="140"/>
      <c r="I54" s="140"/>
      <c r="J54" s="138"/>
      <c r="K54" s="138"/>
      <c r="L54" s="138"/>
      <c r="M54" s="138"/>
      <c r="N54" s="138"/>
      <c r="O54" s="138"/>
      <c r="P54" s="141"/>
      <c r="Q54" s="142"/>
      <c r="R54" s="138"/>
      <c r="S54" s="138"/>
      <c r="T54" s="138"/>
      <c r="U54" s="138"/>
      <c r="V54" s="138"/>
      <c r="W54" s="138"/>
      <c r="X54" s="143"/>
    </row>
    <row r="55" spans="1:24" ht="17.25" thickBot="1" x14ac:dyDescent="0.35">
      <c r="A55" s="212" t="s">
        <v>292</v>
      </c>
      <c r="B55" s="145"/>
      <c r="C55" s="146"/>
      <c r="D55" s="146"/>
      <c r="E55" s="147"/>
      <c r="F55" s="147"/>
      <c r="G55" s="147"/>
      <c r="H55" s="147"/>
      <c r="I55" s="147"/>
      <c r="J55" s="145"/>
      <c r="K55" s="145"/>
      <c r="L55" s="145"/>
      <c r="M55" s="145"/>
      <c r="N55" s="145"/>
      <c r="O55" s="145"/>
      <c r="P55" s="148"/>
      <c r="Q55" s="149"/>
      <c r="R55" s="145"/>
      <c r="S55" s="145"/>
      <c r="T55" s="145"/>
      <c r="U55" s="145"/>
      <c r="V55" s="145"/>
      <c r="W55" s="145"/>
      <c r="X55" s="150"/>
    </row>
  </sheetData>
  <autoFilter ref="B3:WVX6">
    <filterColumn colId="8" showButton="0"/>
    <filterColumn colId="9" showButton="0"/>
    <filterColumn colId="10" showButton="0"/>
  </autoFilter>
  <mergeCells count="24">
    <mergeCell ref="N3:N5"/>
    <mergeCell ref="P3:P5"/>
    <mergeCell ref="B3:B5"/>
    <mergeCell ref="C3:C5"/>
    <mergeCell ref="E3:E5"/>
    <mergeCell ref="O3:O5"/>
    <mergeCell ref="F3:F5"/>
    <mergeCell ref="G3:G5"/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</mergeCells>
  <hyperlinks>
    <hyperlink ref="G6" r:id="rId1"/>
    <hyperlink ref="G7" r:id="rId2"/>
    <hyperlink ref="G8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</hyperlinks>
  <pageMargins left="0.7" right="0.7" top="0.75" bottom="0.75" header="0.3" footer="0.3"/>
  <pageSetup paperSize="9"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98"/>
  <sheetViews>
    <sheetView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8.140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47"/>
      <c r="B1" s="348"/>
      <c r="C1" s="351" t="s">
        <v>9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</row>
    <row r="2" spans="1:16" ht="51" customHeight="1" thickBot="1" x14ac:dyDescent="0.3">
      <c r="A2" s="349"/>
      <c r="B2" s="350"/>
      <c r="C2" s="351" t="s">
        <v>10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P2" s="161">
        <f ca="1">MATCH(MID(CELL("nombrearchivo",'9'!E9),FIND("]", CELL("nombrearchivo",'9'!E9),1)+1,LEN(CELL("nombrearchivo",'9'!E9))-FIND("]",CELL("nombrearchivo",'9'!E9),1)),GENERAL!A6:A54,0)</f>
        <v>6</v>
      </c>
    </row>
    <row r="3" spans="1:16" ht="15.75" x14ac:dyDescent="0.25">
      <c r="A3" s="354" t="s">
        <v>11</v>
      </c>
      <c r="B3" s="355"/>
      <c r="C3" s="355"/>
      <c r="D3" s="355"/>
      <c r="E3" s="7" t="str">
        <f>GENERAL!Z$2</f>
        <v>PLANTA</v>
      </c>
      <c r="F3" s="356"/>
      <c r="G3" s="356"/>
      <c r="H3" s="356"/>
      <c r="I3" s="356"/>
      <c r="J3" s="356"/>
      <c r="K3" s="356"/>
      <c r="L3" s="356"/>
      <c r="M3" s="356"/>
      <c r="N3" s="357"/>
    </row>
    <row r="4" spans="1:16" ht="15.75" x14ac:dyDescent="0.25">
      <c r="A4" s="324" t="s">
        <v>12</v>
      </c>
      <c r="B4" s="325"/>
      <c r="C4" s="325"/>
      <c r="D4" s="325"/>
      <c r="E4" s="8" t="str">
        <f>GENERAL!A$2</f>
        <v>C-P-07-4</v>
      </c>
      <c r="F4" s="345"/>
      <c r="G4" s="345"/>
      <c r="H4" s="345"/>
      <c r="I4" s="345"/>
      <c r="J4" s="345"/>
      <c r="K4" s="345"/>
      <c r="L4" s="345"/>
      <c r="M4" s="345"/>
      <c r="N4" s="346"/>
    </row>
    <row r="5" spans="1:16" ht="15.75" x14ac:dyDescent="0.25">
      <c r="A5" s="324" t="s">
        <v>13</v>
      </c>
      <c r="B5" s="325"/>
      <c r="C5" s="325"/>
      <c r="D5" s="325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6" x14ac:dyDescent="0.25">
      <c r="A8" s="326" t="s">
        <v>15</v>
      </c>
      <c r="B8" s="327"/>
      <c r="C8" s="330" t="s">
        <v>16</v>
      </c>
      <c r="D8" s="164"/>
      <c r="E8" s="332" t="s">
        <v>17</v>
      </c>
      <c r="F8" s="332" t="s">
        <v>18</v>
      </c>
      <c r="G8" s="332" t="s">
        <v>19</v>
      </c>
      <c r="H8" s="332" t="s">
        <v>20</v>
      </c>
      <c r="I8" s="332" t="s">
        <v>21</v>
      </c>
      <c r="J8" s="334" t="s">
        <v>22</v>
      </c>
      <c r="K8" s="165"/>
      <c r="L8" s="336"/>
      <c r="M8" s="336"/>
      <c r="N8" s="338" t="s">
        <v>23</v>
      </c>
    </row>
    <row r="9" spans="1:16" ht="31.5" customHeight="1" thickBot="1" x14ac:dyDescent="0.3">
      <c r="A9" s="328"/>
      <c r="B9" s="329"/>
      <c r="C9" s="331"/>
      <c r="D9" s="17"/>
      <c r="E9" s="333"/>
      <c r="F9" s="333"/>
      <c r="G9" s="333"/>
      <c r="H9" s="333"/>
      <c r="I9" s="333"/>
      <c r="J9" s="335"/>
      <c r="K9" s="166"/>
      <c r="L9" s="337"/>
      <c r="M9" s="337"/>
      <c r="N9" s="339"/>
    </row>
    <row r="10" spans="1:16" ht="44.25" customHeight="1" thickBot="1" x14ac:dyDescent="0.3">
      <c r="A10" s="340" t="str">
        <f ca="1">CONCATENATE((INDIRECT("GENERAL!D"&amp;P2+5))," ",((INDIRECT("GENERAL!E"&amp;P2+5))))</f>
        <v>MIRANDA MUÑOZ  CRISTIAN DAVID</v>
      </c>
      <c r="B10" s="341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0</v>
      </c>
      <c r="H10" s="21">
        <f>N27</f>
        <v>2.72</v>
      </c>
      <c r="I10" s="21">
        <f>N32</f>
        <v>1.4</v>
      </c>
      <c r="J10" s="22">
        <f>N37</f>
        <v>0.16</v>
      </c>
      <c r="K10" s="23"/>
      <c r="L10" s="23"/>
      <c r="M10" s="23"/>
      <c r="N10" s="24">
        <f>IF( SUM(C10:J10)&lt;=30,SUM(C10:J10),"EXCEDE LOS 30 PUNTOS")</f>
        <v>11.280000000000001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42" t="s">
        <v>24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27" t="s">
        <v>25</v>
      </c>
    </row>
    <row r="13" spans="1:16" ht="24" thickBot="1" x14ac:dyDescent="0.3">
      <c r="A13" s="307" t="s">
        <v>26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8"/>
      <c r="N13" s="26"/>
    </row>
    <row r="14" spans="1:16" ht="31.5" customHeight="1" thickBot="1" x14ac:dyDescent="0.3">
      <c r="A14" s="260" t="s">
        <v>27</v>
      </c>
      <c r="B14" s="262"/>
      <c r="C14" s="28"/>
      <c r="D14" s="310" t="str">
        <f ca="1">(INDIRECT("GENERAL!J"&amp;P2+5))</f>
        <v>QUIMICO/UNIVERSIDAD DEL CAUCA/2011</v>
      </c>
      <c r="E14" s="311"/>
      <c r="F14" s="311"/>
      <c r="G14" s="311"/>
      <c r="H14" s="311"/>
      <c r="I14" s="311"/>
      <c r="J14" s="311"/>
      <c r="K14" s="311"/>
      <c r="L14" s="31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13" t="s">
        <v>28</v>
      </c>
      <c r="B16" s="314"/>
      <c r="C16" s="8"/>
      <c r="D16" s="34"/>
      <c r="E16" s="321" t="str">
        <f ca="1">(INDIRECT("GENERAL!K"&amp;P2+5))</f>
        <v>NO REGISTRA</v>
      </c>
      <c r="F16" s="322"/>
      <c r="G16" s="322"/>
      <c r="H16" s="322"/>
      <c r="I16" s="322"/>
      <c r="J16" s="322"/>
      <c r="K16" s="322"/>
      <c r="L16" s="323"/>
      <c r="M16" s="29"/>
      <c r="N16" s="30">
        <v>0</v>
      </c>
    </row>
    <row r="17" spans="1:21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21" ht="34.5" customHeight="1" thickBot="1" x14ac:dyDescent="0.3">
      <c r="A18" s="313" t="s">
        <v>29</v>
      </c>
      <c r="B18" s="314"/>
      <c r="C18" s="28"/>
      <c r="D18" s="163"/>
      <c r="E18" s="322" t="str">
        <f ca="1">(INDIRECT("GENERAL!L"&amp;P2+5))</f>
        <v>MAGISTER EN CIENCIAS QUIMICAS/UNIVERSIDAD DEL CAUCA/2013</v>
      </c>
      <c r="F18" s="322"/>
      <c r="G18" s="322"/>
      <c r="H18" s="322"/>
      <c r="I18" s="322"/>
      <c r="J18" s="322"/>
      <c r="K18" s="322"/>
      <c r="L18" s="323"/>
      <c r="M18" s="29"/>
      <c r="N18" s="30">
        <v>3</v>
      </c>
    </row>
    <row r="19" spans="1:21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21" ht="54" customHeight="1" thickBot="1" x14ac:dyDescent="0.3">
      <c r="A20" s="313" t="s">
        <v>30</v>
      </c>
      <c r="B20" s="314"/>
      <c r="C20" s="28"/>
      <c r="D20" s="318" t="str">
        <f ca="1">(INDIRECT("GENERAL!M"&amp;P2+5))</f>
        <v>NO REGISTRA</v>
      </c>
      <c r="E20" s="319"/>
      <c r="F20" s="319"/>
      <c r="G20" s="319"/>
      <c r="H20" s="319"/>
      <c r="I20" s="319"/>
      <c r="J20" s="319"/>
      <c r="K20" s="319"/>
      <c r="L20" s="320"/>
      <c r="M20" s="29"/>
      <c r="N20" s="30">
        <v>0</v>
      </c>
      <c r="R20" s="6">
        <f>136/480</f>
        <v>0.28333333333333333</v>
      </c>
    </row>
    <row r="21" spans="1:21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21" ht="19.5" thickTop="1" thickBot="1" x14ac:dyDescent="0.3">
      <c r="A22" s="304" t="s">
        <v>31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6"/>
      <c r="M22" s="8"/>
      <c r="N22" s="160">
        <f>IF( SUM(N14:N20)&lt;=10,SUM(N14:N20),"EXCEDE LOS 10 PUNTOS VALIDOS")</f>
        <v>7</v>
      </c>
    </row>
    <row r="23" spans="1:21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  <c r="S23" s="6">
        <f>809/360</f>
        <v>2.2472222222222222</v>
      </c>
    </row>
    <row r="24" spans="1:21" ht="24" thickBot="1" x14ac:dyDescent="0.3">
      <c r="A24" s="307" t="s">
        <v>32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9"/>
      <c r="M24" s="8"/>
      <c r="N24" s="40"/>
    </row>
    <row r="25" spans="1:21" ht="68.25" customHeight="1" thickBot="1" x14ac:dyDescent="0.3">
      <c r="A25" s="260" t="s">
        <v>33</v>
      </c>
      <c r="B25" s="262"/>
      <c r="C25" s="28"/>
      <c r="D25" s="310" t="s">
        <v>195</v>
      </c>
      <c r="E25" s="311"/>
      <c r="F25" s="311"/>
      <c r="G25" s="311"/>
      <c r="H25" s="311"/>
      <c r="I25" s="311"/>
      <c r="J25" s="311"/>
      <c r="K25" s="311"/>
      <c r="L25" s="312"/>
      <c r="M25" s="29"/>
      <c r="N25" s="30">
        <f>0.48+2.24</f>
        <v>2.72</v>
      </c>
      <c r="P25" s="43"/>
      <c r="Q25" s="43"/>
    </row>
    <row r="26" spans="1:21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21" ht="19.5" thickTop="1" thickBot="1" x14ac:dyDescent="0.3">
      <c r="A27" s="304" t="s">
        <v>34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162"/>
      <c r="N27" s="160">
        <f>IF(N25&lt;=5,N25,"EXCEDE LOS 5 PUNTOS PERMITIDOS")</f>
        <v>2.72</v>
      </c>
      <c r="P27" s="43"/>
      <c r="Q27" s="43"/>
      <c r="R27" s="6">
        <f>(4*8)*4</f>
        <v>128</v>
      </c>
    </row>
    <row r="28" spans="1:21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21" ht="24" thickBot="1" x14ac:dyDescent="0.3">
      <c r="A29" s="307" t="s">
        <v>35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9"/>
      <c r="M29" s="45"/>
      <c r="N29" s="40"/>
    </row>
    <row r="30" spans="1:21" ht="77.25" customHeight="1" thickBot="1" x14ac:dyDescent="0.3">
      <c r="A30" s="260" t="s">
        <v>36</v>
      </c>
      <c r="B30" s="262"/>
      <c r="C30" s="28"/>
      <c r="D30" s="310" t="s">
        <v>194</v>
      </c>
      <c r="E30" s="311"/>
      <c r="F30" s="311"/>
      <c r="G30" s="311"/>
      <c r="H30" s="311"/>
      <c r="I30" s="311"/>
      <c r="J30" s="311"/>
      <c r="K30" s="311"/>
      <c r="L30" s="312"/>
      <c r="M30" s="29"/>
      <c r="N30" s="30">
        <f>0.24+0.26+0.07+0.35+0.48</f>
        <v>1.4</v>
      </c>
      <c r="S30" s="43">
        <v>40544</v>
      </c>
      <c r="T30" s="43">
        <v>41353</v>
      </c>
      <c r="U30" s="6">
        <f>T30-S30</f>
        <v>809</v>
      </c>
    </row>
    <row r="31" spans="1:21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21" ht="19.5" thickTop="1" thickBot="1" x14ac:dyDescent="0.3">
      <c r="A32" s="304" t="s">
        <v>37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162"/>
      <c r="N32" s="160">
        <f>IF(N30&lt;=5,N30,"EXCEDE LOS 5 PUNTOS PERMITIDOS")</f>
        <v>1.4</v>
      </c>
    </row>
    <row r="33" spans="1:20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20" ht="24" thickBot="1" x14ac:dyDescent="0.3">
      <c r="A34" s="307" t="s">
        <v>38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9"/>
      <c r="M34" s="8"/>
      <c r="N34" s="40"/>
    </row>
    <row r="35" spans="1:20" ht="98.25" customHeight="1" thickBot="1" x14ac:dyDescent="0.3">
      <c r="A35" s="313" t="s">
        <v>39</v>
      </c>
      <c r="B35" s="314"/>
      <c r="C35" s="28"/>
      <c r="D35" s="310" t="s">
        <v>196</v>
      </c>
      <c r="E35" s="311"/>
      <c r="F35" s="311"/>
      <c r="G35" s="311"/>
      <c r="H35" s="311"/>
      <c r="I35" s="311"/>
      <c r="J35" s="311"/>
      <c r="K35" s="311"/>
      <c r="L35" s="312"/>
      <c r="M35" s="29"/>
      <c r="N35" s="30">
        <f>0.11+0.05</f>
        <v>0.16</v>
      </c>
    </row>
    <row r="36" spans="1:20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20" ht="19.5" thickTop="1" thickBot="1" x14ac:dyDescent="0.3">
      <c r="A37" s="304" t="s">
        <v>40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162"/>
      <c r="N37" s="160">
        <f>IF(N35&lt;=10,N35,"EXCEDE LOS 10 PUNTOS PERMITIDOS")</f>
        <v>0.16</v>
      </c>
    </row>
    <row r="38" spans="1:20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  <c r="S38" s="6">
        <f>0.5/2</f>
        <v>0.25</v>
      </c>
      <c r="T38" s="6">
        <f>0.25/5</f>
        <v>0.05</v>
      </c>
    </row>
    <row r="39" spans="1:20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20" ht="24.75" thickTop="1" thickBot="1" x14ac:dyDescent="0.3">
      <c r="A40" s="315" t="s">
        <v>23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7"/>
      <c r="M40" s="48"/>
      <c r="N40" s="49">
        <f>IF((N22+N27+N32+N37)&lt;=30,(N22+N27+N32+N37),"ERROR EXCEDE LOS 30 PUNTOS")</f>
        <v>11.280000000000001</v>
      </c>
    </row>
    <row r="41" spans="1:20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20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20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20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20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20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20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20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55" t="s">
        <v>42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98" t="s">
        <v>43</v>
      </c>
      <c r="B57" s="299"/>
      <c r="C57" s="299"/>
      <c r="D57" s="299"/>
      <c r="E57" s="299"/>
      <c r="F57" s="302"/>
      <c r="G57" s="303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7" t="s">
        <v>49</v>
      </c>
      <c r="C58" s="287"/>
      <c r="D58" s="287"/>
      <c r="E58" s="287"/>
      <c r="F58" s="288"/>
      <c r="G58" s="28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5" t="s">
        <v>51</v>
      </c>
      <c r="C59" s="289"/>
      <c r="D59" s="289"/>
      <c r="E59" s="28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9" t="s">
        <v>52</v>
      </c>
      <c r="C60" s="289"/>
      <c r="D60" s="289"/>
      <c r="E60" s="28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9" t="s">
        <v>54</v>
      </c>
      <c r="C61" s="289"/>
      <c r="D61" s="289"/>
      <c r="E61" s="28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9" t="s">
        <v>55</v>
      </c>
      <c r="C62" s="289"/>
      <c r="D62" s="289"/>
      <c r="E62" s="28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9" t="s">
        <v>56</v>
      </c>
      <c r="C63" s="289"/>
      <c r="D63" s="289"/>
      <c r="E63" s="28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90" t="s">
        <v>58</v>
      </c>
      <c r="C64" s="290"/>
      <c r="D64" s="290"/>
      <c r="E64" s="290"/>
      <c r="F64" s="259"/>
      <c r="G64" s="25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98" t="s">
        <v>61</v>
      </c>
      <c r="B68" s="299"/>
      <c r="C68" s="299"/>
      <c r="D68" s="299"/>
      <c r="E68" s="299"/>
      <c r="F68" s="299"/>
      <c r="G68" s="300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301" t="s">
        <v>62</v>
      </c>
      <c r="C69" s="301"/>
      <c r="D69" s="301"/>
      <c r="E69" s="301"/>
      <c r="F69" s="288"/>
      <c r="G69" s="28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58" t="s">
        <v>65</v>
      </c>
      <c r="C71" s="258"/>
      <c r="D71" s="258"/>
      <c r="E71" s="258"/>
      <c r="F71" s="259"/>
      <c r="G71" s="25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261"/>
      <c r="D72" s="261"/>
      <c r="E72" s="261"/>
      <c r="F72" s="261"/>
      <c r="G72" s="26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63" t="s">
        <v>67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5"/>
      <c r="L73" s="82"/>
      <c r="M73" s="45"/>
      <c r="N73" s="77">
        <f>N72/3</f>
        <v>0</v>
      </c>
    </row>
    <row r="74" spans="1:14" ht="19.5" thickTop="1" thickBot="1" x14ac:dyDescent="0.3">
      <c r="A74" s="266"/>
      <c r="B74" s="267"/>
      <c r="C74" s="267"/>
      <c r="D74" s="267"/>
      <c r="E74" s="267"/>
      <c r="F74" s="267"/>
      <c r="G74" s="267"/>
      <c r="H74" s="267"/>
      <c r="I74" s="267"/>
      <c r="J74" s="268"/>
      <c r="K74" s="268"/>
      <c r="L74" s="82"/>
      <c r="M74" s="45"/>
      <c r="N74" s="167"/>
    </row>
    <row r="75" spans="1:14" ht="26.25" thickBot="1" x14ac:dyDescent="0.3">
      <c r="A75" s="269" t="s">
        <v>68</v>
      </c>
      <c r="B75" s="270"/>
      <c r="C75" s="270"/>
      <c r="D75" s="270"/>
      <c r="E75" s="270"/>
      <c r="F75" s="270"/>
      <c r="G75" s="271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72" t="s">
        <v>69</v>
      </c>
      <c r="C76" s="272"/>
      <c r="D76" s="272"/>
      <c r="E76" s="272"/>
      <c r="F76" s="273"/>
      <c r="G76" s="27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27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58" t="s">
        <v>71</v>
      </c>
      <c r="C78" s="258"/>
      <c r="D78" s="258"/>
      <c r="E78" s="258"/>
      <c r="F78" s="259"/>
      <c r="G78" s="27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79" t="s">
        <v>72</v>
      </c>
      <c r="B79" s="280"/>
      <c r="C79" s="280"/>
      <c r="D79" s="280"/>
      <c r="E79" s="280"/>
      <c r="F79" s="280"/>
      <c r="G79" s="280"/>
      <c r="H79" s="28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82" t="s">
        <v>73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85"/>
      <c r="F81" s="285"/>
      <c r="G81" s="285"/>
      <c r="H81" s="285"/>
      <c r="I81" s="285"/>
      <c r="J81" s="285"/>
      <c r="K81" s="285"/>
      <c r="L81" s="285"/>
      <c r="M81" s="285"/>
      <c r="N81" s="28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55" t="s">
        <v>74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38" t="s">
        <v>75</v>
      </c>
      <c r="B85" s="239"/>
      <c r="C85" s="239"/>
      <c r="D85" s="239"/>
      <c r="E85" s="239"/>
      <c r="F85" s="240"/>
      <c r="G85" s="241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42" t="s">
        <v>76</v>
      </c>
      <c r="C86" s="243"/>
      <c r="D86" s="243"/>
      <c r="E86" s="243"/>
      <c r="F86" s="244"/>
      <c r="G86" s="24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46" t="s">
        <v>78</v>
      </c>
      <c r="B88" s="247"/>
      <c r="C88" s="247"/>
      <c r="D88" s="247"/>
      <c r="E88" s="247"/>
      <c r="F88" s="247"/>
      <c r="G88" s="247"/>
      <c r="H88" s="247"/>
      <c r="I88" s="247"/>
      <c r="J88" s="24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49" t="s">
        <v>79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52" t="s">
        <v>23</v>
      </c>
      <c r="B92" s="253"/>
      <c r="C92" s="253"/>
      <c r="D92" s="253"/>
      <c r="E92" s="253"/>
      <c r="F92" s="253"/>
      <c r="G92" s="253"/>
      <c r="H92" s="253"/>
      <c r="I92" s="253"/>
      <c r="J92" s="254"/>
      <c r="K92" s="111"/>
      <c r="L92" s="111"/>
      <c r="M92" s="112"/>
      <c r="N92" s="113">
        <f>N40</f>
        <v>11.280000000000001</v>
      </c>
    </row>
    <row r="93" spans="1:14" ht="18" x14ac:dyDescent="0.25">
      <c r="A93" s="229" t="s">
        <v>80</v>
      </c>
      <c r="B93" s="230"/>
      <c r="C93" s="230"/>
      <c r="D93" s="230"/>
      <c r="E93" s="230"/>
      <c r="F93" s="230"/>
      <c r="G93" s="230"/>
      <c r="H93" s="230"/>
      <c r="I93" s="230"/>
      <c r="J93" s="231"/>
      <c r="K93" s="111"/>
      <c r="L93" s="111"/>
      <c r="M93" s="112"/>
      <c r="N93" s="114">
        <f>N66</f>
        <v>0</v>
      </c>
    </row>
    <row r="94" spans="1:14" ht="18" x14ac:dyDescent="0.25">
      <c r="A94" s="229" t="s">
        <v>81</v>
      </c>
      <c r="B94" s="230"/>
      <c r="C94" s="230"/>
      <c r="D94" s="230"/>
      <c r="E94" s="230"/>
      <c r="F94" s="230"/>
      <c r="G94" s="230"/>
      <c r="H94" s="230"/>
      <c r="I94" s="230"/>
      <c r="J94" s="231"/>
      <c r="K94" s="111"/>
      <c r="L94" s="111"/>
      <c r="M94" s="112"/>
      <c r="N94" s="115">
        <f>N73</f>
        <v>0</v>
      </c>
    </row>
    <row r="95" spans="1:14" ht="18" x14ac:dyDescent="0.25">
      <c r="A95" s="229" t="s">
        <v>82</v>
      </c>
      <c r="B95" s="230"/>
      <c r="C95" s="230"/>
      <c r="D95" s="230"/>
      <c r="E95" s="230"/>
      <c r="F95" s="230"/>
      <c r="G95" s="230"/>
      <c r="H95" s="230"/>
      <c r="I95" s="230"/>
      <c r="J95" s="231"/>
      <c r="K95" s="111"/>
      <c r="L95" s="111"/>
      <c r="M95" s="112"/>
      <c r="N95" s="116">
        <f>N80</f>
        <v>0</v>
      </c>
    </row>
    <row r="96" spans="1:14" ht="18.75" thickBot="1" x14ac:dyDescent="0.3">
      <c r="A96" s="232" t="s">
        <v>83</v>
      </c>
      <c r="B96" s="233"/>
      <c r="C96" s="233"/>
      <c r="D96" s="233"/>
      <c r="E96" s="233"/>
      <c r="F96" s="233"/>
      <c r="G96" s="233"/>
      <c r="H96" s="233"/>
      <c r="I96" s="233"/>
      <c r="J96" s="23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35" t="s">
        <v>84</v>
      </c>
      <c r="B97" s="236"/>
      <c r="C97" s="236"/>
      <c r="D97" s="236"/>
      <c r="E97" s="236"/>
      <c r="F97" s="236"/>
      <c r="G97" s="236"/>
      <c r="H97" s="236"/>
      <c r="I97" s="236"/>
      <c r="J97" s="237"/>
      <c r="K97" s="117"/>
      <c r="L97" s="118"/>
      <c r="M97" s="119"/>
      <c r="N97" s="120">
        <f>SUM(N92:N96)</f>
        <v>11.280000000000001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th9FsUSRNRW1ID/8K3aGRxNt72a8MWum0WI3J/dDqEWN+d2wscdj8uV6KjkseAVsKtWYod0WXZYGM2b0sF0VKQ==" saltValue="qqGYIWk6JdruzgsamS+TXQ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15748031496062992" bottom="0.15748031496062992" header="0.31496062992125984" footer="0.31496062992125984"/>
  <pageSetup scale="6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1"/>
  <sheetViews>
    <sheetView workbookViewId="0">
      <selection activeCell="B17" sqref="B17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7.28515625" customWidth="1"/>
    <col min="4" max="4" width="25.28515625" customWidth="1"/>
    <col min="5" max="5" width="37.42578125" customWidth="1"/>
    <col min="6" max="6" width="23.42578125" customWidth="1"/>
    <col min="7" max="8" width="9.7109375" customWidth="1"/>
    <col min="9" max="9" width="12.42578125" customWidth="1"/>
    <col min="10" max="10" width="26" customWidth="1"/>
  </cols>
  <sheetData>
    <row r="1" spans="1:10" ht="18" x14ac:dyDescent="0.25">
      <c r="A1" s="364" t="s">
        <v>210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x14ac:dyDescent="0.25">
      <c r="A2" s="365" t="s">
        <v>224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ht="16.5" thickBot="1" x14ac:dyDescent="0.3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ht="41.25" customHeight="1" thickBot="1" x14ac:dyDescent="0.3">
      <c r="A4" s="366" t="s">
        <v>211</v>
      </c>
      <c r="B4" s="366" t="s">
        <v>212</v>
      </c>
      <c r="C4" s="366" t="s">
        <v>213</v>
      </c>
      <c r="D4" s="368" t="s">
        <v>214</v>
      </c>
      <c r="E4" s="369"/>
      <c r="F4" s="370" t="s">
        <v>215</v>
      </c>
      <c r="G4" s="368" t="s">
        <v>216</v>
      </c>
      <c r="H4" s="369"/>
      <c r="I4" s="372" t="s">
        <v>217</v>
      </c>
      <c r="J4" s="370" t="s">
        <v>6</v>
      </c>
    </row>
    <row r="5" spans="1:10" ht="15.75" thickBot="1" x14ac:dyDescent="0.3">
      <c r="A5" s="367"/>
      <c r="B5" s="367"/>
      <c r="C5" s="367"/>
      <c r="D5" s="183" t="s">
        <v>7</v>
      </c>
      <c r="E5" s="183" t="s">
        <v>8</v>
      </c>
      <c r="F5" s="371"/>
      <c r="G5" s="184" t="s">
        <v>218</v>
      </c>
      <c r="H5" s="184" t="s">
        <v>219</v>
      </c>
      <c r="I5" s="373"/>
      <c r="J5" s="371"/>
    </row>
    <row r="6" spans="1:10" ht="72" customHeight="1" x14ac:dyDescent="0.25">
      <c r="A6" s="185">
        <f t="shared" ref="A6" si="0">+A5+1</f>
        <v>1</v>
      </c>
      <c r="B6" s="186" t="s">
        <v>225</v>
      </c>
      <c r="C6" s="358" t="s">
        <v>220</v>
      </c>
      <c r="D6" s="187" t="s">
        <v>149</v>
      </c>
      <c r="E6" s="187" t="s">
        <v>226</v>
      </c>
      <c r="F6" s="361" t="s">
        <v>241</v>
      </c>
      <c r="G6" s="188" t="s">
        <v>221</v>
      </c>
      <c r="H6" s="188"/>
      <c r="I6" s="189">
        <v>27.65</v>
      </c>
      <c r="J6" s="190" t="s">
        <v>222</v>
      </c>
    </row>
    <row r="7" spans="1:10" ht="63.75" x14ac:dyDescent="0.25">
      <c r="A7" s="191">
        <f>+A6+1</f>
        <v>2</v>
      </c>
      <c r="B7" s="192" t="s">
        <v>227</v>
      </c>
      <c r="C7" s="359"/>
      <c r="D7" s="122" t="s">
        <v>114</v>
      </c>
      <c r="E7" s="122" t="s">
        <v>228</v>
      </c>
      <c r="F7" s="362"/>
      <c r="G7" s="193" t="s">
        <v>221</v>
      </c>
      <c r="H7" s="193"/>
      <c r="I7" s="194">
        <v>25.52</v>
      </c>
      <c r="J7" s="195" t="s">
        <v>222</v>
      </c>
    </row>
    <row r="8" spans="1:10" ht="38.25" x14ac:dyDescent="0.25">
      <c r="A8" s="191">
        <f t="shared" ref="A8:A16" si="1">+A7+1</f>
        <v>3</v>
      </c>
      <c r="B8" s="192" t="s">
        <v>229</v>
      </c>
      <c r="C8" s="359"/>
      <c r="D8" s="122" t="s">
        <v>165</v>
      </c>
      <c r="E8" s="122" t="s">
        <v>166</v>
      </c>
      <c r="F8" s="362"/>
      <c r="G8" s="193" t="s">
        <v>221</v>
      </c>
      <c r="H8" s="193"/>
      <c r="I8" s="194">
        <v>22.73</v>
      </c>
      <c r="J8" s="195" t="s">
        <v>222</v>
      </c>
    </row>
    <row r="9" spans="1:10" ht="25.5" x14ac:dyDescent="0.25">
      <c r="A9" s="191">
        <f t="shared" si="1"/>
        <v>4</v>
      </c>
      <c r="B9" s="192" t="s">
        <v>230</v>
      </c>
      <c r="C9" s="359"/>
      <c r="D9" s="122" t="s">
        <v>181</v>
      </c>
      <c r="E9" s="122" t="s">
        <v>182</v>
      </c>
      <c r="F9" s="362"/>
      <c r="G9" s="193" t="s">
        <v>221</v>
      </c>
      <c r="H9" s="193"/>
      <c r="I9" s="194">
        <v>21.12</v>
      </c>
      <c r="J9" s="195" t="s">
        <v>222</v>
      </c>
    </row>
    <row r="10" spans="1:10" ht="76.5" x14ac:dyDescent="0.25">
      <c r="A10" s="191">
        <f t="shared" si="1"/>
        <v>5</v>
      </c>
      <c r="B10" s="192" t="s">
        <v>231</v>
      </c>
      <c r="C10" s="359"/>
      <c r="D10" s="122" t="s">
        <v>172</v>
      </c>
      <c r="E10" s="122" t="s">
        <v>232</v>
      </c>
      <c r="F10" s="362"/>
      <c r="G10" s="193" t="s">
        <v>221</v>
      </c>
      <c r="H10" s="193"/>
      <c r="I10" s="194">
        <v>20.46</v>
      </c>
      <c r="J10" s="195" t="s">
        <v>222</v>
      </c>
    </row>
    <row r="11" spans="1:10" ht="38.25" x14ac:dyDescent="0.25">
      <c r="A11" s="191">
        <f t="shared" si="1"/>
        <v>6</v>
      </c>
      <c r="B11" s="192" t="s">
        <v>233</v>
      </c>
      <c r="C11" s="359"/>
      <c r="D11" s="122" t="s">
        <v>158</v>
      </c>
      <c r="E11" s="122" t="s">
        <v>159</v>
      </c>
      <c r="F11" s="362"/>
      <c r="G11" s="193" t="s">
        <v>221</v>
      </c>
      <c r="H11" s="193"/>
      <c r="I11" s="194">
        <v>19.059999999999999</v>
      </c>
      <c r="J11" s="195" t="s">
        <v>222</v>
      </c>
    </row>
    <row r="12" spans="1:10" ht="38.25" x14ac:dyDescent="0.25">
      <c r="A12" s="191">
        <f t="shared" si="1"/>
        <v>7</v>
      </c>
      <c r="B12" s="192" t="s">
        <v>234</v>
      </c>
      <c r="C12" s="359"/>
      <c r="D12" s="122" t="s">
        <v>122</v>
      </c>
      <c r="E12" s="122" t="s">
        <v>123</v>
      </c>
      <c r="F12" s="362"/>
      <c r="G12" s="193" t="s">
        <v>221</v>
      </c>
      <c r="H12" s="193"/>
      <c r="I12" s="194">
        <v>18.68</v>
      </c>
      <c r="J12" s="195" t="s">
        <v>222</v>
      </c>
    </row>
    <row r="13" spans="1:10" ht="38.25" x14ac:dyDescent="0.25">
      <c r="A13" s="191">
        <f t="shared" si="1"/>
        <v>8</v>
      </c>
      <c r="B13" s="192" t="s">
        <v>235</v>
      </c>
      <c r="C13" s="359"/>
      <c r="D13" s="122" t="s">
        <v>106</v>
      </c>
      <c r="E13" s="122" t="s">
        <v>107</v>
      </c>
      <c r="F13" s="362"/>
      <c r="G13" s="193" t="s">
        <v>221</v>
      </c>
      <c r="H13" s="193"/>
      <c r="I13" s="194">
        <v>17.510000000000002</v>
      </c>
      <c r="J13" s="195" t="s">
        <v>222</v>
      </c>
    </row>
    <row r="14" spans="1:10" ht="31.5" customHeight="1" x14ac:dyDescent="0.25">
      <c r="A14" s="191">
        <f t="shared" si="1"/>
        <v>9</v>
      </c>
      <c r="B14" s="192" t="s">
        <v>236</v>
      </c>
      <c r="C14" s="359"/>
      <c r="D14" s="122" t="s">
        <v>142</v>
      </c>
      <c r="E14" s="122" t="s">
        <v>143</v>
      </c>
      <c r="F14" s="362"/>
      <c r="G14" s="193" t="s">
        <v>221</v>
      </c>
      <c r="H14" s="193"/>
      <c r="I14" s="194">
        <v>11.28</v>
      </c>
      <c r="J14" s="195" t="s">
        <v>222</v>
      </c>
    </row>
    <row r="15" spans="1:10" ht="72.75" x14ac:dyDescent="0.25">
      <c r="A15" s="191">
        <f t="shared" si="1"/>
        <v>10</v>
      </c>
      <c r="B15" s="192" t="s">
        <v>237</v>
      </c>
      <c r="C15" s="359"/>
      <c r="D15" s="122" t="s">
        <v>128</v>
      </c>
      <c r="E15" s="122" t="s">
        <v>239</v>
      </c>
      <c r="F15" s="362"/>
      <c r="G15" s="193"/>
      <c r="H15" s="193" t="s">
        <v>221</v>
      </c>
      <c r="I15" s="194">
        <v>0</v>
      </c>
      <c r="J15" s="195" t="s">
        <v>242</v>
      </c>
    </row>
    <row r="16" spans="1:10" ht="73.5" thickBot="1" x14ac:dyDescent="0.3">
      <c r="A16" s="196">
        <f t="shared" si="1"/>
        <v>11</v>
      </c>
      <c r="B16" s="197" t="s">
        <v>238</v>
      </c>
      <c r="C16" s="360"/>
      <c r="D16" s="198" t="s">
        <v>136</v>
      </c>
      <c r="E16" s="198" t="s">
        <v>137</v>
      </c>
      <c r="F16" s="363"/>
      <c r="G16" s="199"/>
      <c r="H16" s="199" t="s">
        <v>221</v>
      </c>
      <c r="I16" s="200">
        <v>0</v>
      </c>
      <c r="J16" s="201" t="s">
        <v>240</v>
      </c>
    </row>
    <row r="17" spans="1:10" ht="18" x14ac:dyDescent="0.25">
      <c r="A17" s="202" t="s">
        <v>223</v>
      </c>
      <c r="B17" s="203"/>
      <c r="C17" s="203"/>
      <c r="D17" s="203"/>
      <c r="E17" s="203"/>
      <c r="F17" s="204"/>
      <c r="G17" s="205"/>
      <c r="H17" s="206"/>
      <c r="I17" s="207"/>
      <c r="J17" s="208"/>
    </row>
    <row r="18" spans="1:10" x14ac:dyDescent="0.25">
      <c r="B18" s="209"/>
    </row>
    <row r="21" spans="1:10" x14ac:dyDescent="0.25">
      <c r="B21" s="209"/>
    </row>
  </sheetData>
  <sheetProtection algorithmName="SHA-512" hashValue="NJ7pSxEwCxHYfzUwQlr8sYkSeZa1WFkCDXYxfrvu9LJsB8WMq19wu4MxyuUJs97LDap/mE6UGFsaTlwNmTHGqw==" saltValue="uDOfG0quLeqFdAEOR/tW3A==" spinCount="100000" sheet="1" objects="1" scenarios="1" selectLockedCells="1" selectUnlockedCells="1"/>
  <mergeCells count="12">
    <mergeCell ref="C6:C16"/>
    <mergeCell ref="F6:F16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11811023622047245" right="0" top="0.15748031496062992" bottom="0.15748031496062992" header="0" footer="0"/>
  <pageSetup paperSize="14"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L16" sqref="L16"/>
    </sheetView>
  </sheetViews>
  <sheetFormatPr baseColWidth="10" defaultRowHeight="15" x14ac:dyDescent="0.25"/>
  <sheetData/>
  <sheetProtection algorithmName="SHA-512" hashValue="LG9jpQTOwoKvfK5Pw5KDP7UR8rZt5utvZQMcxdZG4CGh+OuyebaJfbfOXdQciAdfiUx2pcybYTzHLyvo69eZKA==" saltValue="166LliFJSrgTWoC52JMhVA==" spinCount="100000" sheet="1" objects="1" scenarios="1" selectLockedCells="1" selectUnlockedCells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47"/>
      <c r="B1" s="348"/>
      <c r="C1" s="351" t="s">
        <v>9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</row>
    <row r="2" spans="1:16" ht="51" customHeight="1" thickBot="1" x14ac:dyDescent="0.3">
      <c r="A2" s="349"/>
      <c r="B2" s="350"/>
      <c r="C2" s="351" t="s">
        <v>10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P2" s="161" t="str">
        <f ca="1">MID(CELL("nombrearchivo",'10'!E9),FIND("]", CELL("nombrearchivo",'10'!E9),1)+1,LEN(CELL("nombrearchivo",'10'!E9))-FIND("]",CELL("nombrearchivo",'10'!E9),1))</f>
        <v>10</v>
      </c>
    </row>
    <row r="3" spans="1:16" ht="15.75" x14ac:dyDescent="0.25">
      <c r="A3" s="354" t="s">
        <v>11</v>
      </c>
      <c r="B3" s="355"/>
      <c r="C3" s="355"/>
      <c r="D3" s="355"/>
      <c r="E3" s="7" t="str">
        <f>GENERAL!Z$2</f>
        <v>PLANTA</v>
      </c>
      <c r="F3" s="356"/>
      <c r="G3" s="356"/>
      <c r="H3" s="356"/>
      <c r="I3" s="356"/>
      <c r="J3" s="356"/>
      <c r="K3" s="356"/>
      <c r="L3" s="356"/>
      <c r="M3" s="356"/>
      <c r="N3" s="357"/>
    </row>
    <row r="4" spans="1:16" ht="15.75" x14ac:dyDescent="0.25">
      <c r="A4" s="324" t="s">
        <v>12</v>
      </c>
      <c r="B4" s="325"/>
      <c r="C4" s="325"/>
      <c r="D4" s="325"/>
      <c r="E4" s="8" t="str">
        <f>GENERAL!A$2</f>
        <v>C-P-07-4</v>
      </c>
      <c r="F4" s="345"/>
      <c r="G4" s="345"/>
      <c r="H4" s="345"/>
      <c r="I4" s="345"/>
      <c r="J4" s="345"/>
      <c r="K4" s="345"/>
      <c r="L4" s="345"/>
      <c r="M4" s="345"/>
      <c r="N4" s="346"/>
    </row>
    <row r="5" spans="1:16" ht="15.75" x14ac:dyDescent="0.25">
      <c r="A5" s="324" t="s">
        <v>13</v>
      </c>
      <c r="B5" s="325"/>
      <c r="C5" s="325"/>
      <c r="D5" s="325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6" x14ac:dyDescent="0.25">
      <c r="A8" s="326" t="s">
        <v>15</v>
      </c>
      <c r="B8" s="327"/>
      <c r="C8" s="330" t="s">
        <v>16</v>
      </c>
      <c r="D8" s="156"/>
      <c r="E8" s="332" t="s">
        <v>17</v>
      </c>
      <c r="F8" s="332" t="s">
        <v>18</v>
      </c>
      <c r="G8" s="332" t="s">
        <v>19</v>
      </c>
      <c r="H8" s="332" t="s">
        <v>20</v>
      </c>
      <c r="I8" s="332" t="s">
        <v>21</v>
      </c>
      <c r="J8" s="334" t="s">
        <v>22</v>
      </c>
      <c r="K8" s="157"/>
      <c r="L8" s="336"/>
      <c r="M8" s="336"/>
      <c r="N8" s="338" t="s">
        <v>23</v>
      </c>
    </row>
    <row r="9" spans="1:16" ht="31.5" customHeight="1" thickBot="1" x14ac:dyDescent="0.3">
      <c r="A9" s="328"/>
      <c r="B9" s="329"/>
      <c r="C9" s="331"/>
      <c r="D9" s="17"/>
      <c r="E9" s="333"/>
      <c r="F9" s="333"/>
      <c r="G9" s="333"/>
      <c r="H9" s="333"/>
      <c r="I9" s="333"/>
      <c r="J9" s="335"/>
      <c r="K9" s="158"/>
      <c r="L9" s="337"/>
      <c r="M9" s="337"/>
      <c r="N9" s="339"/>
    </row>
    <row r="10" spans="1:16" ht="44.25" customHeight="1" thickBot="1" x14ac:dyDescent="0.3">
      <c r="A10" s="340" t="str">
        <f ca="1">CONCATENATE((INDIRECT("GENERAL!D"&amp;P2+5))," ",((INDIRECT("GENERAL!E"&amp;P2+5))))</f>
        <v>AVILA TORRES YENNY PATRICIA</v>
      </c>
      <c r="B10" s="34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42" t="s">
        <v>24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27" t="s">
        <v>25</v>
      </c>
    </row>
    <row r="13" spans="1:16" ht="24" thickBot="1" x14ac:dyDescent="0.3">
      <c r="A13" s="307" t="s">
        <v>26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8"/>
      <c r="N13" s="26"/>
    </row>
    <row r="14" spans="1:16" ht="31.5" customHeight="1" thickBot="1" x14ac:dyDescent="0.3">
      <c r="A14" s="260" t="s">
        <v>27</v>
      </c>
      <c r="B14" s="262"/>
      <c r="C14" s="28"/>
      <c r="D14" s="310" t="str">
        <f ca="1">(INDIRECT("GENERAL!J"&amp;P2+5))</f>
        <v>TECNOLOGO QUIMICO/UNIVERSIDAD TECNOLOGICA DE PEREIRA/2003/QUIMICO/UNIVERSIDAD DEL QUINDIO/2005</v>
      </c>
      <c r="E14" s="311"/>
      <c r="F14" s="311"/>
      <c r="G14" s="311"/>
      <c r="H14" s="311"/>
      <c r="I14" s="311"/>
      <c r="J14" s="311"/>
      <c r="K14" s="311"/>
      <c r="L14" s="312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13" t="s">
        <v>28</v>
      </c>
      <c r="B16" s="314"/>
      <c r="C16" s="8"/>
      <c r="D16" s="34"/>
      <c r="E16" s="321" t="str">
        <f ca="1">(INDIRECT("GENERAL!K"&amp;P2+5))</f>
        <v>NO REGISTRA</v>
      </c>
      <c r="F16" s="322"/>
      <c r="G16" s="322"/>
      <c r="H16" s="322"/>
      <c r="I16" s="322"/>
      <c r="J16" s="322"/>
      <c r="K16" s="322"/>
      <c r="L16" s="32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13" t="s">
        <v>29</v>
      </c>
      <c r="B18" s="314"/>
      <c r="C18" s="28"/>
      <c r="D18" s="155"/>
      <c r="E18" s="322" t="str">
        <f ca="1">(INDIRECT("GENERAL!L"&amp;P2+5))</f>
        <v>MAESTRIA EN CIENCIA E INGENIERIA DE MATERIALES/UNIVERSIDAD NACIONAL AUTONOMA DE MEXICO/2008</v>
      </c>
      <c r="F18" s="322"/>
      <c r="G18" s="322"/>
      <c r="H18" s="322"/>
      <c r="I18" s="322"/>
      <c r="J18" s="322"/>
      <c r="K18" s="322"/>
      <c r="L18" s="32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13" t="s">
        <v>30</v>
      </c>
      <c r="B20" s="314"/>
      <c r="C20" s="28"/>
      <c r="D20" s="318" t="str">
        <f ca="1">(INDIRECT("GENERAL!M"&amp;P2+5))</f>
        <v>DOCTORADO EN CIENCIA E INGENIERIA DE MATERIALES/ UNIVERSIDAD NACIONAL AUTONOMA DE MEXICO/2013</v>
      </c>
      <c r="E20" s="319"/>
      <c r="F20" s="319"/>
      <c r="G20" s="319"/>
      <c r="H20" s="319"/>
      <c r="I20" s="319"/>
      <c r="J20" s="319"/>
      <c r="K20" s="319"/>
      <c r="L20" s="320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304" t="s">
        <v>31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6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307" t="s">
        <v>32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9"/>
      <c r="M24" s="8"/>
      <c r="N24" s="40"/>
    </row>
    <row r="25" spans="1:17" ht="68.25" customHeight="1" thickBot="1" x14ac:dyDescent="0.3">
      <c r="A25" s="260" t="s">
        <v>33</v>
      </c>
      <c r="B25" s="262"/>
      <c r="C25" s="28"/>
      <c r="D25" s="310"/>
      <c r="E25" s="311"/>
      <c r="F25" s="311"/>
      <c r="G25" s="311"/>
      <c r="H25" s="311"/>
      <c r="I25" s="311"/>
      <c r="J25" s="311"/>
      <c r="K25" s="311"/>
      <c r="L25" s="312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304" t="s">
        <v>34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307" t="s">
        <v>35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9"/>
      <c r="M29" s="45"/>
      <c r="N29" s="40"/>
    </row>
    <row r="30" spans="1:17" ht="35.25" customHeight="1" thickBot="1" x14ac:dyDescent="0.3">
      <c r="A30" s="260" t="s">
        <v>36</v>
      </c>
      <c r="B30" s="262"/>
      <c r="C30" s="28"/>
      <c r="D30" s="310"/>
      <c r="E30" s="311"/>
      <c r="F30" s="311"/>
      <c r="G30" s="311"/>
      <c r="H30" s="311"/>
      <c r="I30" s="311"/>
      <c r="J30" s="311"/>
      <c r="K30" s="311"/>
      <c r="L30" s="312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304" t="s">
        <v>37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307" t="s">
        <v>38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9"/>
      <c r="M34" s="8"/>
      <c r="N34" s="40"/>
    </row>
    <row r="35" spans="1:14" ht="39.75" customHeight="1" thickBot="1" x14ac:dyDescent="0.3">
      <c r="A35" s="313" t="s">
        <v>39</v>
      </c>
      <c r="B35" s="314"/>
      <c r="C35" s="28"/>
      <c r="D35" s="310"/>
      <c r="E35" s="311"/>
      <c r="F35" s="311"/>
      <c r="G35" s="311"/>
      <c r="H35" s="311"/>
      <c r="I35" s="311"/>
      <c r="J35" s="311"/>
      <c r="K35" s="311"/>
      <c r="L35" s="312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304" t="s">
        <v>40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15" t="s">
        <v>23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7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55" t="s">
        <v>42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98" t="s">
        <v>43</v>
      </c>
      <c r="B57" s="299"/>
      <c r="C57" s="299"/>
      <c r="D57" s="299"/>
      <c r="E57" s="299"/>
      <c r="F57" s="302"/>
      <c r="G57" s="303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7" t="s">
        <v>49</v>
      </c>
      <c r="C58" s="287"/>
      <c r="D58" s="287"/>
      <c r="E58" s="287"/>
      <c r="F58" s="288"/>
      <c r="G58" s="28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5" t="s">
        <v>51</v>
      </c>
      <c r="C59" s="289"/>
      <c r="D59" s="289"/>
      <c r="E59" s="28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9" t="s">
        <v>52</v>
      </c>
      <c r="C60" s="289"/>
      <c r="D60" s="289"/>
      <c r="E60" s="28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9" t="s">
        <v>54</v>
      </c>
      <c r="C61" s="289"/>
      <c r="D61" s="289"/>
      <c r="E61" s="28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9" t="s">
        <v>55</v>
      </c>
      <c r="C62" s="289"/>
      <c r="D62" s="289"/>
      <c r="E62" s="28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9" t="s">
        <v>56</v>
      </c>
      <c r="C63" s="289"/>
      <c r="D63" s="289"/>
      <c r="E63" s="28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90" t="s">
        <v>58</v>
      </c>
      <c r="C64" s="290"/>
      <c r="D64" s="290"/>
      <c r="E64" s="290"/>
      <c r="F64" s="259"/>
      <c r="G64" s="25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98" t="s">
        <v>61</v>
      </c>
      <c r="B68" s="299"/>
      <c r="C68" s="299"/>
      <c r="D68" s="299"/>
      <c r="E68" s="299"/>
      <c r="F68" s="299"/>
      <c r="G68" s="300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301" t="s">
        <v>62</v>
      </c>
      <c r="C69" s="301"/>
      <c r="D69" s="301"/>
      <c r="E69" s="301"/>
      <c r="F69" s="288"/>
      <c r="G69" s="28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58" t="s">
        <v>65</v>
      </c>
      <c r="C71" s="258"/>
      <c r="D71" s="258"/>
      <c r="E71" s="258"/>
      <c r="F71" s="259"/>
      <c r="G71" s="25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261"/>
      <c r="D72" s="261"/>
      <c r="E72" s="261"/>
      <c r="F72" s="261"/>
      <c r="G72" s="26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63" t="s">
        <v>67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5"/>
      <c r="L73" s="82"/>
      <c r="M73" s="45"/>
      <c r="N73" s="77">
        <f>N72/3</f>
        <v>0</v>
      </c>
    </row>
    <row r="74" spans="1:14" ht="19.5" thickTop="1" thickBot="1" x14ac:dyDescent="0.3">
      <c r="A74" s="266"/>
      <c r="B74" s="267"/>
      <c r="C74" s="267"/>
      <c r="D74" s="267"/>
      <c r="E74" s="267"/>
      <c r="F74" s="267"/>
      <c r="G74" s="267"/>
      <c r="H74" s="267"/>
      <c r="I74" s="267"/>
      <c r="J74" s="268"/>
      <c r="K74" s="268"/>
      <c r="L74" s="82"/>
      <c r="M74" s="45"/>
      <c r="N74" s="159"/>
    </row>
    <row r="75" spans="1:14" ht="26.25" thickBot="1" x14ac:dyDescent="0.3">
      <c r="A75" s="269" t="s">
        <v>68</v>
      </c>
      <c r="B75" s="270"/>
      <c r="C75" s="270"/>
      <c r="D75" s="270"/>
      <c r="E75" s="270"/>
      <c r="F75" s="270"/>
      <c r="G75" s="271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72" t="s">
        <v>69</v>
      </c>
      <c r="C76" s="272"/>
      <c r="D76" s="272"/>
      <c r="E76" s="272"/>
      <c r="F76" s="273"/>
      <c r="G76" s="27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27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58" t="s">
        <v>71</v>
      </c>
      <c r="C78" s="258"/>
      <c r="D78" s="258"/>
      <c r="E78" s="258"/>
      <c r="F78" s="259"/>
      <c r="G78" s="27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79" t="s">
        <v>72</v>
      </c>
      <c r="B79" s="280"/>
      <c r="C79" s="280"/>
      <c r="D79" s="280"/>
      <c r="E79" s="280"/>
      <c r="F79" s="280"/>
      <c r="G79" s="280"/>
      <c r="H79" s="28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82" t="s">
        <v>73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85"/>
      <c r="F81" s="285"/>
      <c r="G81" s="285"/>
      <c r="H81" s="285"/>
      <c r="I81" s="285"/>
      <c r="J81" s="285"/>
      <c r="K81" s="285"/>
      <c r="L81" s="285"/>
      <c r="M81" s="285"/>
      <c r="N81" s="28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55" t="s">
        <v>74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38" t="s">
        <v>75</v>
      </c>
      <c r="B85" s="239"/>
      <c r="C85" s="239"/>
      <c r="D85" s="239"/>
      <c r="E85" s="239"/>
      <c r="F85" s="240"/>
      <c r="G85" s="241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42" t="s">
        <v>76</v>
      </c>
      <c r="C86" s="243"/>
      <c r="D86" s="243"/>
      <c r="E86" s="243"/>
      <c r="F86" s="244"/>
      <c r="G86" s="24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46" t="s">
        <v>78</v>
      </c>
      <c r="B88" s="247"/>
      <c r="C88" s="247"/>
      <c r="D88" s="247"/>
      <c r="E88" s="247"/>
      <c r="F88" s="247"/>
      <c r="G88" s="247"/>
      <c r="H88" s="247"/>
      <c r="I88" s="247"/>
      <c r="J88" s="24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49" t="s">
        <v>79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52" t="s">
        <v>23</v>
      </c>
      <c r="B92" s="253"/>
      <c r="C92" s="253"/>
      <c r="D92" s="253"/>
      <c r="E92" s="253"/>
      <c r="F92" s="253"/>
      <c r="G92" s="253"/>
      <c r="H92" s="253"/>
      <c r="I92" s="253"/>
      <c r="J92" s="254"/>
      <c r="K92" s="111"/>
      <c r="L92" s="111"/>
      <c r="M92" s="112"/>
      <c r="N92" s="113">
        <f>N40</f>
        <v>0</v>
      </c>
    </row>
    <row r="93" spans="1:14" ht="18" x14ac:dyDescent="0.25">
      <c r="A93" s="229" t="s">
        <v>80</v>
      </c>
      <c r="B93" s="230"/>
      <c r="C93" s="230"/>
      <c r="D93" s="230"/>
      <c r="E93" s="230"/>
      <c r="F93" s="230"/>
      <c r="G93" s="230"/>
      <c r="H93" s="230"/>
      <c r="I93" s="230"/>
      <c r="J93" s="231"/>
      <c r="K93" s="111"/>
      <c r="L93" s="111"/>
      <c r="M93" s="112"/>
      <c r="N93" s="114">
        <f>N66</f>
        <v>0</v>
      </c>
    </row>
    <row r="94" spans="1:14" ht="18" x14ac:dyDescent="0.25">
      <c r="A94" s="229" t="s">
        <v>81</v>
      </c>
      <c r="B94" s="230"/>
      <c r="C94" s="230"/>
      <c r="D94" s="230"/>
      <c r="E94" s="230"/>
      <c r="F94" s="230"/>
      <c r="G94" s="230"/>
      <c r="H94" s="230"/>
      <c r="I94" s="230"/>
      <c r="J94" s="231"/>
      <c r="K94" s="111"/>
      <c r="L94" s="111"/>
      <c r="M94" s="112"/>
      <c r="N94" s="115">
        <f>N73</f>
        <v>0</v>
      </c>
    </row>
    <row r="95" spans="1:14" ht="18" x14ac:dyDescent="0.25">
      <c r="A95" s="229" t="s">
        <v>82</v>
      </c>
      <c r="B95" s="230"/>
      <c r="C95" s="230"/>
      <c r="D95" s="230"/>
      <c r="E95" s="230"/>
      <c r="F95" s="230"/>
      <c r="G95" s="230"/>
      <c r="H95" s="230"/>
      <c r="I95" s="230"/>
      <c r="J95" s="231"/>
      <c r="K95" s="111"/>
      <c r="L95" s="111"/>
      <c r="M95" s="112"/>
      <c r="N95" s="116">
        <f>N80</f>
        <v>0</v>
      </c>
    </row>
    <row r="96" spans="1:14" ht="18.75" thickBot="1" x14ac:dyDescent="0.3">
      <c r="A96" s="232" t="s">
        <v>83</v>
      </c>
      <c r="B96" s="233"/>
      <c r="C96" s="233"/>
      <c r="D96" s="233"/>
      <c r="E96" s="233"/>
      <c r="F96" s="233"/>
      <c r="G96" s="233"/>
      <c r="H96" s="233"/>
      <c r="I96" s="233"/>
      <c r="J96" s="23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35" t="s">
        <v>84</v>
      </c>
      <c r="B97" s="236"/>
      <c r="C97" s="236"/>
      <c r="D97" s="236"/>
      <c r="E97" s="236"/>
      <c r="F97" s="236"/>
      <c r="G97" s="236"/>
      <c r="H97" s="236"/>
      <c r="I97" s="236"/>
      <c r="J97" s="23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D25" sqref="D25:L25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47"/>
      <c r="B1" s="348"/>
      <c r="C1" s="351" t="s">
        <v>9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</row>
    <row r="2" spans="1:16" ht="51" customHeight="1" thickBot="1" x14ac:dyDescent="0.3">
      <c r="A2" s="349"/>
      <c r="B2" s="350"/>
      <c r="C2" s="351" t="s">
        <v>10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P2" s="161" t="str">
        <f ca="1">MID(CELL("nombrearchivo",'11'!E9),FIND("]", CELL("nombrearchivo",'11'!E9),1)+1,LEN(CELL("nombrearchivo",'11'!E9))-FIND("]",CELL("nombrearchivo",'11'!E9),1))</f>
        <v>11</v>
      </c>
    </row>
    <row r="3" spans="1:16" ht="15.75" x14ac:dyDescent="0.25">
      <c r="A3" s="354" t="s">
        <v>11</v>
      </c>
      <c r="B3" s="355"/>
      <c r="C3" s="355"/>
      <c r="D3" s="355"/>
      <c r="E3" s="7" t="str">
        <f>GENERAL!Z$2</f>
        <v>PLANTA</v>
      </c>
      <c r="F3" s="356"/>
      <c r="G3" s="356"/>
      <c r="H3" s="356"/>
      <c r="I3" s="356"/>
      <c r="J3" s="356"/>
      <c r="K3" s="356"/>
      <c r="L3" s="356"/>
      <c r="M3" s="356"/>
      <c r="N3" s="357"/>
    </row>
    <row r="4" spans="1:16" ht="15.75" x14ac:dyDescent="0.25">
      <c r="A4" s="324" t="s">
        <v>12</v>
      </c>
      <c r="B4" s="325"/>
      <c r="C4" s="325"/>
      <c r="D4" s="325"/>
      <c r="E4" s="8" t="str">
        <f>GENERAL!A$2</f>
        <v>C-P-07-4</v>
      </c>
      <c r="F4" s="345"/>
      <c r="G4" s="345"/>
      <c r="H4" s="345"/>
      <c r="I4" s="345"/>
      <c r="J4" s="345"/>
      <c r="K4" s="345"/>
      <c r="L4" s="345"/>
      <c r="M4" s="345"/>
      <c r="N4" s="346"/>
    </row>
    <row r="5" spans="1:16" ht="15.75" x14ac:dyDescent="0.25">
      <c r="A5" s="324" t="s">
        <v>13</v>
      </c>
      <c r="B5" s="325"/>
      <c r="C5" s="325"/>
      <c r="D5" s="325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6" x14ac:dyDescent="0.25">
      <c r="A8" s="326" t="s">
        <v>15</v>
      </c>
      <c r="B8" s="327"/>
      <c r="C8" s="330" t="s">
        <v>16</v>
      </c>
      <c r="D8" s="156"/>
      <c r="E8" s="332" t="s">
        <v>17</v>
      </c>
      <c r="F8" s="332" t="s">
        <v>18</v>
      </c>
      <c r="G8" s="332" t="s">
        <v>19</v>
      </c>
      <c r="H8" s="332" t="s">
        <v>20</v>
      </c>
      <c r="I8" s="332" t="s">
        <v>21</v>
      </c>
      <c r="J8" s="334" t="s">
        <v>22</v>
      </c>
      <c r="K8" s="157"/>
      <c r="L8" s="336"/>
      <c r="M8" s="336"/>
      <c r="N8" s="338" t="s">
        <v>23</v>
      </c>
    </row>
    <row r="9" spans="1:16" ht="31.5" customHeight="1" thickBot="1" x14ac:dyDescent="0.3">
      <c r="A9" s="328"/>
      <c r="B9" s="329"/>
      <c r="C9" s="331"/>
      <c r="D9" s="17"/>
      <c r="E9" s="333"/>
      <c r="F9" s="333"/>
      <c r="G9" s="333"/>
      <c r="H9" s="333"/>
      <c r="I9" s="333"/>
      <c r="J9" s="335"/>
      <c r="K9" s="158"/>
      <c r="L9" s="337"/>
      <c r="M9" s="337"/>
      <c r="N9" s="339"/>
    </row>
    <row r="10" spans="1:16" ht="44.25" customHeight="1" thickBot="1" x14ac:dyDescent="0.3">
      <c r="A10" s="340" t="str">
        <f ca="1">CONCATENATE((INDIRECT("GENERAL!D"&amp;P2+5))," ",((INDIRECT("GENERAL!E"&amp;P2+5))))</f>
        <v>SALAMANCA GUZMAN MAURIN</v>
      </c>
      <c r="B10" s="341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42" t="s">
        <v>24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27" t="s">
        <v>25</v>
      </c>
    </row>
    <row r="13" spans="1:16" ht="24" thickBot="1" x14ac:dyDescent="0.3">
      <c r="A13" s="307" t="s">
        <v>26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8"/>
      <c r="N13" s="26"/>
    </row>
    <row r="14" spans="1:16" ht="31.5" customHeight="1" thickBot="1" x14ac:dyDescent="0.3">
      <c r="A14" s="260" t="s">
        <v>27</v>
      </c>
      <c r="B14" s="262"/>
      <c r="C14" s="28"/>
      <c r="D14" s="310" t="str">
        <f ca="1">(INDIRECT("GENERAL!J"&amp;P2+5))</f>
        <v>QUIMICA/UNIVERSIDAD DE ANTIOQUIA 2008</v>
      </c>
      <c r="E14" s="311"/>
      <c r="F14" s="311"/>
      <c r="G14" s="311"/>
      <c r="H14" s="311"/>
      <c r="I14" s="311"/>
      <c r="J14" s="311"/>
      <c r="K14" s="311"/>
      <c r="L14" s="312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13" t="s">
        <v>28</v>
      </c>
      <c r="B16" s="314"/>
      <c r="C16" s="8"/>
      <c r="D16" s="34"/>
      <c r="E16" s="321" t="str">
        <f ca="1">(INDIRECT("GENERAL!K"&amp;P2+5))</f>
        <v>NO REGISTRA</v>
      </c>
      <c r="F16" s="322"/>
      <c r="G16" s="322"/>
      <c r="H16" s="322"/>
      <c r="I16" s="322"/>
      <c r="J16" s="322"/>
      <c r="K16" s="322"/>
      <c r="L16" s="32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13" t="s">
        <v>29</v>
      </c>
      <c r="B18" s="314"/>
      <c r="C18" s="28"/>
      <c r="D18" s="155"/>
      <c r="E18" s="322" t="str">
        <f ca="1">(INDIRECT("GENERAL!L"&amp;P2+5))</f>
        <v>NO REGISTRA</v>
      </c>
      <c r="F18" s="322"/>
      <c r="G18" s="322"/>
      <c r="H18" s="322"/>
      <c r="I18" s="322"/>
      <c r="J18" s="322"/>
      <c r="K18" s="322"/>
      <c r="L18" s="32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13" t="s">
        <v>30</v>
      </c>
      <c r="B20" s="314"/>
      <c r="C20" s="28"/>
      <c r="D20" s="318" t="str">
        <f ca="1">(INDIRECT("GENERAL!M"&amp;P2+5))</f>
        <v>DOCTORA EN CIENCIAS QUIMICAS UNIVERSIDAD DE ANTIOQUIA/2013</v>
      </c>
      <c r="E20" s="319"/>
      <c r="F20" s="319"/>
      <c r="G20" s="319"/>
      <c r="H20" s="319"/>
      <c r="I20" s="319"/>
      <c r="J20" s="319"/>
      <c r="K20" s="319"/>
      <c r="L20" s="320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304" t="s">
        <v>31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6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307" t="s">
        <v>32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9"/>
      <c r="M24" s="8"/>
      <c r="N24" s="40"/>
    </row>
    <row r="25" spans="1:17" ht="68.25" customHeight="1" thickBot="1" x14ac:dyDescent="0.3">
      <c r="A25" s="260" t="s">
        <v>33</v>
      </c>
      <c r="B25" s="262"/>
      <c r="C25" s="28"/>
      <c r="D25" s="310"/>
      <c r="E25" s="311"/>
      <c r="F25" s="311"/>
      <c r="G25" s="311"/>
      <c r="H25" s="311"/>
      <c r="I25" s="311"/>
      <c r="J25" s="311"/>
      <c r="K25" s="311"/>
      <c r="L25" s="312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304" t="s">
        <v>34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307" t="s">
        <v>35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9"/>
      <c r="M29" s="45"/>
      <c r="N29" s="40"/>
    </row>
    <row r="30" spans="1:17" ht="35.25" customHeight="1" thickBot="1" x14ac:dyDescent="0.3">
      <c r="A30" s="260" t="s">
        <v>36</v>
      </c>
      <c r="B30" s="262"/>
      <c r="C30" s="28"/>
      <c r="D30" s="310"/>
      <c r="E30" s="311"/>
      <c r="F30" s="311"/>
      <c r="G30" s="311"/>
      <c r="H30" s="311"/>
      <c r="I30" s="311"/>
      <c r="J30" s="311"/>
      <c r="K30" s="311"/>
      <c r="L30" s="312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304" t="s">
        <v>37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307" t="s">
        <v>38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9"/>
      <c r="M34" s="8"/>
      <c r="N34" s="40"/>
    </row>
    <row r="35" spans="1:14" ht="39.75" customHeight="1" thickBot="1" x14ac:dyDescent="0.3">
      <c r="A35" s="313" t="s">
        <v>39</v>
      </c>
      <c r="B35" s="314"/>
      <c r="C35" s="28"/>
      <c r="D35" s="310"/>
      <c r="E35" s="311"/>
      <c r="F35" s="311"/>
      <c r="G35" s="311"/>
      <c r="H35" s="311"/>
      <c r="I35" s="311"/>
      <c r="J35" s="311"/>
      <c r="K35" s="311"/>
      <c r="L35" s="312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304" t="s">
        <v>40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15" t="s">
        <v>23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7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55" t="s">
        <v>42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98" t="s">
        <v>43</v>
      </c>
      <c r="B57" s="299"/>
      <c r="C57" s="299"/>
      <c r="D57" s="299"/>
      <c r="E57" s="299"/>
      <c r="F57" s="302"/>
      <c r="G57" s="303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7" t="s">
        <v>49</v>
      </c>
      <c r="C58" s="287"/>
      <c r="D58" s="287"/>
      <c r="E58" s="287"/>
      <c r="F58" s="288"/>
      <c r="G58" s="28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5" t="s">
        <v>51</v>
      </c>
      <c r="C59" s="289"/>
      <c r="D59" s="289"/>
      <c r="E59" s="28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9" t="s">
        <v>52</v>
      </c>
      <c r="C60" s="289"/>
      <c r="D60" s="289"/>
      <c r="E60" s="28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9" t="s">
        <v>54</v>
      </c>
      <c r="C61" s="289"/>
      <c r="D61" s="289"/>
      <c r="E61" s="28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9" t="s">
        <v>55</v>
      </c>
      <c r="C62" s="289"/>
      <c r="D62" s="289"/>
      <c r="E62" s="28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9" t="s">
        <v>56</v>
      </c>
      <c r="C63" s="289"/>
      <c r="D63" s="289"/>
      <c r="E63" s="28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90" t="s">
        <v>58</v>
      </c>
      <c r="C64" s="290"/>
      <c r="D64" s="290"/>
      <c r="E64" s="290"/>
      <c r="F64" s="259"/>
      <c r="G64" s="25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98" t="s">
        <v>61</v>
      </c>
      <c r="B68" s="299"/>
      <c r="C68" s="299"/>
      <c r="D68" s="299"/>
      <c r="E68" s="299"/>
      <c r="F68" s="299"/>
      <c r="G68" s="300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301" t="s">
        <v>62</v>
      </c>
      <c r="C69" s="301"/>
      <c r="D69" s="301"/>
      <c r="E69" s="301"/>
      <c r="F69" s="288"/>
      <c r="G69" s="28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58" t="s">
        <v>65</v>
      </c>
      <c r="C71" s="258"/>
      <c r="D71" s="258"/>
      <c r="E71" s="258"/>
      <c r="F71" s="259"/>
      <c r="G71" s="25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261"/>
      <c r="D72" s="261"/>
      <c r="E72" s="261"/>
      <c r="F72" s="261"/>
      <c r="G72" s="26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63" t="s">
        <v>67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5"/>
      <c r="L73" s="82"/>
      <c r="M73" s="45"/>
      <c r="N73" s="77">
        <f>N72/3</f>
        <v>0</v>
      </c>
    </row>
    <row r="74" spans="1:14" ht="19.5" thickTop="1" thickBot="1" x14ac:dyDescent="0.3">
      <c r="A74" s="266"/>
      <c r="B74" s="267"/>
      <c r="C74" s="267"/>
      <c r="D74" s="267"/>
      <c r="E74" s="267"/>
      <c r="F74" s="267"/>
      <c r="G74" s="267"/>
      <c r="H74" s="267"/>
      <c r="I74" s="267"/>
      <c r="J74" s="268"/>
      <c r="K74" s="268"/>
      <c r="L74" s="82"/>
      <c r="M74" s="45"/>
      <c r="N74" s="159"/>
    </row>
    <row r="75" spans="1:14" ht="26.25" thickBot="1" x14ac:dyDescent="0.3">
      <c r="A75" s="269" t="s">
        <v>68</v>
      </c>
      <c r="B75" s="270"/>
      <c r="C75" s="270"/>
      <c r="D75" s="270"/>
      <c r="E75" s="270"/>
      <c r="F75" s="270"/>
      <c r="G75" s="271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72" t="s">
        <v>69</v>
      </c>
      <c r="C76" s="272"/>
      <c r="D76" s="272"/>
      <c r="E76" s="272"/>
      <c r="F76" s="273"/>
      <c r="G76" s="27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27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58" t="s">
        <v>71</v>
      </c>
      <c r="C78" s="258"/>
      <c r="D78" s="258"/>
      <c r="E78" s="258"/>
      <c r="F78" s="259"/>
      <c r="G78" s="27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79" t="s">
        <v>72</v>
      </c>
      <c r="B79" s="280"/>
      <c r="C79" s="280"/>
      <c r="D79" s="280"/>
      <c r="E79" s="280"/>
      <c r="F79" s="280"/>
      <c r="G79" s="280"/>
      <c r="H79" s="28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82" t="s">
        <v>73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85"/>
      <c r="F81" s="285"/>
      <c r="G81" s="285"/>
      <c r="H81" s="285"/>
      <c r="I81" s="285"/>
      <c r="J81" s="285"/>
      <c r="K81" s="285"/>
      <c r="L81" s="285"/>
      <c r="M81" s="285"/>
      <c r="N81" s="28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55" t="s">
        <v>74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38" t="s">
        <v>75</v>
      </c>
      <c r="B85" s="239"/>
      <c r="C85" s="239"/>
      <c r="D85" s="239"/>
      <c r="E85" s="239"/>
      <c r="F85" s="240"/>
      <c r="G85" s="241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42" t="s">
        <v>76</v>
      </c>
      <c r="C86" s="243"/>
      <c r="D86" s="243"/>
      <c r="E86" s="243"/>
      <c r="F86" s="244"/>
      <c r="G86" s="24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46" t="s">
        <v>78</v>
      </c>
      <c r="B88" s="247"/>
      <c r="C88" s="247"/>
      <c r="D88" s="247"/>
      <c r="E88" s="247"/>
      <c r="F88" s="247"/>
      <c r="G88" s="247"/>
      <c r="H88" s="247"/>
      <c r="I88" s="247"/>
      <c r="J88" s="24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49" t="s">
        <v>79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52" t="s">
        <v>23</v>
      </c>
      <c r="B92" s="253"/>
      <c r="C92" s="253"/>
      <c r="D92" s="253"/>
      <c r="E92" s="253"/>
      <c r="F92" s="253"/>
      <c r="G92" s="253"/>
      <c r="H92" s="253"/>
      <c r="I92" s="253"/>
      <c r="J92" s="254"/>
      <c r="K92" s="111"/>
      <c r="L92" s="111"/>
      <c r="M92" s="112"/>
      <c r="N92" s="113">
        <f>N40</f>
        <v>0</v>
      </c>
    </row>
    <row r="93" spans="1:14" ht="18" x14ac:dyDescent="0.25">
      <c r="A93" s="229" t="s">
        <v>80</v>
      </c>
      <c r="B93" s="230"/>
      <c r="C93" s="230"/>
      <c r="D93" s="230"/>
      <c r="E93" s="230"/>
      <c r="F93" s="230"/>
      <c r="G93" s="230"/>
      <c r="H93" s="230"/>
      <c r="I93" s="230"/>
      <c r="J93" s="231"/>
      <c r="K93" s="111"/>
      <c r="L93" s="111"/>
      <c r="M93" s="112"/>
      <c r="N93" s="114">
        <f>N66</f>
        <v>0</v>
      </c>
    </row>
    <row r="94" spans="1:14" ht="18" x14ac:dyDescent="0.25">
      <c r="A94" s="229" t="s">
        <v>81</v>
      </c>
      <c r="B94" s="230"/>
      <c r="C94" s="230"/>
      <c r="D94" s="230"/>
      <c r="E94" s="230"/>
      <c r="F94" s="230"/>
      <c r="G94" s="230"/>
      <c r="H94" s="230"/>
      <c r="I94" s="230"/>
      <c r="J94" s="231"/>
      <c r="K94" s="111"/>
      <c r="L94" s="111"/>
      <c r="M94" s="112"/>
      <c r="N94" s="115">
        <f>N73</f>
        <v>0</v>
      </c>
    </row>
    <row r="95" spans="1:14" ht="18" x14ac:dyDescent="0.25">
      <c r="A95" s="229" t="s">
        <v>82</v>
      </c>
      <c r="B95" s="230"/>
      <c r="C95" s="230"/>
      <c r="D95" s="230"/>
      <c r="E95" s="230"/>
      <c r="F95" s="230"/>
      <c r="G95" s="230"/>
      <c r="H95" s="230"/>
      <c r="I95" s="230"/>
      <c r="J95" s="231"/>
      <c r="K95" s="111"/>
      <c r="L95" s="111"/>
      <c r="M95" s="112"/>
      <c r="N95" s="116">
        <f>N80</f>
        <v>0</v>
      </c>
    </row>
    <row r="96" spans="1:14" ht="18.75" thickBot="1" x14ac:dyDescent="0.3">
      <c r="A96" s="232" t="s">
        <v>83</v>
      </c>
      <c r="B96" s="233"/>
      <c r="C96" s="233"/>
      <c r="D96" s="233"/>
      <c r="E96" s="233"/>
      <c r="F96" s="233"/>
      <c r="G96" s="233"/>
      <c r="H96" s="233"/>
      <c r="I96" s="233"/>
      <c r="J96" s="23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35" t="s">
        <v>84</v>
      </c>
      <c r="B97" s="236"/>
      <c r="C97" s="236"/>
      <c r="D97" s="236"/>
      <c r="E97" s="236"/>
      <c r="F97" s="236"/>
      <c r="G97" s="236"/>
      <c r="H97" s="236"/>
      <c r="I97" s="236"/>
      <c r="J97" s="237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8"/>
  <sheetViews>
    <sheetView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47"/>
      <c r="B1" s="348"/>
      <c r="C1" s="351" t="s">
        <v>9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</row>
    <row r="2" spans="1:16" ht="51" customHeight="1" thickBot="1" x14ac:dyDescent="0.3">
      <c r="A2" s="349"/>
      <c r="B2" s="350"/>
      <c r="C2" s="351" t="s">
        <v>10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P2" s="161">
        <f ca="1">MATCH(MID(CELL("nombrearchivo",'1'!E9),FIND("]", CELL("nombrearchivo",'1'!E9),1)+1,LEN(CELL("nombrearchivo",'1'!E9))-FIND("]",CELL("nombrearchivo",'1'!E9),1)),GENERAL!A6:A54,0)</f>
        <v>7</v>
      </c>
    </row>
    <row r="3" spans="1:16" ht="15.75" x14ac:dyDescent="0.25">
      <c r="A3" s="354" t="s">
        <v>11</v>
      </c>
      <c r="B3" s="355"/>
      <c r="C3" s="355"/>
      <c r="D3" s="355"/>
      <c r="E3" s="7" t="str">
        <f>GENERAL!Z$2</f>
        <v>PLANTA</v>
      </c>
      <c r="F3" s="356"/>
      <c r="G3" s="356"/>
      <c r="H3" s="356"/>
      <c r="I3" s="356"/>
      <c r="J3" s="356"/>
      <c r="K3" s="356"/>
      <c r="L3" s="356"/>
      <c r="M3" s="356"/>
      <c r="N3" s="357"/>
    </row>
    <row r="4" spans="1:16" ht="15.75" x14ac:dyDescent="0.25">
      <c r="A4" s="324" t="s">
        <v>12</v>
      </c>
      <c r="B4" s="325"/>
      <c r="C4" s="325"/>
      <c r="D4" s="325"/>
      <c r="E4" s="8" t="str">
        <f>GENERAL!A$2</f>
        <v>C-P-07-4</v>
      </c>
      <c r="F4" s="345"/>
      <c r="G4" s="345"/>
      <c r="H4" s="345"/>
      <c r="I4" s="345"/>
      <c r="J4" s="345"/>
      <c r="K4" s="345"/>
      <c r="L4" s="345"/>
      <c r="M4" s="345"/>
      <c r="N4" s="346"/>
    </row>
    <row r="5" spans="1:16" ht="15.75" x14ac:dyDescent="0.25">
      <c r="A5" s="324" t="s">
        <v>13</v>
      </c>
      <c r="B5" s="325"/>
      <c r="C5" s="325"/>
      <c r="D5" s="325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6" x14ac:dyDescent="0.25">
      <c r="A8" s="326" t="s">
        <v>15</v>
      </c>
      <c r="B8" s="327"/>
      <c r="C8" s="330" t="s">
        <v>16</v>
      </c>
      <c r="D8" s="164"/>
      <c r="E8" s="332" t="s">
        <v>17</v>
      </c>
      <c r="F8" s="332" t="s">
        <v>18</v>
      </c>
      <c r="G8" s="332" t="s">
        <v>19</v>
      </c>
      <c r="H8" s="332" t="s">
        <v>20</v>
      </c>
      <c r="I8" s="332" t="s">
        <v>21</v>
      </c>
      <c r="J8" s="334" t="s">
        <v>22</v>
      </c>
      <c r="K8" s="165"/>
      <c r="L8" s="336"/>
      <c r="M8" s="336"/>
      <c r="N8" s="338" t="s">
        <v>23</v>
      </c>
    </row>
    <row r="9" spans="1:16" ht="31.5" customHeight="1" thickBot="1" x14ac:dyDescent="0.3">
      <c r="A9" s="328"/>
      <c r="B9" s="329"/>
      <c r="C9" s="331"/>
      <c r="D9" s="17"/>
      <c r="E9" s="333"/>
      <c r="F9" s="333"/>
      <c r="G9" s="333"/>
      <c r="H9" s="333"/>
      <c r="I9" s="333"/>
      <c r="J9" s="335"/>
      <c r="K9" s="166"/>
      <c r="L9" s="337"/>
      <c r="M9" s="337"/>
      <c r="N9" s="339"/>
    </row>
    <row r="10" spans="1:16" ht="44.25" customHeight="1" thickBot="1" x14ac:dyDescent="0.3">
      <c r="A10" s="340" t="str">
        <f ca="1">CONCATENATE((INDIRECT("GENERAL!D"&amp;P2+5))," ",((INDIRECT("GENERAL!E"&amp;P2+5))))</f>
        <v>VARGAS DELGADILLO DIANA PAOLA</v>
      </c>
      <c r="B10" s="341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3</v>
      </c>
      <c r="H10" s="21">
        <f>N27</f>
        <v>5</v>
      </c>
      <c r="I10" s="21">
        <f>N32</f>
        <v>2.6500000000000004</v>
      </c>
      <c r="J10" s="22">
        <f>N37</f>
        <v>10</v>
      </c>
      <c r="K10" s="23"/>
      <c r="L10" s="23"/>
      <c r="M10" s="23"/>
      <c r="N10" s="24">
        <f>IF( SUM(C10:J10)&lt;=30,SUM(C10:J10),"EXCEDE LOS 30 PUNTOS")</f>
        <v>27.65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42" t="s">
        <v>24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27" t="s">
        <v>25</v>
      </c>
    </row>
    <row r="13" spans="1:16" ht="24" thickBot="1" x14ac:dyDescent="0.3">
      <c r="A13" s="307" t="s">
        <v>26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8"/>
      <c r="N13" s="26"/>
    </row>
    <row r="14" spans="1:16" ht="31.5" customHeight="1" thickBot="1" x14ac:dyDescent="0.3">
      <c r="A14" s="260" t="s">
        <v>27</v>
      </c>
      <c r="B14" s="262"/>
      <c r="C14" s="28"/>
      <c r="D14" s="310" t="str">
        <f ca="1">(INDIRECT("GENERAL!J"&amp;P2+5))</f>
        <v>LICENCIADA EN QUIMICA/UNIVERSIDAD PEDAGOGICA NACIONAL/2007</v>
      </c>
      <c r="E14" s="311"/>
      <c r="F14" s="311"/>
      <c r="G14" s="311"/>
      <c r="H14" s="311"/>
      <c r="I14" s="311"/>
      <c r="J14" s="311"/>
      <c r="K14" s="311"/>
      <c r="L14" s="31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13" t="s">
        <v>28</v>
      </c>
      <c r="B16" s="314"/>
      <c r="C16" s="8"/>
      <c r="D16" s="34"/>
      <c r="E16" s="321" t="str">
        <f ca="1">(INDIRECT("GENERAL!K"&amp;P2+5))</f>
        <v>NO REGISTRA</v>
      </c>
      <c r="F16" s="322"/>
      <c r="G16" s="322"/>
      <c r="H16" s="322"/>
      <c r="I16" s="322"/>
      <c r="J16" s="322"/>
      <c r="K16" s="322"/>
      <c r="L16" s="323"/>
      <c r="M16" s="29"/>
      <c r="N16" s="30"/>
    </row>
    <row r="17" spans="1:19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9" ht="34.5" customHeight="1" thickBot="1" x14ac:dyDescent="0.3">
      <c r="A18" s="313" t="s">
        <v>29</v>
      </c>
      <c r="B18" s="314"/>
      <c r="C18" s="28"/>
      <c r="D18" s="163"/>
      <c r="E18" s="322" t="str">
        <f ca="1">(INDIRECT("GENERAL!L"&amp;P2+5))</f>
        <v>MAGISTER EN CIENCIAS QUIMICA/UNIVERSIDAD NACIONAL DE COLOMBIA/2009</v>
      </c>
      <c r="F18" s="322"/>
      <c r="G18" s="322"/>
      <c r="H18" s="322"/>
      <c r="I18" s="322"/>
      <c r="J18" s="322"/>
      <c r="K18" s="322"/>
      <c r="L18" s="323"/>
      <c r="M18" s="29"/>
      <c r="N18" s="30">
        <v>3</v>
      </c>
    </row>
    <row r="19" spans="1:19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9" ht="54" customHeight="1" thickBot="1" x14ac:dyDescent="0.3">
      <c r="A20" s="313" t="s">
        <v>30</v>
      </c>
      <c r="B20" s="314"/>
      <c r="C20" s="28"/>
      <c r="D20" s="318" t="str">
        <f ca="1">(INDIRECT("GENERAL!M"&amp;P2+5))</f>
        <v>DOCTORA EN CIENCIAS QUIMICAS/UNIVERSIDAD NACIONAL/ PENDIENTE CEREMONIA DE GRADUACION</v>
      </c>
      <c r="E20" s="319"/>
      <c r="F20" s="319"/>
      <c r="G20" s="319"/>
      <c r="H20" s="319"/>
      <c r="I20" s="319"/>
      <c r="J20" s="319"/>
      <c r="K20" s="319"/>
      <c r="L20" s="320"/>
      <c r="M20" s="29"/>
      <c r="N20" s="30">
        <v>3</v>
      </c>
    </row>
    <row r="21" spans="1:19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9" ht="19.5" thickTop="1" thickBot="1" x14ac:dyDescent="0.3">
      <c r="A22" s="304" t="s">
        <v>31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6"/>
      <c r="M22" s="8"/>
      <c r="N22" s="160">
        <f>IF( SUM(N14:N20)&lt;=10,SUM(N14:N20),"EXCEDE LOS 10 PUNTOS VALIDOS")</f>
        <v>10</v>
      </c>
    </row>
    <row r="23" spans="1:19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9" ht="24" thickBot="1" x14ac:dyDescent="0.3">
      <c r="A24" s="307" t="s">
        <v>32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9"/>
      <c r="M24" s="8"/>
      <c r="N24" s="40"/>
    </row>
    <row r="25" spans="1:19" ht="78.75" customHeight="1" thickBot="1" x14ac:dyDescent="0.3">
      <c r="A25" s="260" t="s">
        <v>33</v>
      </c>
      <c r="B25" s="262"/>
      <c r="C25" s="28"/>
      <c r="D25" s="310" t="s">
        <v>204</v>
      </c>
      <c r="E25" s="311"/>
      <c r="F25" s="311"/>
      <c r="G25" s="311"/>
      <c r="H25" s="311"/>
      <c r="I25" s="311"/>
      <c r="J25" s="311"/>
      <c r="K25" s="311"/>
      <c r="L25" s="312"/>
      <c r="M25" s="29"/>
      <c r="N25" s="30">
        <v>5</v>
      </c>
      <c r="P25" s="43"/>
      <c r="Q25" s="43"/>
    </row>
    <row r="26" spans="1:19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  <c r="Q26" s="43"/>
      <c r="R26" s="43"/>
    </row>
    <row r="27" spans="1:19" ht="19.5" thickTop="1" thickBot="1" x14ac:dyDescent="0.3">
      <c r="A27" s="304" t="s">
        <v>34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162"/>
      <c r="N27" s="160">
        <f>IF(N25&lt;=5,N25,"EXCEDE LOS 5 PUNTOS PERMITIDOS")</f>
        <v>5</v>
      </c>
      <c r="P27" s="43"/>
      <c r="Q27" s="43"/>
      <c r="R27" s="43"/>
      <c r="S27" s="43"/>
    </row>
    <row r="28" spans="1:19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9" ht="24" thickBot="1" x14ac:dyDescent="0.3">
      <c r="A29" s="307" t="s">
        <v>35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9"/>
      <c r="M29" s="45"/>
      <c r="N29" s="40"/>
    </row>
    <row r="30" spans="1:19" ht="70.5" customHeight="1" thickBot="1" x14ac:dyDescent="0.3">
      <c r="A30" s="260" t="s">
        <v>36</v>
      </c>
      <c r="B30" s="262"/>
      <c r="C30" s="28"/>
      <c r="D30" s="310" t="s">
        <v>205</v>
      </c>
      <c r="E30" s="311"/>
      <c r="F30" s="311"/>
      <c r="G30" s="311"/>
      <c r="H30" s="311"/>
      <c r="I30" s="311"/>
      <c r="J30" s="311"/>
      <c r="K30" s="311"/>
      <c r="L30" s="312"/>
      <c r="M30" s="29"/>
      <c r="N30" s="30">
        <f>1.06+1.59</f>
        <v>2.6500000000000004</v>
      </c>
    </row>
    <row r="31" spans="1:19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9" ht="19.5" thickTop="1" thickBot="1" x14ac:dyDescent="0.3">
      <c r="A32" s="304" t="s">
        <v>37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162"/>
      <c r="N32" s="160">
        <f>IF(N30&lt;=5,N30,"EXCEDE LOS 5 PUNTOS PERMITIDOS")</f>
        <v>2.6500000000000004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307" t="s">
        <v>38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9"/>
      <c r="M34" s="8"/>
      <c r="N34" s="40"/>
    </row>
    <row r="35" spans="1:14" ht="143.25" customHeight="1" thickBot="1" x14ac:dyDescent="0.3">
      <c r="A35" s="313" t="s">
        <v>39</v>
      </c>
      <c r="B35" s="314"/>
      <c r="C35" s="28"/>
      <c r="D35" s="310" t="s">
        <v>206</v>
      </c>
      <c r="E35" s="311"/>
      <c r="F35" s="311"/>
      <c r="G35" s="311"/>
      <c r="H35" s="311"/>
      <c r="I35" s="311"/>
      <c r="J35" s="311"/>
      <c r="K35" s="311"/>
      <c r="L35" s="312"/>
      <c r="M35" s="29"/>
      <c r="N35" s="30">
        <v>10</v>
      </c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304" t="s">
        <v>40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162"/>
      <c r="N37" s="160">
        <f>IF(N35&lt;=10,N35,"EXCEDE LOS 10 PUNTOS PERMITIDOS")</f>
        <v>10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15" t="s">
        <v>23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7"/>
      <c r="M40" s="48"/>
      <c r="N40" s="49">
        <f>IF((N22+N27+N32+N37)&lt;=30,(N22+N27+N32+N37),"ERROR EXCEDE LOS 30 PUNTOS")</f>
        <v>27.65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55" t="s">
        <v>42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98" t="s">
        <v>43</v>
      </c>
      <c r="B57" s="299"/>
      <c r="C57" s="299"/>
      <c r="D57" s="299"/>
      <c r="E57" s="299"/>
      <c r="F57" s="302"/>
      <c r="G57" s="303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7" t="s">
        <v>49</v>
      </c>
      <c r="C58" s="287"/>
      <c r="D58" s="287"/>
      <c r="E58" s="287"/>
      <c r="F58" s="288"/>
      <c r="G58" s="28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5" t="s">
        <v>51</v>
      </c>
      <c r="C59" s="289"/>
      <c r="D59" s="289"/>
      <c r="E59" s="28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9" t="s">
        <v>52</v>
      </c>
      <c r="C60" s="289"/>
      <c r="D60" s="289"/>
      <c r="E60" s="28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9" t="s">
        <v>54</v>
      </c>
      <c r="C61" s="289"/>
      <c r="D61" s="289"/>
      <c r="E61" s="28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9" t="s">
        <v>55</v>
      </c>
      <c r="C62" s="289"/>
      <c r="D62" s="289"/>
      <c r="E62" s="28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9" t="s">
        <v>56</v>
      </c>
      <c r="C63" s="289"/>
      <c r="D63" s="289"/>
      <c r="E63" s="28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90" t="s">
        <v>58</v>
      </c>
      <c r="C64" s="290"/>
      <c r="D64" s="290"/>
      <c r="E64" s="290"/>
      <c r="F64" s="259"/>
      <c r="G64" s="25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98" t="s">
        <v>61</v>
      </c>
      <c r="B68" s="299"/>
      <c r="C68" s="299"/>
      <c r="D68" s="299"/>
      <c r="E68" s="299"/>
      <c r="F68" s="299"/>
      <c r="G68" s="300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301" t="s">
        <v>62</v>
      </c>
      <c r="C69" s="301"/>
      <c r="D69" s="301"/>
      <c r="E69" s="301"/>
      <c r="F69" s="288"/>
      <c r="G69" s="28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58" t="s">
        <v>65</v>
      </c>
      <c r="C71" s="258"/>
      <c r="D71" s="258"/>
      <c r="E71" s="258"/>
      <c r="F71" s="259"/>
      <c r="G71" s="25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261"/>
      <c r="D72" s="261"/>
      <c r="E72" s="261"/>
      <c r="F72" s="261"/>
      <c r="G72" s="26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63" t="s">
        <v>67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5"/>
      <c r="L73" s="82"/>
      <c r="M73" s="45"/>
      <c r="N73" s="77">
        <f>N72/3</f>
        <v>0</v>
      </c>
    </row>
    <row r="74" spans="1:14" ht="19.5" thickTop="1" thickBot="1" x14ac:dyDescent="0.3">
      <c r="A74" s="266"/>
      <c r="B74" s="267"/>
      <c r="C74" s="267"/>
      <c r="D74" s="267"/>
      <c r="E74" s="267"/>
      <c r="F74" s="267"/>
      <c r="G74" s="267"/>
      <c r="H74" s="267"/>
      <c r="I74" s="267"/>
      <c r="J74" s="268"/>
      <c r="K74" s="268"/>
      <c r="L74" s="82"/>
      <c r="M74" s="45"/>
      <c r="N74" s="167"/>
    </row>
    <row r="75" spans="1:14" ht="26.25" thickBot="1" x14ac:dyDescent="0.3">
      <c r="A75" s="269" t="s">
        <v>68</v>
      </c>
      <c r="B75" s="270"/>
      <c r="C75" s="270"/>
      <c r="D75" s="270"/>
      <c r="E75" s="270"/>
      <c r="F75" s="270"/>
      <c r="G75" s="271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72" t="s">
        <v>69</v>
      </c>
      <c r="C76" s="272"/>
      <c r="D76" s="272"/>
      <c r="E76" s="272"/>
      <c r="F76" s="273"/>
      <c r="G76" s="27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27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58" t="s">
        <v>71</v>
      </c>
      <c r="C78" s="258"/>
      <c r="D78" s="258"/>
      <c r="E78" s="258"/>
      <c r="F78" s="259"/>
      <c r="G78" s="27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79" t="s">
        <v>72</v>
      </c>
      <c r="B79" s="280"/>
      <c r="C79" s="280"/>
      <c r="D79" s="280"/>
      <c r="E79" s="280"/>
      <c r="F79" s="280"/>
      <c r="G79" s="280"/>
      <c r="H79" s="28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82" t="s">
        <v>73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85"/>
      <c r="F81" s="285"/>
      <c r="G81" s="285"/>
      <c r="H81" s="285"/>
      <c r="I81" s="285"/>
      <c r="J81" s="285"/>
      <c r="K81" s="285"/>
      <c r="L81" s="285"/>
      <c r="M81" s="285"/>
      <c r="N81" s="28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55" t="s">
        <v>74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38" t="s">
        <v>75</v>
      </c>
      <c r="B85" s="239"/>
      <c r="C85" s="239"/>
      <c r="D85" s="239"/>
      <c r="E85" s="239"/>
      <c r="F85" s="240"/>
      <c r="G85" s="241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42" t="s">
        <v>76</v>
      </c>
      <c r="C86" s="243"/>
      <c r="D86" s="243"/>
      <c r="E86" s="243"/>
      <c r="F86" s="244"/>
      <c r="G86" s="24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46" t="s">
        <v>78</v>
      </c>
      <c r="B88" s="247"/>
      <c r="C88" s="247"/>
      <c r="D88" s="247"/>
      <c r="E88" s="247"/>
      <c r="F88" s="247"/>
      <c r="G88" s="247"/>
      <c r="H88" s="247"/>
      <c r="I88" s="247"/>
      <c r="J88" s="24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49" t="s">
        <v>79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52" t="s">
        <v>23</v>
      </c>
      <c r="B92" s="253"/>
      <c r="C92" s="253"/>
      <c r="D92" s="253"/>
      <c r="E92" s="253"/>
      <c r="F92" s="253"/>
      <c r="G92" s="253"/>
      <c r="H92" s="253"/>
      <c r="I92" s="253"/>
      <c r="J92" s="254"/>
      <c r="K92" s="111"/>
      <c r="L92" s="111"/>
      <c r="M92" s="112"/>
      <c r="N92" s="113">
        <f>N40</f>
        <v>27.65</v>
      </c>
    </row>
    <row r="93" spans="1:14" ht="18" x14ac:dyDescent="0.25">
      <c r="A93" s="229" t="s">
        <v>80</v>
      </c>
      <c r="B93" s="230"/>
      <c r="C93" s="230"/>
      <c r="D93" s="230"/>
      <c r="E93" s="230"/>
      <c r="F93" s="230"/>
      <c r="G93" s="230"/>
      <c r="H93" s="230"/>
      <c r="I93" s="230"/>
      <c r="J93" s="231"/>
      <c r="K93" s="111"/>
      <c r="L93" s="111"/>
      <c r="M93" s="112"/>
      <c r="N93" s="114">
        <f>N66</f>
        <v>0</v>
      </c>
    </row>
    <row r="94" spans="1:14" ht="18" x14ac:dyDescent="0.25">
      <c r="A94" s="229" t="s">
        <v>81</v>
      </c>
      <c r="B94" s="230"/>
      <c r="C94" s="230"/>
      <c r="D94" s="230"/>
      <c r="E94" s="230"/>
      <c r="F94" s="230"/>
      <c r="G94" s="230"/>
      <c r="H94" s="230"/>
      <c r="I94" s="230"/>
      <c r="J94" s="231"/>
      <c r="K94" s="111"/>
      <c r="L94" s="111"/>
      <c r="M94" s="112"/>
      <c r="N94" s="115">
        <f>N73</f>
        <v>0</v>
      </c>
    </row>
    <row r="95" spans="1:14" ht="18" x14ac:dyDescent="0.25">
      <c r="A95" s="229" t="s">
        <v>82</v>
      </c>
      <c r="B95" s="230"/>
      <c r="C95" s="230"/>
      <c r="D95" s="230"/>
      <c r="E95" s="230"/>
      <c r="F95" s="230"/>
      <c r="G95" s="230"/>
      <c r="H95" s="230"/>
      <c r="I95" s="230"/>
      <c r="J95" s="231"/>
      <c r="K95" s="111"/>
      <c r="L95" s="111"/>
      <c r="M95" s="112"/>
      <c r="N95" s="116">
        <f>N80</f>
        <v>0</v>
      </c>
    </row>
    <row r="96" spans="1:14" ht="18.75" thickBot="1" x14ac:dyDescent="0.3">
      <c r="A96" s="232" t="s">
        <v>83</v>
      </c>
      <c r="B96" s="233"/>
      <c r="C96" s="233"/>
      <c r="D96" s="233"/>
      <c r="E96" s="233"/>
      <c r="F96" s="233"/>
      <c r="G96" s="233"/>
      <c r="H96" s="233"/>
      <c r="I96" s="233"/>
      <c r="J96" s="23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35" t="s">
        <v>84</v>
      </c>
      <c r="B97" s="236"/>
      <c r="C97" s="236"/>
      <c r="D97" s="236"/>
      <c r="E97" s="236"/>
      <c r="F97" s="236"/>
      <c r="G97" s="236"/>
      <c r="H97" s="236"/>
      <c r="I97" s="236"/>
      <c r="J97" s="237"/>
      <c r="K97" s="117"/>
      <c r="L97" s="118"/>
      <c r="M97" s="119"/>
      <c r="N97" s="120">
        <f>SUM(N92:N96)</f>
        <v>27.65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RuL1eXad32vxDw+/cxHF6zdHD1m56PSUg5Lwbe3ygS8Ht2XXmIrHqjquB+Rlzpd6+keKLBmLHoTaaBfsMrRCrw==" saltValue="zqwkcfHedABJnfg5uHAFRw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35433070866141736" bottom="0.35433070866141736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8"/>
  <sheetViews>
    <sheetView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47"/>
      <c r="B1" s="348"/>
      <c r="C1" s="351" t="s">
        <v>9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</row>
    <row r="2" spans="1:16" ht="51" customHeight="1" thickBot="1" x14ac:dyDescent="0.3">
      <c r="A2" s="349"/>
      <c r="B2" s="350"/>
      <c r="C2" s="351" t="s">
        <v>10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P2" s="161">
        <f ca="1">MATCH(MID(CELL("nombrearchivo",'2'!E9),FIND("]", CELL("nombrearchivo",'2'!E9),1)+1,LEN(CELL("nombrearchivo",'2'!E9))-FIND("]",CELL("nombrearchivo",'2'!E9),1)),GENERAL!A6:A54,0)</f>
        <v>2</v>
      </c>
    </row>
    <row r="3" spans="1:16" ht="15.75" x14ac:dyDescent="0.25">
      <c r="A3" s="354" t="s">
        <v>11</v>
      </c>
      <c r="B3" s="355"/>
      <c r="C3" s="355"/>
      <c r="D3" s="355"/>
      <c r="E3" s="7" t="str">
        <f>GENERAL!Z$2</f>
        <v>PLANTA</v>
      </c>
      <c r="F3" s="356"/>
      <c r="G3" s="356"/>
      <c r="H3" s="356"/>
      <c r="I3" s="356"/>
      <c r="J3" s="356"/>
      <c r="K3" s="356"/>
      <c r="L3" s="356"/>
      <c r="M3" s="356"/>
      <c r="N3" s="357"/>
    </row>
    <row r="4" spans="1:16" ht="15.75" x14ac:dyDescent="0.25">
      <c r="A4" s="324" t="s">
        <v>12</v>
      </c>
      <c r="B4" s="325"/>
      <c r="C4" s="325"/>
      <c r="D4" s="325"/>
      <c r="E4" s="8" t="str">
        <f>GENERAL!A$2</f>
        <v>C-P-07-4</v>
      </c>
      <c r="F4" s="345"/>
      <c r="G4" s="345"/>
      <c r="H4" s="345"/>
      <c r="I4" s="345"/>
      <c r="J4" s="345"/>
      <c r="K4" s="345"/>
      <c r="L4" s="345"/>
      <c r="M4" s="345"/>
      <c r="N4" s="346"/>
    </row>
    <row r="5" spans="1:16" ht="15.75" x14ac:dyDescent="0.25">
      <c r="A5" s="324" t="s">
        <v>13</v>
      </c>
      <c r="B5" s="325"/>
      <c r="C5" s="325"/>
      <c r="D5" s="325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6" x14ac:dyDescent="0.25">
      <c r="A8" s="326" t="s">
        <v>15</v>
      </c>
      <c r="B8" s="327"/>
      <c r="C8" s="330" t="s">
        <v>16</v>
      </c>
      <c r="D8" s="156"/>
      <c r="E8" s="332" t="s">
        <v>17</v>
      </c>
      <c r="F8" s="332" t="s">
        <v>18</v>
      </c>
      <c r="G8" s="332" t="s">
        <v>19</v>
      </c>
      <c r="H8" s="332" t="s">
        <v>20</v>
      </c>
      <c r="I8" s="332" t="s">
        <v>21</v>
      </c>
      <c r="J8" s="334" t="s">
        <v>22</v>
      </c>
      <c r="K8" s="157"/>
      <c r="L8" s="336"/>
      <c r="M8" s="336"/>
      <c r="N8" s="338" t="s">
        <v>23</v>
      </c>
    </row>
    <row r="9" spans="1:16" ht="31.5" customHeight="1" thickBot="1" x14ac:dyDescent="0.3">
      <c r="A9" s="328"/>
      <c r="B9" s="329"/>
      <c r="C9" s="331"/>
      <c r="D9" s="17"/>
      <c r="E9" s="333"/>
      <c r="F9" s="333"/>
      <c r="G9" s="333"/>
      <c r="H9" s="333"/>
      <c r="I9" s="333"/>
      <c r="J9" s="335"/>
      <c r="K9" s="158"/>
      <c r="L9" s="337"/>
      <c r="M9" s="337"/>
      <c r="N9" s="339"/>
    </row>
    <row r="10" spans="1:16" ht="44.25" customHeight="1" thickBot="1" x14ac:dyDescent="0.3">
      <c r="A10" s="340" t="str">
        <f ca="1">CONCATENATE((INDIRECT("GENERAL!D"&amp;P2+5))," ",((INDIRECT("GENERAL!E"&amp;P2+5))))</f>
        <v>MACIAS LOPEZ MARIO ALBERTO</v>
      </c>
      <c r="B10" s="341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3</v>
      </c>
      <c r="H10" s="21">
        <f>N27</f>
        <v>4.1099999999999994</v>
      </c>
      <c r="I10" s="21">
        <f>N32</f>
        <v>1.41</v>
      </c>
      <c r="J10" s="22">
        <f>N37</f>
        <v>10</v>
      </c>
      <c r="K10" s="23"/>
      <c r="L10" s="23"/>
      <c r="M10" s="23"/>
      <c r="N10" s="24">
        <f>IF( SUM(C10:J10)&lt;=30,SUM(C10:J10),"EXCEDE LOS 30 PUNTOS")</f>
        <v>25.52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42" t="s">
        <v>24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27" t="s">
        <v>25</v>
      </c>
    </row>
    <row r="13" spans="1:16" ht="24" thickBot="1" x14ac:dyDescent="0.3">
      <c r="A13" s="307" t="s">
        <v>26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8"/>
      <c r="N13" s="26"/>
    </row>
    <row r="14" spans="1:16" ht="31.5" customHeight="1" thickBot="1" x14ac:dyDescent="0.3">
      <c r="A14" s="260" t="s">
        <v>27</v>
      </c>
      <c r="B14" s="262"/>
      <c r="C14" s="28"/>
      <c r="D14" s="310" t="str">
        <f ca="1">(INDIRECT("GENERAL!J"&amp;P2+5))</f>
        <v>QUÍMICO/UNIVERSIDAD INDUSTRIAL DE SANTANDER /2006</v>
      </c>
      <c r="E14" s="311"/>
      <c r="F14" s="311"/>
      <c r="G14" s="311"/>
      <c r="H14" s="311"/>
      <c r="I14" s="311"/>
      <c r="J14" s="311"/>
      <c r="K14" s="311"/>
      <c r="L14" s="31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13" t="s">
        <v>28</v>
      </c>
      <c r="B16" s="314"/>
      <c r="C16" s="8"/>
      <c r="D16" s="34"/>
      <c r="E16" s="321" t="str">
        <f ca="1">(INDIRECT("GENERAL!K"&amp;P2+5))</f>
        <v>NO REGISTRA</v>
      </c>
      <c r="F16" s="322"/>
      <c r="G16" s="322"/>
      <c r="H16" s="322"/>
      <c r="I16" s="322"/>
      <c r="J16" s="322"/>
      <c r="K16" s="322"/>
      <c r="L16" s="323"/>
      <c r="M16" s="29"/>
      <c r="N16" s="30">
        <v>0</v>
      </c>
    </row>
    <row r="17" spans="1:19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9" ht="34.5" customHeight="1" thickBot="1" x14ac:dyDescent="0.3">
      <c r="A18" s="313" t="s">
        <v>29</v>
      </c>
      <c r="B18" s="314"/>
      <c r="C18" s="28"/>
      <c r="D18" s="155"/>
      <c r="E18" s="322" t="str">
        <f ca="1">(INDIRECT("GENERAL!L"&amp;P2+5))</f>
        <v>MAGISTER EN QUIMICA /UNIVERSIDAD INDUSTRIAL DE SANTANDER /2009</v>
      </c>
      <c r="F18" s="322"/>
      <c r="G18" s="322"/>
      <c r="H18" s="322"/>
      <c r="I18" s="322"/>
      <c r="J18" s="322"/>
      <c r="K18" s="322"/>
      <c r="L18" s="323"/>
      <c r="M18" s="29"/>
      <c r="N18" s="30">
        <v>3</v>
      </c>
    </row>
    <row r="19" spans="1:19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9" ht="54" customHeight="1" thickBot="1" x14ac:dyDescent="0.3">
      <c r="A20" s="313" t="s">
        <v>30</v>
      </c>
      <c r="B20" s="314"/>
      <c r="C20" s="28"/>
      <c r="D20" s="318" t="str">
        <f ca="1">(INDIRECT("GENERAL!M"&amp;P2+5))</f>
        <v>DOCTOR EN QUÍMICA/UNIVERSIDAD INDUSTRIAL DE SANTANDER (PENDIENTE DE CEREMONIA DE GRADO)</v>
      </c>
      <c r="E20" s="319"/>
      <c r="F20" s="319"/>
      <c r="G20" s="319"/>
      <c r="H20" s="319"/>
      <c r="I20" s="319"/>
      <c r="J20" s="319"/>
      <c r="K20" s="319"/>
      <c r="L20" s="320"/>
      <c r="M20" s="29"/>
      <c r="N20" s="30">
        <v>3</v>
      </c>
    </row>
    <row r="21" spans="1:19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9" ht="19.5" thickTop="1" thickBot="1" x14ac:dyDescent="0.3">
      <c r="A22" s="304" t="s">
        <v>31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6"/>
      <c r="M22" s="8"/>
      <c r="N22" s="160">
        <f>IF( SUM(N14:N20)&lt;=10,SUM(N14:N20),"EXCEDE LOS 10 PUNTOS VALIDOS")</f>
        <v>10</v>
      </c>
      <c r="Q22" s="6">
        <f>677/480</f>
        <v>1.4104166666666667</v>
      </c>
    </row>
    <row r="23" spans="1:19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9" ht="24" thickBot="1" x14ac:dyDescent="0.3">
      <c r="A24" s="307" t="s">
        <v>32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9"/>
      <c r="M24" s="8"/>
      <c r="N24" s="40"/>
      <c r="Q24" s="43"/>
      <c r="R24" s="43"/>
    </row>
    <row r="25" spans="1:19" ht="178.5" customHeight="1" thickBot="1" x14ac:dyDescent="0.3">
      <c r="A25" s="260" t="s">
        <v>33</v>
      </c>
      <c r="B25" s="262"/>
      <c r="C25" s="28"/>
      <c r="D25" s="310" t="s">
        <v>183</v>
      </c>
      <c r="E25" s="311"/>
      <c r="F25" s="311"/>
      <c r="G25" s="311"/>
      <c r="H25" s="311"/>
      <c r="I25" s="311"/>
      <c r="J25" s="311"/>
      <c r="K25" s="311"/>
      <c r="L25" s="312"/>
      <c r="M25" s="29"/>
      <c r="N25" s="30">
        <f>0.97+0.66+1.88+0.5+0.1</f>
        <v>4.1099999999999994</v>
      </c>
      <c r="P25" s="43"/>
      <c r="Q25" s="43"/>
    </row>
    <row r="26" spans="1:19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9" ht="19.5" thickTop="1" thickBot="1" x14ac:dyDescent="0.3">
      <c r="A27" s="304" t="s">
        <v>34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154"/>
      <c r="N27" s="160">
        <f>IF(N25&lt;=5,N25,"EXCEDE LOS 5 PUNTOS PERMITIDOS")</f>
        <v>4.1099999999999994</v>
      </c>
      <c r="P27" s="43"/>
      <c r="Q27" s="43"/>
      <c r="S27" s="6">
        <f>85+85+85+108+88+70+86+70</f>
        <v>677</v>
      </c>
    </row>
    <row r="28" spans="1:19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9" ht="24" thickBot="1" x14ac:dyDescent="0.3">
      <c r="A29" s="307" t="s">
        <v>35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9"/>
      <c r="M29" s="45"/>
      <c r="N29" s="40"/>
    </row>
    <row r="30" spans="1:19" ht="35.25" customHeight="1" thickBot="1" x14ac:dyDescent="0.3">
      <c r="A30" s="260" t="s">
        <v>36</v>
      </c>
      <c r="B30" s="262"/>
      <c r="C30" s="28"/>
      <c r="D30" s="310" t="s">
        <v>184</v>
      </c>
      <c r="E30" s="311"/>
      <c r="F30" s="311"/>
      <c r="G30" s="311"/>
      <c r="H30" s="311"/>
      <c r="I30" s="311"/>
      <c r="J30" s="311"/>
      <c r="K30" s="311"/>
      <c r="L30" s="312"/>
      <c r="M30" s="29"/>
      <c r="N30" s="30">
        <v>1.41</v>
      </c>
    </row>
    <row r="31" spans="1:19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9" ht="19.5" thickTop="1" thickBot="1" x14ac:dyDescent="0.3">
      <c r="A32" s="304" t="s">
        <v>37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154"/>
      <c r="N32" s="160">
        <f>IF(N30&lt;=5,N30,"EXCEDE LOS 5 PUNTOS PERMITIDOS")</f>
        <v>1.41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307" t="s">
        <v>38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9"/>
      <c r="M34" s="8"/>
      <c r="N34" s="40"/>
    </row>
    <row r="35" spans="1:14" ht="193.5" customHeight="1" thickBot="1" x14ac:dyDescent="0.3">
      <c r="A35" s="313" t="s">
        <v>39</v>
      </c>
      <c r="B35" s="314"/>
      <c r="C35" s="28"/>
      <c r="D35" s="310" t="s">
        <v>185</v>
      </c>
      <c r="E35" s="311"/>
      <c r="F35" s="311"/>
      <c r="G35" s="311"/>
      <c r="H35" s="311"/>
      <c r="I35" s="311"/>
      <c r="J35" s="311"/>
      <c r="K35" s="311"/>
      <c r="L35" s="312"/>
      <c r="M35" s="29"/>
      <c r="N35" s="30">
        <v>10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304" t="s">
        <v>40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154"/>
      <c r="N37" s="160">
        <f>IF(N35&lt;=10,N35,"EXCEDE LOS 10 PUNTOS PERMITIDOS")</f>
        <v>10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15" t="s">
        <v>23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7"/>
      <c r="M40" s="48"/>
      <c r="N40" s="49">
        <f>IF((N22+N27+N32+N37)&lt;=30,(N22+N27+N32+N37),"ERROR EXCEDE LOS 30 PUNTOS")</f>
        <v>25.52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55" t="s">
        <v>42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98" t="s">
        <v>43</v>
      </c>
      <c r="B57" s="299"/>
      <c r="C57" s="299"/>
      <c r="D57" s="299"/>
      <c r="E57" s="299"/>
      <c r="F57" s="302"/>
      <c r="G57" s="303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2.5" customHeight="1" thickTop="1" thickBot="1" x14ac:dyDescent="0.3">
      <c r="A58" s="58">
        <v>1</v>
      </c>
      <c r="B58" s="287" t="s">
        <v>49</v>
      </c>
      <c r="C58" s="287"/>
      <c r="D58" s="287"/>
      <c r="E58" s="287"/>
      <c r="F58" s="288"/>
      <c r="G58" s="28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39" customHeight="1" thickTop="1" thickBot="1" x14ac:dyDescent="0.3">
      <c r="A59" s="63">
        <v>2</v>
      </c>
      <c r="B59" s="275" t="s">
        <v>51</v>
      </c>
      <c r="C59" s="289"/>
      <c r="D59" s="289"/>
      <c r="E59" s="28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9" customHeight="1" thickTop="1" thickBot="1" x14ac:dyDescent="0.3">
      <c r="A60" s="63">
        <v>3</v>
      </c>
      <c r="B60" s="289" t="s">
        <v>52</v>
      </c>
      <c r="C60" s="289"/>
      <c r="D60" s="289"/>
      <c r="E60" s="28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9" customHeight="1" thickTop="1" thickBot="1" x14ac:dyDescent="0.3">
      <c r="A61" s="63">
        <v>4</v>
      </c>
      <c r="B61" s="289" t="s">
        <v>54</v>
      </c>
      <c r="C61" s="289"/>
      <c r="D61" s="289"/>
      <c r="E61" s="28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9" customHeight="1" thickTop="1" thickBot="1" x14ac:dyDescent="0.3">
      <c r="A62" s="63">
        <v>5</v>
      </c>
      <c r="B62" s="289" t="s">
        <v>55</v>
      </c>
      <c r="C62" s="289"/>
      <c r="D62" s="289"/>
      <c r="E62" s="28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9" customHeight="1" thickTop="1" thickBot="1" x14ac:dyDescent="0.3">
      <c r="A63" s="63">
        <v>6</v>
      </c>
      <c r="B63" s="289" t="s">
        <v>56</v>
      </c>
      <c r="C63" s="289"/>
      <c r="D63" s="289"/>
      <c r="E63" s="28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9" customHeight="1" thickTop="1" thickBot="1" x14ac:dyDescent="0.3">
      <c r="A64" s="67">
        <v>7</v>
      </c>
      <c r="B64" s="290" t="s">
        <v>58</v>
      </c>
      <c r="C64" s="290"/>
      <c r="D64" s="290"/>
      <c r="E64" s="290"/>
      <c r="F64" s="259"/>
      <c r="G64" s="25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98" t="s">
        <v>61</v>
      </c>
      <c r="B68" s="299"/>
      <c r="C68" s="299"/>
      <c r="D68" s="299"/>
      <c r="E68" s="299"/>
      <c r="F68" s="299"/>
      <c r="G68" s="300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32.25" customHeight="1" thickTop="1" thickBot="1" x14ac:dyDescent="0.3">
      <c r="A69" s="58">
        <v>1</v>
      </c>
      <c r="B69" s="301" t="s">
        <v>62</v>
      </c>
      <c r="C69" s="301"/>
      <c r="D69" s="301"/>
      <c r="E69" s="301"/>
      <c r="F69" s="288"/>
      <c r="G69" s="28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32.25" customHeight="1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32.25" customHeight="1" thickTop="1" thickBot="1" x14ac:dyDescent="0.3">
      <c r="A71" s="67">
        <v>3</v>
      </c>
      <c r="B71" s="258" t="s">
        <v>65</v>
      </c>
      <c r="C71" s="258"/>
      <c r="D71" s="258"/>
      <c r="E71" s="258"/>
      <c r="F71" s="259"/>
      <c r="G71" s="25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261"/>
      <c r="D72" s="261"/>
      <c r="E72" s="261"/>
      <c r="F72" s="261"/>
      <c r="G72" s="26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63" t="s">
        <v>67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5"/>
      <c r="L73" s="82"/>
      <c r="M73" s="45"/>
      <c r="N73" s="77">
        <f>N72/3</f>
        <v>0</v>
      </c>
    </row>
    <row r="74" spans="1:14" ht="19.5" thickTop="1" thickBot="1" x14ac:dyDescent="0.3">
      <c r="A74" s="266"/>
      <c r="B74" s="267"/>
      <c r="C74" s="267"/>
      <c r="D74" s="267"/>
      <c r="E74" s="267"/>
      <c r="F74" s="267"/>
      <c r="G74" s="267"/>
      <c r="H74" s="267"/>
      <c r="I74" s="267"/>
      <c r="J74" s="268"/>
      <c r="K74" s="268"/>
      <c r="L74" s="82"/>
      <c r="M74" s="45"/>
      <c r="N74" s="159"/>
    </row>
    <row r="75" spans="1:14" ht="26.25" thickBot="1" x14ac:dyDescent="0.3">
      <c r="A75" s="269" t="s">
        <v>68</v>
      </c>
      <c r="B75" s="270"/>
      <c r="C75" s="270"/>
      <c r="D75" s="270"/>
      <c r="E75" s="270"/>
      <c r="F75" s="270"/>
      <c r="G75" s="271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39.75" customHeight="1" thickBot="1" x14ac:dyDescent="0.3">
      <c r="A76" s="95">
        <v>1</v>
      </c>
      <c r="B76" s="272" t="s">
        <v>69</v>
      </c>
      <c r="C76" s="272"/>
      <c r="D76" s="272"/>
      <c r="E76" s="272"/>
      <c r="F76" s="273"/>
      <c r="G76" s="27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9.75" customHeight="1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27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9.75" customHeight="1" thickBot="1" x14ac:dyDescent="0.3">
      <c r="A78" s="67">
        <v>3</v>
      </c>
      <c r="B78" s="258" t="s">
        <v>71</v>
      </c>
      <c r="C78" s="258"/>
      <c r="D78" s="258"/>
      <c r="E78" s="258"/>
      <c r="F78" s="259"/>
      <c r="G78" s="27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79" t="s">
        <v>72</v>
      </c>
      <c r="B79" s="280"/>
      <c r="C79" s="280"/>
      <c r="D79" s="280"/>
      <c r="E79" s="280"/>
      <c r="F79" s="280"/>
      <c r="G79" s="280"/>
      <c r="H79" s="28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82" t="s">
        <v>73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85"/>
      <c r="F81" s="285"/>
      <c r="G81" s="285"/>
      <c r="H81" s="285"/>
      <c r="I81" s="285"/>
      <c r="J81" s="285"/>
      <c r="K81" s="285"/>
      <c r="L81" s="285"/>
      <c r="M81" s="285"/>
      <c r="N81" s="28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55" t="s">
        <v>74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38" t="s">
        <v>75</v>
      </c>
      <c r="B85" s="239"/>
      <c r="C85" s="239"/>
      <c r="D85" s="239"/>
      <c r="E85" s="239"/>
      <c r="F85" s="240"/>
      <c r="G85" s="241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42" t="s">
        <v>76</v>
      </c>
      <c r="C86" s="243"/>
      <c r="D86" s="243"/>
      <c r="E86" s="243"/>
      <c r="F86" s="244"/>
      <c r="G86" s="24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46" t="s">
        <v>78</v>
      </c>
      <c r="B88" s="247"/>
      <c r="C88" s="247"/>
      <c r="D88" s="247"/>
      <c r="E88" s="247"/>
      <c r="F88" s="247"/>
      <c r="G88" s="247"/>
      <c r="H88" s="247"/>
      <c r="I88" s="247"/>
      <c r="J88" s="24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49" t="s">
        <v>79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52" t="s">
        <v>23</v>
      </c>
      <c r="B92" s="253"/>
      <c r="C92" s="253"/>
      <c r="D92" s="253"/>
      <c r="E92" s="253"/>
      <c r="F92" s="253"/>
      <c r="G92" s="253"/>
      <c r="H92" s="253"/>
      <c r="I92" s="253"/>
      <c r="J92" s="254"/>
      <c r="K92" s="111"/>
      <c r="L92" s="111"/>
      <c r="M92" s="112"/>
      <c r="N92" s="113">
        <f>N40</f>
        <v>25.52</v>
      </c>
    </row>
    <row r="93" spans="1:14" ht="18" x14ac:dyDescent="0.25">
      <c r="A93" s="229" t="s">
        <v>80</v>
      </c>
      <c r="B93" s="230"/>
      <c r="C93" s="230"/>
      <c r="D93" s="230"/>
      <c r="E93" s="230"/>
      <c r="F93" s="230"/>
      <c r="G93" s="230"/>
      <c r="H93" s="230"/>
      <c r="I93" s="230"/>
      <c r="J93" s="231"/>
      <c r="K93" s="111"/>
      <c r="L93" s="111"/>
      <c r="M93" s="112"/>
      <c r="N93" s="114">
        <f>N66</f>
        <v>0</v>
      </c>
    </row>
    <row r="94" spans="1:14" ht="18" x14ac:dyDescent="0.25">
      <c r="A94" s="229" t="s">
        <v>81</v>
      </c>
      <c r="B94" s="230"/>
      <c r="C94" s="230"/>
      <c r="D94" s="230"/>
      <c r="E94" s="230"/>
      <c r="F94" s="230"/>
      <c r="G94" s="230"/>
      <c r="H94" s="230"/>
      <c r="I94" s="230"/>
      <c r="J94" s="231"/>
      <c r="K94" s="111"/>
      <c r="L94" s="111"/>
      <c r="M94" s="112"/>
      <c r="N94" s="115">
        <f>N73</f>
        <v>0</v>
      </c>
    </row>
    <row r="95" spans="1:14" ht="18" x14ac:dyDescent="0.25">
      <c r="A95" s="229" t="s">
        <v>82</v>
      </c>
      <c r="B95" s="230"/>
      <c r="C95" s="230"/>
      <c r="D95" s="230"/>
      <c r="E95" s="230"/>
      <c r="F95" s="230"/>
      <c r="G95" s="230"/>
      <c r="H95" s="230"/>
      <c r="I95" s="230"/>
      <c r="J95" s="231"/>
      <c r="K95" s="111"/>
      <c r="L95" s="111"/>
      <c r="M95" s="112"/>
      <c r="N95" s="116">
        <f>N80</f>
        <v>0</v>
      </c>
    </row>
    <row r="96" spans="1:14" ht="18.75" thickBot="1" x14ac:dyDescent="0.3">
      <c r="A96" s="232" t="s">
        <v>83</v>
      </c>
      <c r="B96" s="233"/>
      <c r="C96" s="233"/>
      <c r="D96" s="233"/>
      <c r="E96" s="233"/>
      <c r="F96" s="233"/>
      <c r="G96" s="233"/>
      <c r="H96" s="233"/>
      <c r="I96" s="233"/>
      <c r="J96" s="23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35" t="s">
        <v>84</v>
      </c>
      <c r="B97" s="236"/>
      <c r="C97" s="236"/>
      <c r="D97" s="236"/>
      <c r="E97" s="236"/>
      <c r="F97" s="236"/>
      <c r="G97" s="236"/>
      <c r="H97" s="236"/>
      <c r="I97" s="236"/>
      <c r="J97" s="237"/>
      <c r="K97" s="117"/>
      <c r="L97" s="118"/>
      <c r="M97" s="119"/>
      <c r="N97" s="120">
        <f>SUM(N92:N96)</f>
        <v>25.52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qRjjtUy5GiUcDHTaLhZO3yOOdYBeeXSLYRemaiihjpk8xCRQO5CRPqti4TTUD27SzE9su5GItWusFPALgvyH1A==" saltValue="sm2oen1hTTthb8CXb0cg4A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15748031496062992" bottom="0.15748031496062992" header="0" footer="0"/>
  <pageSetup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9.57031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47"/>
      <c r="B1" s="348"/>
      <c r="C1" s="351" t="s">
        <v>9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</row>
    <row r="2" spans="1:16" ht="51" customHeight="1" thickBot="1" x14ac:dyDescent="0.3">
      <c r="A2" s="349"/>
      <c r="B2" s="350"/>
      <c r="C2" s="351" t="s">
        <v>10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P2" s="161">
        <f ca="1">MATCH(MID(CELL("nombrearchivo",'3'!E9),FIND("]", CELL("nombrearchivo",'3'!E9),1)+1,LEN(CELL("nombrearchivo",'3'!E9))-FIND("]",CELL("nombrearchivo",'3'!E9),1)),GENERAL!A6:A54,0)</f>
        <v>9</v>
      </c>
    </row>
    <row r="3" spans="1:16" ht="15.75" x14ac:dyDescent="0.25">
      <c r="A3" s="354" t="s">
        <v>11</v>
      </c>
      <c r="B3" s="355"/>
      <c r="C3" s="355"/>
      <c r="D3" s="355"/>
      <c r="E3" s="7" t="str">
        <f>GENERAL!Z$2</f>
        <v>PLANTA</v>
      </c>
      <c r="F3" s="356"/>
      <c r="G3" s="356"/>
      <c r="H3" s="356"/>
      <c r="I3" s="356"/>
      <c r="J3" s="356"/>
      <c r="K3" s="356"/>
      <c r="L3" s="356"/>
      <c r="M3" s="356"/>
      <c r="N3" s="357"/>
    </row>
    <row r="4" spans="1:16" ht="15.75" x14ac:dyDescent="0.25">
      <c r="A4" s="324" t="s">
        <v>12</v>
      </c>
      <c r="B4" s="325"/>
      <c r="C4" s="325"/>
      <c r="D4" s="325"/>
      <c r="E4" s="8" t="str">
        <f>GENERAL!A$2</f>
        <v>C-P-07-4</v>
      </c>
      <c r="F4" s="345"/>
      <c r="G4" s="345"/>
      <c r="H4" s="345"/>
      <c r="I4" s="345"/>
      <c r="J4" s="345"/>
      <c r="K4" s="345"/>
      <c r="L4" s="345"/>
      <c r="M4" s="345"/>
      <c r="N4" s="346"/>
    </row>
    <row r="5" spans="1:16" ht="15.75" x14ac:dyDescent="0.25">
      <c r="A5" s="324" t="s">
        <v>13</v>
      </c>
      <c r="B5" s="325"/>
      <c r="C5" s="325"/>
      <c r="D5" s="325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6" x14ac:dyDescent="0.25">
      <c r="A8" s="326" t="s">
        <v>15</v>
      </c>
      <c r="B8" s="327"/>
      <c r="C8" s="330" t="s">
        <v>16</v>
      </c>
      <c r="D8" s="168"/>
      <c r="E8" s="332" t="s">
        <v>17</v>
      </c>
      <c r="F8" s="332" t="s">
        <v>18</v>
      </c>
      <c r="G8" s="332" t="s">
        <v>19</v>
      </c>
      <c r="H8" s="332" t="s">
        <v>20</v>
      </c>
      <c r="I8" s="332" t="s">
        <v>21</v>
      </c>
      <c r="J8" s="334" t="s">
        <v>22</v>
      </c>
      <c r="K8" s="169"/>
      <c r="L8" s="336"/>
      <c r="M8" s="336"/>
      <c r="N8" s="338" t="s">
        <v>23</v>
      </c>
    </row>
    <row r="9" spans="1:16" ht="31.5" customHeight="1" thickBot="1" x14ac:dyDescent="0.3">
      <c r="A9" s="328"/>
      <c r="B9" s="329"/>
      <c r="C9" s="331"/>
      <c r="D9" s="17"/>
      <c r="E9" s="333"/>
      <c r="F9" s="333"/>
      <c r="G9" s="333"/>
      <c r="H9" s="333"/>
      <c r="I9" s="333"/>
      <c r="J9" s="335"/>
      <c r="K9" s="170"/>
      <c r="L9" s="337"/>
      <c r="M9" s="337"/>
      <c r="N9" s="339"/>
    </row>
    <row r="10" spans="1:16" ht="44.25" customHeight="1" thickBot="1" x14ac:dyDescent="0.3">
      <c r="A10" s="340" t="str">
        <f ca="1">CONCATENATE((INDIRECT("GENERAL!D"&amp;P2+5))," ",((INDIRECT("GENERAL!E"&amp;P2+5))))</f>
        <v>CASTRO SALAZAR HANS THIELIN</v>
      </c>
      <c r="B10" s="341"/>
      <c r="C10" s="19">
        <f>N14</f>
        <v>4</v>
      </c>
      <c r="D10" s="20"/>
      <c r="E10" s="21">
        <f>N16</f>
        <v>0</v>
      </c>
      <c r="F10" s="21">
        <f>N18</f>
        <v>0</v>
      </c>
      <c r="G10" s="21">
        <f>N20</f>
        <v>6</v>
      </c>
      <c r="H10" s="21">
        <f>N27</f>
        <v>1.23</v>
      </c>
      <c r="I10" s="21">
        <f>N32</f>
        <v>5</v>
      </c>
      <c r="J10" s="22">
        <f>N37</f>
        <v>6.5</v>
      </c>
      <c r="K10" s="23"/>
      <c r="L10" s="23"/>
      <c r="M10" s="23"/>
      <c r="N10" s="24">
        <f>IF( SUM(C10:J10)&lt;=30,SUM(C10:J10),"EXCEDE LOS 30 PUNTOS")</f>
        <v>22.73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42" t="s">
        <v>24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27" t="s">
        <v>25</v>
      </c>
    </row>
    <row r="13" spans="1:16" ht="24" thickBot="1" x14ac:dyDescent="0.3">
      <c r="A13" s="307" t="s">
        <v>26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8"/>
      <c r="N13" s="26"/>
    </row>
    <row r="14" spans="1:16" ht="31.5" customHeight="1" thickBot="1" x14ac:dyDescent="0.3">
      <c r="A14" s="260" t="s">
        <v>27</v>
      </c>
      <c r="B14" s="262"/>
      <c r="C14" s="28"/>
      <c r="D14" s="310" t="str">
        <f ca="1">(INDIRECT("GENERAL!J"&amp;P2+5))</f>
        <v>QUIMICO/UNIVERSIDAD INDUSTRIAL DE SANTANDER/2002</v>
      </c>
      <c r="E14" s="311"/>
      <c r="F14" s="311"/>
      <c r="G14" s="311"/>
      <c r="H14" s="311"/>
      <c r="I14" s="311"/>
      <c r="J14" s="311"/>
      <c r="K14" s="311"/>
      <c r="L14" s="31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13" t="s">
        <v>28</v>
      </c>
      <c r="B16" s="314"/>
      <c r="C16" s="8"/>
      <c r="D16" s="34"/>
      <c r="E16" s="321" t="str">
        <f ca="1">(INDIRECT("GENERAL!K"&amp;P2+5))</f>
        <v>NO REGISTRA</v>
      </c>
      <c r="F16" s="322"/>
      <c r="G16" s="322"/>
      <c r="H16" s="322"/>
      <c r="I16" s="322"/>
      <c r="J16" s="322"/>
      <c r="K16" s="322"/>
      <c r="L16" s="323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13" t="s">
        <v>29</v>
      </c>
      <c r="B18" s="314"/>
      <c r="C18" s="28"/>
      <c r="D18" s="172"/>
      <c r="E18" s="322" t="str">
        <f ca="1">(INDIRECT("GENERAL!L"&amp;P2+5))</f>
        <v>NO REGISTRA</v>
      </c>
      <c r="F18" s="322"/>
      <c r="G18" s="322"/>
      <c r="H18" s="322"/>
      <c r="I18" s="322"/>
      <c r="J18" s="322"/>
      <c r="K18" s="322"/>
      <c r="L18" s="323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13" t="s">
        <v>30</v>
      </c>
      <c r="B20" s="314"/>
      <c r="C20" s="28"/>
      <c r="D20" s="318" t="str">
        <f ca="1">(INDIRECT("GENERAL!M"&amp;P2+5))</f>
        <v>DOCTOR EN QUIMICA/UNIVERSIDAD INDUSTRIAL DE SANTANDER/2010</v>
      </c>
      <c r="E20" s="319"/>
      <c r="F20" s="319"/>
      <c r="G20" s="319"/>
      <c r="H20" s="319"/>
      <c r="I20" s="319"/>
      <c r="J20" s="319"/>
      <c r="K20" s="319"/>
      <c r="L20" s="320"/>
      <c r="M20" s="29"/>
      <c r="N20" s="30">
        <v>6</v>
      </c>
    </row>
    <row r="21" spans="1:17" ht="16.5" thickBot="1" x14ac:dyDescent="0.3">
      <c r="A21" s="36"/>
      <c r="B21" s="37"/>
      <c r="C21" s="173"/>
      <c r="D21" s="39"/>
      <c r="E21" s="39"/>
      <c r="F21" s="39"/>
      <c r="G21" s="39"/>
      <c r="H21" s="39"/>
      <c r="I21" s="39"/>
      <c r="J21" s="39"/>
      <c r="K21" s="39"/>
      <c r="L21" s="39"/>
      <c r="M21" s="173"/>
      <c r="N21" s="40"/>
    </row>
    <row r="22" spans="1:17" ht="19.5" thickTop="1" thickBot="1" x14ac:dyDescent="0.3">
      <c r="A22" s="304" t="s">
        <v>31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6"/>
      <c r="M22" s="8"/>
      <c r="N22" s="160">
        <f>IF( SUM(N14:N20)&lt;=10,SUM(N14:N20),"EXCEDE LOS 10 PUNTOS VALIDOS")</f>
        <v>10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307" t="s">
        <v>32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9"/>
      <c r="M24" s="8"/>
      <c r="N24" s="40"/>
    </row>
    <row r="25" spans="1:17" ht="99.75" customHeight="1" thickBot="1" x14ac:dyDescent="0.3">
      <c r="A25" s="260" t="s">
        <v>33</v>
      </c>
      <c r="B25" s="262"/>
      <c r="C25" s="28"/>
      <c r="D25" s="310" t="s">
        <v>207</v>
      </c>
      <c r="E25" s="311"/>
      <c r="F25" s="311"/>
      <c r="G25" s="311"/>
      <c r="H25" s="311"/>
      <c r="I25" s="311"/>
      <c r="J25" s="311"/>
      <c r="K25" s="311"/>
      <c r="L25" s="312"/>
      <c r="M25" s="29"/>
      <c r="N25" s="30">
        <f>0.16+0.49+0.58</f>
        <v>1.23</v>
      </c>
      <c r="P25" s="43"/>
      <c r="Q25" s="43"/>
    </row>
    <row r="26" spans="1:17" ht="16.5" thickBot="1" x14ac:dyDescent="0.3">
      <c r="A26" s="36"/>
      <c r="B26" s="37"/>
      <c r="C26" s="173"/>
      <c r="D26" s="39"/>
      <c r="E26" s="39"/>
      <c r="F26" s="39"/>
      <c r="G26" s="39"/>
      <c r="H26" s="39"/>
      <c r="I26" s="39"/>
      <c r="J26" s="39"/>
      <c r="K26" s="39"/>
      <c r="L26" s="39"/>
      <c r="M26" s="173"/>
      <c r="N26" s="40"/>
    </row>
    <row r="27" spans="1:17" ht="19.5" thickTop="1" thickBot="1" x14ac:dyDescent="0.3">
      <c r="A27" s="304" t="s">
        <v>34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173"/>
      <c r="N27" s="160">
        <f>IF(N25&lt;=5,N25,"EXCEDE LOS 5 PUNTOS PERMITIDOS")</f>
        <v>1.23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307" t="s">
        <v>35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9"/>
      <c r="M29" s="45"/>
      <c r="N29" s="40"/>
    </row>
    <row r="30" spans="1:17" ht="193.5" customHeight="1" thickBot="1" x14ac:dyDescent="0.3">
      <c r="A30" s="260" t="s">
        <v>36</v>
      </c>
      <c r="B30" s="262"/>
      <c r="C30" s="28"/>
      <c r="D30" s="310" t="s">
        <v>208</v>
      </c>
      <c r="E30" s="311"/>
      <c r="F30" s="311"/>
      <c r="G30" s="311"/>
      <c r="H30" s="311"/>
      <c r="I30" s="311"/>
      <c r="J30" s="311"/>
      <c r="K30" s="311"/>
      <c r="L30" s="312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304" t="s">
        <v>37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173"/>
      <c r="N32" s="160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307" t="s">
        <v>38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9"/>
      <c r="M34" s="8"/>
      <c r="N34" s="40"/>
    </row>
    <row r="35" spans="1:14" ht="128.25" customHeight="1" thickBot="1" x14ac:dyDescent="0.3">
      <c r="A35" s="313" t="s">
        <v>39</v>
      </c>
      <c r="B35" s="314"/>
      <c r="C35" s="28"/>
      <c r="D35" s="310" t="s">
        <v>209</v>
      </c>
      <c r="E35" s="311"/>
      <c r="F35" s="311"/>
      <c r="G35" s="311"/>
      <c r="H35" s="311"/>
      <c r="I35" s="311"/>
      <c r="J35" s="311"/>
      <c r="K35" s="311"/>
      <c r="L35" s="312"/>
      <c r="M35" s="29"/>
      <c r="N35" s="30">
        <f>2+4+0.5</f>
        <v>6.5</v>
      </c>
    </row>
    <row r="36" spans="1:14" ht="16.5" thickBot="1" x14ac:dyDescent="0.3">
      <c r="A36" s="36"/>
      <c r="B36" s="37"/>
      <c r="C36" s="173"/>
      <c r="D36" s="39"/>
      <c r="E36" s="39"/>
      <c r="F36" s="39"/>
      <c r="G36" s="39"/>
      <c r="H36" s="39"/>
      <c r="I36" s="39"/>
      <c r="J36" s="39"/>
      <c r="K36" s="39"/>
      <c r="L36" s="39"/>
      <c r="M36" s="173"/>
      <c r="N36" s="40"/>
    </row>
    <row r="37" spans="1:14" ht="19.5" thickTop="1" thickBot="1" x14ac:dyDescent="0.3">
      <c r="A37" s="304" t="s">
        <v>40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173"/>
      <c r="N37" s="160">
        <f>IF(N35&lt;=10,N35,"EXCEDE LOS 10 PUNTOS PERMITIDOS")</f>
        <v>6.5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15" t="s">
        <v>23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7"/>
      <c r="M40" s="48"/>
      <c r="N40" s="49">
        <f>IF((N22+N27+N32+N37)&lt;=30,(N22+N27+N32+N37),"ERROR EXCEDE LOS 30 PUNTOS")</f>
        <v>22.73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55" t="s">
        <v>42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98" t="s">
        <v>43</v>
      </c>
      <c r="B57" s="299"/>
      <c r="C57" s="299"/>
      <c r="D57" s="299"/>
      <c r="E57" s="299"/>
      <c r="F57" s="302"/>
      <c r="G57" s="303"/>
      <c r="H57" s="53" t="s">
        <v>44</v>
      </c>
      <c r="I57" s="54" t="s">
        <v>45</v>
      </c>
      <c r="J57" s="55" t="s">
        <v>46</v>
      </c>
      <c r="K57" s="56" t="s">
        <v>47</v>
      </c>
      <c r="L57" s="169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7" t="s">
        <v>49</v>
      </c>
      <c r="C58" s="287"/>
      <c r="D58" s="287"/>
      <c r="E58" s="287"/>
      <c r="F58" s="288"/>
      <c r="G58" s="28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5" t="s">
        <v>51</v>
      </c>
      <c r="C59" s="289"/>
      <c r="D59" s="289"/>
      <c r="E59" s="28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9" t="s">
        <v>52</v>
      </c>
      <c r="C60" s="289"/>
      <c r="D60" s="289"/>
      <c r="E60" s="28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9" t="s">
        <v>54</v>
      </c>
      <c r="C61" s="289"/>
      <c r="D61" s="289"/>
      <c r="E61" s="28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9" t="s">
        <v>55</v>
      </c>
      <c r="C62" s="289"/>
      <c r="D62" s="289"/>
      <c r="E62" s="28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9" t="s">
        <v>56</v>
      </c>
      <c r="C63" s="289"/>
      <c r="D63" s="289"/>
      <c r="E63" s="28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90" t="s">
        <v>58</v>
      </c>
      <c r="C64" s="290"/>
      <c r="D64" s="290"/>
      <c r="E64" s="290"/>
      <c r="F64" s="259"/>
      <c r="G64" s="25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98" t="s">
        <v>61</v>
      </c>
      <c r="B68" s="299"/>
      <c r="C68" s="299"/>
      <c r="D68" s="299"/>
      <c r="E68" s="299"/>
      <c r="F68" s="299"/>
      <c r="G68" s="300"/>
      <c r="H68" s="78" t="s">
        <v>44</v>
      </c>
      <c r="I68" s="54" t="s">
        <v>45</v>
      </c>
      <c r="J68" s="55" t="s">
        <v>46</v>
      </c>
      <c r="K68" s="56" t="s">
        <v>47</v>
      </c>
      <c r="L68" s="169"/>
      <c r="M68" s="8"/>
      <c r="N68" s="57" t="s">
        <v>48</v>
      </c>
    </row>
    <row r="69" spans="1:14" ht="17.25" thickTop="1" thickBot="1" x14ac:dyDescent="0.3">
      <c r="A69" s="58">
        <v>1</v>
      </c>
      <c r="B69" s="301" t="s">
        <v>62</v>
      </c>
      <c r="C69" s="301"/>
      <c r="D69" s="301"/>
      <c r="E69" s="301"/>
      <c r="F69" s="288"/>
      <c r="G69" s="28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58" t="s">
        <v>65</v>
      </c>
      <c r="C71" s="258"/>
      <c r="D71" s="258"/>
      <c r="E71" s="258"/>
      <c r="F71" s="259"/>
      <c r="G71" s="25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261"/>
      <c r="D72" s="261"/>
      <c r="E72" s="261"/>
      <c r="F72" s="261"/>
      <c r="G72" s="26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63" t="s">
        <v>67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5"/>
      <c r="L73" s="82"/>
      <c r="M73" s="45"/>
      <c r="N73" s="77">
        <f>N72/3</f>
        <v>0</v>
      </c>
    </row>
    <row r="74" spans="1:14" ht="19.5" thickTop="1" thickBot="1" x14ac:dyDescent="0.3">
      <c r="A74" s="266"/>
      <c r="B74" s="267"/>
      <c r="C74" s="267"/>
      <c r="D74" s="267"/>
      <c r="E74" s="267"/>
      <c r="F74" s="267"/>
      <c r="G74" s="267"/>
      <c r="H74" s="267"/>
      <c r="I74" s="267"/>
      <c r="J74" s="268"/>
      <c r="K74" s="268"/>
      <c r="L74" s="82"/>
      <c r="M74" s="45"/>
      <c r="N74" s="171"/>
    </row>
    <row r="75" spans="1:14" ht="26.25" thickBot="1" x14ac:dyDescent="0.3">
      <c r="A75" s="269" t="s">
        <v>68</v>
      </c>
      <c r="B75" s="270"/>
      <c r="C75" s="270"/>
      <c r="D75" s="270"/>
      <c r="E75" s="270"/>
      <c r="F75" s="270"/>
      <c r="G75" s="271"/>
      <c r="H75" s="93" t="s">
        <v>44</v>
      </c>
      <c r="I75" s="57" t="s">
        <v>45</v>
      </c>
      <c r="J75" s="169"/>
      <c r="K75" s="169"/>
      <c r="L75" s="82"/>
      <c r="M75" s="45"/>
      <c r="N75" s="94" t="s">
        <v>48</v>
      </c>
    </row>
    <row r="76" spans="1:14" ht="16.5" thickBot="1" x14ac:dyDescent="0.3">
      <c r="A76" s="95">
        <v>1</v>
      </c>
      <c r="B76" s="272" t="s">
        <v>69</v>
      </c>
      <c r="C76" s="272"/>
      <c r="D76" s="272"/>
      <c r="E76" s="272"/>
      <c r="F76" s="273"/>
      <c r="G76" s="27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27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58" t="s">
        <v>71</v>
      </c>
      <c r="C78" s="258"/>
      <c r="D78" s="258"/>
      <c r="E78" s="258"/>
      <c r="F78" s="259"/>
      <c r="G78" s="27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79" t="s">
        <v>72</v>
      </c>
      <c r="B79" s="280"/>
      <c r="C79" s="280"/>
      <c r="D79" s="280"/>
      <c r="E79" s="280"/>
      <c r="F79" s="280"/>
      <c r="G79" s="280"/>
      <c r="H79" s="28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82" t="s">
        <v>73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85"/>
      <c r="F81" s="285"/>
      <c r="G81" s="285"/>
      <c r="H81" s="285"/>
      <c r="I81" s="285"/>
      <c r="J81" s="285"/>
      <c r="K81" s="285"/>
      <c r="L81" s="285"/>
      <c r="M81" s="285"/>
      <c r="N81" s="28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55" t="s">
        <v>74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38" t="s">
        <v>75</v>
      </c>
      <c r="B85" s="239"/>
      <c r="C85" s="239"/>
      <c r="D85" s="239"/>
      <c r="E85" s="239"/>
      <c r="F85" s="240"/>
      <c r="G85" s="241"/>
      <c r="H85" s="93" t="s">
        <v>44</v>
      </c>
      <c r="I85" s="16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42" t="s">
        <v>76</v>
      </c>
      <c r="C86" s="243"/>
      <c r="D86" s="243"/>
      <c r="E86" s="243"/>
      <c r="F86" s="244"/>
      <c r="G86" s="24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46" t="s">
        <v>78</v>
      </c>
      <c r="B88" s="247"/>
      <c r="C88" s="247"/>
      <c r="D88" s="247"/>
      <c r="E88" s="247"/>
      <c r="F88" s="247"/>
      <c r="G88" s="247"/>
      <c r="H88" s="247"/>
      <c r="I88" s="247"/>
      <c r="J88" s="24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49" t="s">
        <v>79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52" t="s">
        <v>23</v>
      </c>
      <c r="B92" s="253"/>
      <c r="C92" s="253"/>
      <c r="D92" s="253"/>
      <c r="E92" s="253"/>
      <c r="F92" s="253"/>
      <c r="G92" s="253"/>
      <c r="H92" s="253"/>
      <c r="I92" s="253"/>
      <c r="J92" s="254"/>
      <c r="K92" s="111"/>
      <c r="L92" s="111"/>
      <c r="M92" s="112"/>
      <c r="N92" s="113">
        <f>N40</f>
        <v>22.73</v>
      </c>
    </row>
    <row r="93" spans="1:14" ht="18" x14ac:dyDescent="0.25">
      <c r="A93" s="229" t="s">
        <v>80</v>
      </c>
      <c r="B93" s="230"/>
      <c r="C93" s="230"/>
      <c r="D93" s="230"/>
      <c r="E93" s="230"/>
      <c r="F93" s="230"/>
      <c r="G93" s="230"/>
      <c r="H93" s="230"/>
      <c r="I93" s="230"/>
      <c r="J93" s="231"/>
      <c r="K93" s="111"/>
      <c r="L93" s="111"/>
      <c r="M93" s="112"/>
      <c r="N93" s="114">
        <f>N66</f>
        <v>0</v>
      </c>
    </row>
    <row r="94" spans="1:14" ht="18" x14ac:dyDescent="0.25">
      <c r="A94" s="229" t="s">
        <v>81</v>
      </c>
      <c r="B94" s="230"/>
      <c r="C94" s="230"/>
      <c r="D94" s="230"/>
      <c r="E94" s="230"/>
      <c r="F94" s="230"/>
      <c r="G94" s="230"/>
      <c r="H94" s="230"/>
      <c r="I94" s="230"/>
      <c r="J94" s="231"/>
      <c r="K94" s="111"/>
      <c r="L94" s="111"/>
      <c r="M94" s="112"/>
      <c r="N94" s="115">
        <f>N73</f>
        <v>0</v>
      </c>
    </row>
    <row r="95" spans="1:14" ht="18" x14ac:dyDescent="0.25">
      <c r="A95" s="229" t="s">
        <v>82</v>
      </c>
      <c r="B95" s="230"/>
      <c r="C95" s="230"/>
      <c r="D95" s="230"/>
      <c r="E95" s="230"/>
      <c r="F95" s="230"/>
      <c r="G95" s="230"/>
      <c r="H95" s="230"/>
      <c r="I95" s="230"/>
      <c r="J95" s="231"/>
      <c r="K95" s="111"/>
      <c r="L95" s="111"/>
      <c r="M95" s="112"/>
      <c r="N95" s="116">
        <f>N80</f>
        <v>0</v>
      </c>
    </row>
    <row r="96" spans="1:14" ht="18.75" thickBot="1" x14ac:dyDescent="0.3">
      <c r="A96" s="232" t="s">
        <v>83</v>
      </c>
      <c r="B96" s="233"/>
      <c r="C96" s="233"/>
      <c r="D96" s="233"/>
      <c r="E96" s="233"/>
      <c r="F96" s="233"/>
      <c r="G96" s="233"/>
      <c r="H96" s="233"/>
      <c r="I96" s="233"/>
      <c r="J96" s="23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35" t="s">
        <v>84</v>
      </c>
      <c r="B97" s="236"/>
      <c r="C97" s="236"/>
      <c r="D97" s="236"/>
      <c r="E97" s="236"/>
      <c r="F97" s="236"/>
      <c r="G97" s="236"/>
      <c r="H97" s="236"/>
      <c r="I97" s="236"/>
      <c r="J97" s="237"/>
      <c r="K97" s="117"/>
      <c r="L97" s="118"/>
      <c r="M97" s="119"/>
      <c r="N97" s="120">
        <f>SUM(N92:N96)</f>
        <v>22.73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hzPW29GLKpt3kflIQGL3EotRgxKcnjBXD/B1mmDSf39mG1Hyo32wP+LCEMnKIcd76DBA2idxuc14rdZRIfjLaA==" saltValue="p3d050SiuckvHOFB1DeTjA==" spinCount="100000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15748031496062992" bottom="0.15748031496062992" header="0" footer="0"/>
  <pageSetup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8.425781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47"/>
      <c r="B1" s="348"/>
      <c r="C1" s="351" t="s">
        <v>9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</row>
    <row r="2" spans="1:16" ht="51" customHeight="1" thickBot="1" x14ac:dyDescent="0.3">
      <c r="A2" s="349"/>
      <c r="B2" s="350"/>
      <c r="C2" s="351" t="s">
        <v>10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P2" s="161">
        <f ca="1">MATCH(MID(CELL("nombrearchivo",'4'!E9),FIND("]", CELL("nombrearchivo",'4'!E9),1)+1,LEN(CELL("nombrearchivo",'4'!E9))-FIND("]",CELL("nombrearchivo",'4'!E9),1)),GENERAL!A6:A54,0)</f>
        <v>11</v>
      </c>
    </row>
    <row r="3" spans="1:16" ht="15.75" x14ac:dyDescent="0.25">
      <c r="A3" s="354" t="s">
        <v>11</v>
      </c>
      <c r="B3" s="355"/>
      <c r="C3" s="355"/>
      <c r="D3" s="355"/>
      <c r="E3" s="7" t="str">
        <f>GENERAL!Z$2</f>
        <v>PLANTA</v>
      </c>
      <c r="F3" s="356"/>
      <c r="G3" s="356"/>
      <c r="H3" s="356"/>
      <c r="I3" s="356"/>
      <c r="J3" s="356"/>
      <c r="K3" s="356"/>
      <c r="L3" s="356"/>
      <c r="M3" s="356"/>
      <c r="N3" s="357"/>
    </row>
    <row r="4" spans="1:16" ht="15.75" x14ac:dyDescent="0.25">
      <c r="A4" s="324" t="s">
        <v>12</v>
      </c>
      <c r="B4" s="325"/>
      <c r="C4" s="325"/>
      <c r="D4" s="325"/>
      <c r="E4" s="8" t="str">
        <f>GENERAL!A$2</f>
        <v>C-P-07-4</v>
      </c>
      <c r="F4" s="345"/>
      <c r="G4" s="345"/>
      <c r="H4" s="345"/>
      <c r="I4" s="345"/>
      <c r="J4" s="345"/>
      <c r="K4" s="345"/>
      <c r="L4" s="345"/>
      <c r="M4" s="345"/>
      <c r="N4" s="346"/>
    </row>
    <row r="5" spans="1:16" ht="15.75" x14ac:dyDescent="0.25">
      <c r="A5" s="324" t="s">
        <v>13</v>
      </c>
      <c r="B5" s="325"/>
      <c r="C5" s="325"/>
      <c r="D5" s="325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6" x14ac:dyDescent="0.25">
      <c r="A8" s="326" t="s">
        <v>15</v>
      </c>
      <c r="B8" s="327"/>
      <c r="C8" s="330" t="s">
        <v>16</v>
      </c>
      <c r="D8" s="174"/>
      <c r="E8" s="332" t="s">
        <v>17</v>
      </c>
      <c r="F8" s="332" t="s">
        <v>18</v>
      </c>
      <c r="G8" s="332" t="s">
        <v>19</v>
      </c>
      <c r="H8" s="332" t="s">
        <v>20</v>
      </c>
      <c r="I8" s="332" t="s">
        <v>21</v>
      </c>
      <c r="J8" s="334" t="s">
        <v>22</v>
      </c>
      <c r="K8" s="175"/>
      <c r="L8" s="336"/>
      <c r="M8" s="336"/>
      <c r="N8" s="338" t="s">
        <v>23</v>
      </c>
    </row>
    <row r="9" spans="1:16" ht="31.5" customHeight="1" thickBot="1" x14ac:dyDescent="0.3">
      <c r="A9" s="328"/>
      <c r="B9" s="329"/>
      <c r="C9" s="331"/>
      <c r="D9" s="17"/>
      <c r="E9" s="333"/>
      <c r="F9" s="333"/>
      <c r="G9" s="333"/>
      <c r="H9" s="333"/>
      <c r="I9" s="333"/>
      <c r="J9" s="335"/>
      <c r="K9" s="176"/>
      <c r="L9" s="337"/>
      <c r="M9" s="337"/>
      <c r="N9" s="339"/>
    </row>
    <row r="10" spans="1:16" ht="44.25" customHeight="1" thickBot="1" x14ac:dyDescent="0.3">
      <c r="A10" s="340" t="str">
        <f ca="1">CONCATENATE((INDIRECT("GENERAL!D"&amp;P2+5))," ",((INDIRECT("GENERAL!E"&amp;P2+5))))</f>
        <v>SALAMANCA GUZMAN MAURIN</v>
      </c>
      <c r="B10" s="341"/>
      <c r="C10" s="19">
        <f>N14</f>
        <v>4</v>
      </c>
      <c r="D10" s="20"/>
      <c r="E10" s="21">
        <f>N16</f>
        <v>0</v>
      </c>
      <c r="F10" s="21">
        <f>N18</f>
        <v>0</v>
      </c>
      <c r="G10" s="21">
        <f>N20</f>
        <v>3</v>
      </c>
      <c r="H10" s="21">
        <f>N27</f>
        <v>3.19</v>
      </c>
      <c r="I10" s="21">
        <f>N32</f>
        <v>0.93</v>
      </c>
      <c r="J10" s="22">
        <f>N37</f>
        <v>10</v>
      </c>
      <c r="K10" s="23"/>
      <c r="L10" s="23"/>
      <c r="M10" s="23"/>
      <c r="N10" s="24">
        <f>IF( SUM(C10:J10)&lt;=30,SUM(C10:J10),"EXCEDE LOS 30 PUNTOS")</f>
        <v>21.119999999999997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42" t="s">
        <v>24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27" t="s">
        <v>25</v>
      </c>
    </row>
    <row r="13" spans="1:16" ht="24" thickBot="1" x14ac:dyDescent="0.3">
      <c r="A13" s="307" t="s">
        <v>26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8"/>
      <c r="N13" s="26"/>
    </row>
    <row r="14" spans="1:16" ht="31.5" customHeight="1" thickBot="1" x14ac:dyDescent="0.3">
      <c r="A14" s="260" t="s">
        <v>27</v>
      </c>
      <c r="B14" s="262"/>
      <c r="C14" s="28"/>
      <c r="D14" s="310" t="str">
        <f ca="1">(INDIRECT("GENERAL!J"&amp;P2+5))</f>
        <v>QUIMICA/UNIVERSIDAD DE ANTIOQUIA 2008</v>
      </c>
      <c r="E14" s="311"/>
      <c r="F14" s="311"/>
      <c r="G14" s="311"/>
      <c r="H14" s="311"/>
      <c r="I14" s="311"/>
      <c r="J14" s="311"/>
      <c r="K14" s="311"/>
      <c r="L14" s="31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13" t="s">
        <v>28</v>
      </c>
      <c r="B16" s="314"/>
      <c r="C16" s="8"/>
      <c r="D16" s="34"/>
      <c r="E16" s="321" t="str">
        <f ca="1">(INDIRECT("GENERAL!K"&amp;P2+5))</f>
        <v>NO REGISTRA</v>
      </c>
      <c r="F16" s="322"/>
      <c r="G16" s="322"/>
      <c r="H16" s="322"/>
      <c r="I16" s="322"/>
      <c r="J16" s="322"/>
      <c r="K16" s="322"/>
      <c r="L16" s="32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13" t="s">
        <v>29</v>
      </c>
      <c r="B18" s="314"/>
      <c r="C18" s="28"/>
      <c r="D18" s="178"/>
      <c r="E18" s="322" t="str">
        <f ca="1">(INDIRECT("GENERAL!L"&amp;P2+5))</f>
        <v>NO REGISTRA</v>
      </c>
      <c r="F18" s="322"/>
      <c r="G18" s="322"/>
      <c r="H18" s="322"/>
      <c r="I18" s="322"/>
      <c r="J18" s="322"/>
      <c r="K18" s="322"/>
      <c r="L18" s="32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13" t="s">
        <v>30</v>
      </c>
      <c r="B20" s="314"/>
      <c r="C20" s="28"/>
      <c r="D20" s="318" t="str">
        <f ca="1">(INDIRECT("GENERAL!M"&amp;P2+5))</f>
        <v>DOCTORA EN CIENCIAS QUIMICAS UNIVERSIDAD DE ANTIOQUIA/2013</v>
      </c>
      <c r="E20" s="319"/>
      <c r="F20" s="319"/>
      <c r="G20" s="319"/>
      <c r="H20" s="319"/>
      <c r="I20" s="319"/>
      <c r="J20" s="319"/>
      <c r="K20" s="319"/>
      <c r="L20" s="320"/>
      <c r="M20" s="29"/>
      <c r="N20" s="30">
        <v>3</v>
      </c>
    </row>
    <row r="21" spans="1:17" ht="16.5" thickBot="1" x14ac:dyDescent="0.3">
      <c r="A21" s="36"/>
      <c r="B21" s="37"/>
      <c r="C21" s="179"/>
      <c r="D21" s="39"/>
      <c r="E21" s="39"/>
      <c r="F21" s="39"/>
      <c r="G21" s="39"/>
      <c r="H21" s="39"/>
      <c r="I21" s="39"/>
      <c r="J21" s="39"/>
      <c r="K21" s="39"/>
      <c r="L21" s="39"/>
      <c r="M21" s="179"/>
      <c r="N21" s="40"/>
    </row>
    <row r="22" spans="1:17" ht="19.5" thickTop="1" thickBot="1" x14ac:dyDescent="0.3">
      <c r="A22" s="304" t="s">
        <v>31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6"/>
      <c r="M22" s="8"/>
      <c r="N22" s="160">
        <f>IF( SUM(N14:N20)&lt;=10,SUM(N14:N20),"EXCEDE LOS 10 PUNTOS VALIDOS")</f>
        <v>7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307" t="s">
        <v>32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9"/>
      <c r="M24" s="8"/>
      <c r="N24" s="40"/>
    </row>
    <row r="25" spans="1:17" ht="81" customHeight="1" thickBot="1" x14ac:dyDescent="0.3">
      <c r="A25" s="260" t="s">
        <v>33</v>
      </c>
      <c r="B25" s="262"/>
      <c r="C25" s="28"/>
      <c r="D25" s="310" t="s">
        <v>198</v>
      </c>
      <c r="E25" s="311"/>
      <c r="F25" s="311"/>
      <c r="G25" s="311"/>
      <c r="H25" s="311"/>
      <c r="I25" s="311"/>
      <c r="J25" s="311"/>
      <c r="K25" s="311"/>
      <c r="L25" s="312"/>
      <c r="M25" s="29"/>
      <c r="N25" s="30">
        <f>0.22+0.49+2.48</f>
        <v>3.19</v>
      </c>
      <c r="P25" s="43"/>
      <c r="Q25" s="43"/>
    </row>
    <row r="26" spans="1:17" ht="16.5" thickBot="1" x14ac:dyDescent="0.3">
      <c r="A26" s="36"/>
      <c r="B26" s="37"/>
      <c r="C26" s="179"/>
      <c r="D26" s="39"/>
      <c r="E26" s="39"/>
      <c r="F26" s="39"/>
      <c r="G26" s="39"/>
      <c r="H26" s="39"/>
      <c r="I26" s="39"/>
      <c r="J26" s="39"/>
      <c r="K26" s="39"/>
      <c r="L26" s="39"/>
      <c r="M26" s="179"/>
      <c r="N26" s="40"/>
    </row>
    <row r="27" spans="1:17" ht="19.5" thickTop="1" thickBot="1" x14ac:dyDescent="0.3">
      <c r="A27" s="304" t="s">
        <v>34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179"/>
      <c r="N27" s="160">
        <f>IF(N25&lt;=5,N25,"EXCEDE LOS 5 PUNTOS PERMITIDOS")</f>
        <v>3.19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307" t="s">
        <v>35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9"/>
      <c r="M29" s="45"/>
      <c r="N29" s="40"/>
    </row>
    <row r="30" spans="1:17" ht="35.25" customHeight="1" thickBot="1" x14ac:dyDescent="0.3">
      <c r="A30" s="260" t="s">
        <v>36</v>
      </c>
      <c r="B30" s="262"/>
      <c r="C30" s="28"/>
      <c r="D30" s="310" t="s">
        <v>199</v>
      </c>
      <c r="E30" s="311"/>
      <c r="F30" s="311"/>
      <c r="G30" s="311"/>
      <c r="H30" s="311"/>
      <c r="I30" s="311"/>
      <c r="J30" s="311"/>
      <c r="K30" s="311"/>
      <c r="L30" s="312"/>
      <c r="M30" s="29"/>
      <c r="N30" s="30">
        <v>0.93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304" t="s">
        <v>37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179"/>
      <c r="N32" s="160">
        <f>IF(N30&lt;=5,N30,"EXCEDE LOS 5 PUNTOS PERMITIDOS")</f>
        <v>0.93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307" t="s">
        <v>38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9"/>
      <c r="M34" s="8"/>
      <c r="N34" s="40"/>
    </row>
    <row r="35" spans="1:14" ht="168" customHeight="1" thickBot="1" x14ac:dyDescent="0.3">
      <c r="A35" s="313" t="s">
        <v>39</v>
      </c>
      <c r="B35" s="314"/>
      <c r="C35" s="28"/>
      <c r="D35" s="310" t="s">
        <v>200</v>
      </c>
      <c r="E35" s="311"/>
      <c r="F35" s="311"/>
      <c r="G35" s="311"/>
      <c r="H35" s="311"/>
      <c r="I35" s="311"/>
      <c r="J35" s="311"/>
      <c r="K35" s="311"/>
      <c r="L35" s="312"/>
      <c r="M35" s="29"/>
      <c r="N35" s="30">
        <f>4+2+2+2</f>
        <v>10</v>
      </c>
    </row>
    <row r="36" spans="1:14" ht="16.5" thickBot="1" x14ac:dyDescent="0.3">
      <c r="A36" s="36"/>
      <c r="B36" s="37"/>
      <c r="C36" s="179"/>
      <c r="D36" s="39"/>
      <c r="E36" s="39"/>
      <c r="F36" s="39"/>
      <c r="G36" s="39"/>
      <c r="H36" s="39"/>
      <c r="I36" s="39"/>
      <c r="J36" s="39"/>
      <c r="K36" s="39"/>
      <c r="L36" s="39"/>
      <c r="M36" s="179"/>
      <c r="N36" s="40"/>
    </row>
    <row r="37" spans="1:14" ht="19.5" thickTop="1" thickBot="1" x14ac:dyDescent="0.3">
      <c r="A37" s="304" t="s">
        <v>40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179"/>
      <c r="N37" s="160">
        <f>IF(N35&lt;=10,N35,"EXCEDE LOS 10 PUNTOS PERMITIDOS")</f>
        <v>10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15" t="s">
        <v>23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7"/>
      <c r="M40" s="48"/>
      <c r="N40" s="49">
        <f>IF((N22+N27+N32+N37)&lt;=30,(N22+N27+N32+N37),"ERROR EXCEDE LOS 30 PUNTOS")</f>
        <v>21.119999999999997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55" t="s">
        <v>42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98" t="s">
        <v>43</v>
      </c>
      <c r="B57" s="299"/>
      <c r="C57" s="299"/>
      <c r="D57" s="299"/>
      <c r="E57" s="299"/>
      <c r="F57" s="302"/>
      <c r="G57" s="303"/>
      <c r="H57" s="53" t="s">
        <v>44</v>
      </c>
      <c r="I57" s="54" t="s">
        <v>45</v>
      </c>
      <c r="J57" s="55" t="s">
        <v>46</v>
      </c>
      <c r="K57" s="56" t="s">
        <v>47</v>
      </c>
      <c r="L57" s="17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7" t="s">
        <v>49</v>
      </c>
      <c r="C58" s="287"/>
      <c r="D58" s="287"/>
      <c r="E58" s="287"/>
      <c r="F58" s="288"/>
      <c r="G58" s="28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5" t="s">
        <v>51</v>
      </c>
      <c r="C59" s="289"/>
      <c r="D59" s="289"/>
      <c r="E59" s="28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9" t="s">
        <v>52</v>
      </c>
      <c r="C60" s="289"/>
      <c r="D60" s="289"/>
      <c r="E60" s="28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9" t="s">
        <v>54</v>
      </c>
      <c r="C61" s="289"/>
      <c r="D61" s="289"/>
      <c r="E61" s="28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9" t="s">
        <v>55</v>
      </c>
      <c r="C62" s="289"/>
      <c r="D62" s="289"/>
      <c r="E62" s="28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9" t="s">
        <v>56</v>
      </c>
      <c r="C63" s="289"/>
      <c r="D63" s="289"/>
      <c r="E63" s="28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90" t="s">
        <v>58</v>
      </c>
      <c r="C64" s="290"/>
      <c r="D64" s="290"/>
      <c r="E64" s="290"/>
      <c r="F64" s="259"/>
      <c r="G64" s="25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98" t="s">
        <v>61</v>
      </c>
      <c r="B68" s="299"/>
      <c r="C68" s="299"/>
      <c r="D68" s="299"/>
      <c r="E68" s="299"/>
      <c r="F68" s="299"/>
      <c r="G68" s="300"/>
      <c r="H68" s="78" t="s">
        <v>44</v>
      </c>
      <c r="I68" s="54" t="s">
        <v>45</v>
      </c>
      <c r="J68" s="55" t="s">
        <v>46</v>
      </c>
      <c r="K68" s="56" t="s">
        <v>47</v>
      </c>
      <c r="L68" s="175"/>
      <c r="M68" s="8"/>
      <c r="N68" s="57" t="s">
        <v>48</v>
      </c>
    </row>
    <row r="69" spans="1:14" ht="17.25" thickTop="1" thickBot="1" x14ac:dyDescent="0.3">
      <c r="A69" s="58">
        <v>1</v>
      </c>
      <c r="B69" s="301" t="s">
        <v>62</v>
      </c>
      <c r="C69" s="301"/>
      <c r="D69" s="301"/>
      <c r="E69" s="301"/>
      <c r="F69" s="288"/>
      <c r="G69" s="28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58" t="s">
        <v>65</v>
      </c>
      <c r="C71" s="258"/>
      <c r="D71" s="258"/>
      <c r="E71" s="258"/>
      <c r="F71" s="259"/>
      <c r="G71" s="25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261"/>
      <c r="D72" s="261"/>
      <c r="E72" s="261"/>
      <c r="F72" s="261"/>
      <c r="G72" s="26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63" t="s">
        <v>67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5"/>
      <c r="L73" s="82"/>
      <c r="M73" s="45"/>
      <c r="N73" s="77">
        <f>N72/3</f>
        <v>0</v>
      </c>
    </row>
    <row r="74" spans="1:14" ht="19.5" thickTop="1" thickBot="1" x14ac:dyDescent="0.3">
      <c r="A74" s="266"/>
      <c r="B74" s="267"/>
      <c r="C74" s="267"/>
      <c r="D74" s="267"/>
      <c r="E74" s="267"/>
      <c r="F74" s="267"/>
      <c r="G74" s="267"/>
      <c r="H74" s="267"/>
      <c r="I74" s="267"/>
      <c r="J74" s="268"/>
      <c r="K74" s="268"/>
      <c r="L74" s="82"/>
      <c r="M74" s="45"/>
      <c r="N74" s="177"/>
    </row>
    <row r="75" spans="1:14" ht="26.25" thickBot="1" x14ac:dyDescent="0.3">
      <c r="A75" s="269" t="s">
        <v>68</v>
      </c>
      <c r="B75" s="270"/>
      <c r="C75" s="270"/>
      <c r="D75" s="270"/>
      <c r="E75" s="270"/>
      <c r="F75" s="270"/>
      <c r="G75" s="271"/>
      <c r="H75" s="93" t="s">
        <v>44</v>
      </c>
      <c r="I75" s="57" t="s">
        <v>45</v>
      </c>
      <c r="J75" s="175"/>
      <c r="K75" s="175"/>
      <c r="L75" s="82"/>
      <c r="M75" s="45"/>
      <c r="N75" s="94" t="s">
        <v>48</v>
      </c>
    </row>
    <row r="76" spans="1:14" ht="16.5" thickBot="1" x14ac:dyDescent="0.3">
      <c r="A76" s="95">
        <v>1</v>
      </c>
      <c r="B76" s="272" t="s">
        <v>69</v>
      </c>
      <c r="C76" s="272"/>
      <c r="D76" s="272"/>
      <c r="E76" s="272"/>
      <c r="F76" s="273"/>
      <c r="G76" s="27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27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58" t="s">
        <v>71</v>
      </c>
      <c r="C78" s="258"/>
      <c r="D78" s="258"/>
      <c r="E78" s="258"/>
      <c r="F78" s="259"/>
      <c r="G78" s="27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79" t="s">
        <v>72</v>
      </c>
      <c r="B79" s="280"/>
      <c r="C79" s="280"/>
      <c r="D79" s="280"/>
      <c r="E79" s="280"/>
      <c r="F79" s="280"/>
      <c r="G79" s="280"/>
      <c r="H79" s="28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82" t="s">
        <v>73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85"/>
      <c r="F81" s="285"/>
      <c r="G81" s="285"/>
      <c r="H81" s="285"/>
      <c r="I81" s="285"/>
      <c r="J81" s="285"/>
      <c r="K81" s="285"/>
      <c r="L81" s="285"/>
      <c r="M81" s="285"/>
      <c r="N81" s="28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55" t="s">
        <v>74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38" t="s">
        <v>75</v>
      </c>
      <c r="B85" s="239"/>
      <c r="C85" s="239"/>
      <c r="D85" s="239"/>
      <c r="E85" s="239"/>
      <c r="F85" s="240"/>
      <c r="G85" s="241"/>
      <c r="H85" s="93" t="s">
        <v>44</v>
      </c>
      <c r="I85" s="17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42" t="s">
        <v>76</v>
      </c>
      <c r="C86" s="243"/>
      <c r="D86" s="243"/>
      <c r="E86" s="243"/>
      <c r="F86" s="244"/>
      <c r="G86" s="24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46" t="s">
        <v>78</v>
      </c>
      <c r="B88" s="247"/>
      <c r="C88" s="247"/>
      <c r="D88" s="247"/>
      <c r="E88" s="247"/>
      <c r="F88" s="247"/>
      <c r="G88" s="247"/>
      <c r="H88" s="247"/>
      <c r="I88" s="247"/>
      <c r="J88" s="24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49" t="s">
        <v>79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52" t="s">
        <v>23</v>
      </c>
      <c r="B92" s="253"/>
      <c r="C92" s="253"/>
      <c r="D92" s="253"/>
      <c r="E92" s="253"/>
      <c r="F92" s="253"/>
      <c r="G92" s="253"/>
      <c r="H92" s="253"/>
      <c r="I92" s="253"/>
      <c r="J92" s="254"/>
      <c r="K92" s="111"/>
      <c r="L92" s="111"/>
      <c r="M92" s="112"/>
      <c r="N92" s="113">
        <f>N40</f>
        <v>21.119999999999997</v>
      </c>
    </row>
    <row r="93" spans="1:14" ht="18" x14ac:dyDescent="0.25">
      <c r="A93" s="229" t="s">
        <v>80</v>
      </c>
      <c r="B93" s="230"/>
      <c r="C93" s="230"/>
      <c r="D93" s="230"/>
      <c r="E93" s="230"/>
      <c r="F93" s="230"/>
      <c r="G93" s="230"/>
      <c r="H93" s="230"/>
      <c r="I93" s="230"/>
      <c r="J93" s="231"/>
      <c r="K93" s="111"/>
      <c r="L93" s="111"/>
      <c r="M93" s="112"/>
      <c r="N93" s="114">
        <f>N66</f>
        <v>0</v>
      </c>
    </row>
    <row r="94" spans="1:14" ht="18" x14ac:dyDescent="0.25">
      <c r="A94" s="229" t="s">
        <v>81</v>
      </c>
      <c r="B94" s="230"/>
      <c r="C94" s="230"/>
      <c r="D94" s="230"/>
      <c r="E94" s="230"/>
      <c r="F94" s="230"/>
      <c r="G94" s="230"/>
      <c r="H94" s="230"/>
      <c r="I94" s="230"/>
      <c r="J94" s="231"/>
      <c r="K94" s="111"/>
      <c r="L94" s="111"/>
      <c r="M94" s="112"/>
      <c r="N94" s="115">
        <f>N73</f>
        <v>0</v>
      </c>
    </row>
    <row r="95" spans="1:14" ht="18" x14ac:dyDescent="0.25">
      <c r="A95" s="229" t="s">
        <v>82</v>
      </c>
      <c r="B95" s="230"/>
      <c r="C95" s="230"/>
      <c r="D95" s="230"/>
      <c r="E95" s="230"/>
      <c r="F95" s="230"/>
      <c r="G95" s="230"/>
      <c r="H95" s="230"/>
      <c r="I95" s="230"/>
      <c r="J95" s="231"/>
      <c r="K95" s="111"/>
      <c r="L95" s="111"/>
      <c r="M95" s="112"/>
      <c r="N95" s="116">
        <f>N80</f>
        <v>0</v>
      </c>
    </row>
    <row r="96" spans="1:14" ht="18.75" thickBot="1" x14ac:dyDescent="0.3">
      <c r="A96" s="232" t="s">
        <v>83</v>
      </c>
      <c r="B96" s="233"/>
      <c r="C96" s="233"/>
      <c r="D96" s="233"/>
      <c r="E96" s="233"/>
      <c r="F96" s="233"/>
      <c r="G96" s="233"/>
      <c r="H96" s="233"/>
      <c r="I96" s="233"/>
      <c r="J96" s="23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35" t="s">
        <v>84</v>
      </c>
      <c r="B97" s="236"/>
      <c r="C97" s="236"/>
      <c r="D97" s="236"/>
      <c r="E97" s="236"/>
      <c r="F97" s="236"/>
      <c r="G97" s="236"/>
      <c r="H97" s="236"/>
      <c r="I97" s="236"/>
      <c r="J97" s="237"/>
      <c r="K97" s="117"/>
      <c r="L97" s="118"/>
      <c r="M97" s="119"/>
      <c r="N97" s="120">
        <f>SUM(N92:N96)</f>
        <v>21.119999999999997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jTxHfdgSPnep15pZRUv7REz74VDL+bWRZETj0weEpZAoWVV0sQ0ssTcL12RJMTEvDNdX0PxuYE72ftvau8161w==" saltValue="wiL3Ab7m2GGy1EtzhNY7dg==" spinCount="100000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15748031496062992" bottom="0.15748031496062992" header="0.31496062992125984" footer="0.31496062992125984"/>
  <pageSetup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8"/>
  <sheetViews>
    <sheetView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47"/>
      <c r="B1" s="348"/>
      <c r="C1" s="351" t="s">
        <v>9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</row>
    <row r="2" spans="1:16" ht="51" customHeight="1" thickBot="1" x14ac:dyDescent="0.3">
      <c r="A2" s="349"/>
      <c r="B2" s="350"/>
      <c r="C2" s="351" t="s">
        <v>10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P2" s="161">
        <f ca="1">MATCH(MID(CELL("nombrearchivo",'5'!E9),FIND("]", CELL("nombrearchivo",'5'!E9),1)+1,LEN(CELL("nombrearchivo",'5'!E9))-FIND("]",CELL("nombrearchivo",'5'!E9),1)),GENERAL!A6:A54,0)</f>
        <v>10</v>
      </c>
    </row>
    <row r="3" spans="1:16" ht="15.75" x14ac:dyDescent="0.25">
      <c r="A3" s="354" t="s">
        <v>11</v>
      </c>
      <c r="B3" s="355"/>
      <c r="C3" s="355"/>
      <c r="D3" s="355"/>
      <c r="E3" s="7" t="str">
        <f>GENERAL!Z$2</f>
        <v>PLANTA</v>
      </c>
      <c r="F3" s="356"/>
      <c r="G3" s="356"/>
      <c r="H3" s="356"/>
      <c r="I3" s="356"/>
      <c r="J3" s="356"/>
      <c r="K3" s="356"/>
      <c r="L3" s="356"/>
      <c r="M3" s="356"/>
      <c r="N3" s="357"/>
    </row>
    <row r="4" spans="1:16" ht="15.75" x14ac:dyDescent="0.25">
      <c r="A4" s="324" t="s">
        <v>12</v>
      </c>
      <c r="B4" s="325"/>
      <c r="C4" s="325"/>
      <c r="D4" s="325"/>
      <c r="E4" s="8" t="str">
        <f>GENERAL!A$2</f>
        <v>C-P-07-4</v>
      </c>
      <c r="F4" s="345"/>
      <c r="G4" s="345"/>
      <c r="H4" s="345"/>
      <c r="I4" s="345"/>
      <c r="J4" s="345"/>
      <c r="K4" s="345"/>
      <c r="L4" s="345"/>
      <c r="M4" s="345"/>
      <c r="N4" s="346"/>
    </row>
    <row r="5" spans="1:16" ht="15.75" x14ac:dyDescent="0.25">
      <c r="A5" s="324" t="s">
        <v>13</v>
      </c>
      <c r="B5" s="325"/>
      <c r="C5" s="325"/>
      <c r="D5" s="325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6" x14ac:dyDescent="0.25">
      <c r="A8" s="326" t="s">
        <v>15</v>
      </c>
      <c r="B8" s="327"/>
      <c r="C8" s="330" t="s">
        <v>16</v>
      </c>
      <c r="D8" s="168"/>
      <c r="E8" s="332" t="s">
        <v>17</v>
      </c>
      <c r="F8" s="332" t="s">
        <v>18</v>
      </c>
      <c r="G8" s="332" t="s">
        <v>19</v>
      </c>
      <c r="H8" s="332" t="s">
        <v>20</v>
      </c>
      <c r="I8" s="332" t="s">
        <v>21</v>
      </c>
      <c r="J8" s="334" t="s">
        <v>22</v>
      </c>
      <c r="K8" s="169"/>
      <c r="L8" s="336"/>
      <c r="M8" s="336"/>
      <c r="N8" s="338" t="s">
        <v>23</v>
      </c>
    </row>
    <row r="9" spans="1:16" ht="31.5" customHeight="1" thickBot="1" x14ac:dyDescent="0.3">
      <c r="A9" s="328"/>
      <c r="B9" s="329"/>
      <c r="C9" s="331"/>
      <c r="D9" s="17"/>
      <c r="E9" s="333"/>
      <c r="F9" s="333"/>
      <c r="G9" s="333"/>
      <c r="H9" s="333"/>
      <c r="I9" s="333"/>
      <c r="J9" s="335"/>
      <c r="K9" s="170"/>
      <c r="L9" s="337"/>
      <c r="M9" s="337"/>
      <c r="N9" s="339"/>
    </row>
    <row r="10" spans="1:16" ht="44.25" customHeight="1" thickBot="1" x14ac:dyDescent="0.3">
      <c r="A10" s="340" t="str">
        <f ca="1">CONCATENATE((INDIRECT("GENERAL!D"&amp;P2+5))," ",((INDIRECT("GENERAL!E"&amp;P2+5))))</f>
        <v>AVILA TORRES YENNY PATRICIA</v>
      </c>
      <c r="B10" s="341"/>
      <c r="C10" s="19">
        <f>N14</f>
        <v>4</v>
      </c>
      <c r="D10" s="20"/>
      <c r="E10" s="21">
        <f>N16</f>
        <v>0</v>
      </c>
      <c r="F10" s="21">
        <f>N18</f>
        <v>3</v>
      </c>
      <c r="G10" s="21">
        <f>N20</f>
        <v>3</v>
      </c>
      <c r="H10" s="21">
        <f>N27</f>
        <v>3.56</v>
      </c>
      <c r="I10" s="21">
        <f>N32</f>
        <v>2.04</v>
      </c>
      <c r="J10" s="22">
        <f>N37</f>
        <v>4.8599999999999994</v>
      </c>
      <c r="K10" s="23"/>
      <c r="L10" s="23"/>
      <c r="M10" s="23"/>
      <c r="N10" s="24">
        <f>IF( SUM(C10:J10)&lt;=30,SUM(C10:J10),"EXCEDE LOS 30 PUNTOS")</f>
        <v>20.46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42" t="s">
        <v>24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27" t="s">
        <v>25</v>
      </c>
    </row>
    <row r="13" spans="1:16" ht="24" thickBot="1" x14ac:dyDescent="0.3">
      <c r="A13" s="307" t="s">
        <v>26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8"/>
      <c r="N13" s="26"/>
    </row>
    <row r="14" spans="1:16" ht="31.5" customHeight="1" thickBot="1" x14ac:dyDescent="0.3">
      <c r="A14" s="260" t="s">
        <v>27</v>
      </c>
      <c r="B14" s="262"/>
      <c r="C14" s="28"/>
      <c r="D14" s="310" t="str">
        <f ca="1">(INDIRECT("GENERAL!J"&amp;P2+5))</f>
        <v>TECNOLOGO QUIMICO/UNIVERSIDAD TECNOLOGICA DE PEREIRA/2003/QUIMICO/UNIVERSIDAD DEL QUINDIO/2005</v>
      </c>
      <c r="E14" s="311"/>
      <c r="F14" s="311"/>
      <c r="G14" s="311"/>
      <c r="H14" s="311"/>
      <c r="I14" s="311"/>
      <c r="J14" s="311"/>
      <c r="K14" s="311"/>
      <c r="L14" s="31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13" t="s">
        <v>28</v>
      </c>
      <c r="B16" s="314"/>
      <c r="C16" s="8"/>
      <c r="D16" s="34"/>
      <c r="E16" s="321" t="str">
        <f ca="1">(INDIRECT("GENERAL!K"&amp;P2+5))</f>
        <v>NO REGISTRA</v>
      </c>
      <c r="F16" s="322"/>
      <c r="G16" s="322"/>
      <c r="H16" s="322"/>
      <c r="I16" s="322"/>
      <c r="J16" s="322"/>
      <c r="K16" s="322"/>
      <c r="L16" s="323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13" t="s">
        <v>29</v>
      </c>
      <c r="B18" s="314"/>
      <c r="C18" s="28"/>
      <c r="D18" s="172"/>
      <c r="E18" s="322" t="str">
        <f ca="1">(INDIRECT("GENERAL!L"&amp;P2+5))</f>
        <v>MAESTRIA EN CIENCIA E INGENIERIA DE MATERIALES/UNIVERSIDAD NACIONAL AUTONOMA DE MEXICO/2008</v>
      </c>
      <c r="F18" s="322"/>
      <c r="G18" s="322"/>
      <c r="H18" s="322"/>
      <c r="I18" s="322"/>
      <c r="J18" s="322"/>
      <c r="K18" s="322"/>
      <c r="L18" s="323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13" t="s">
        <v>30</v>
      </c>
      <c r="B20" s="314"/>
      <c r="C20" s="28"/>
      <c r="D20" s="318" t="str">
        <f ca="1">(INDIRECT("GENERAL!M"&amp;P2+5))</f>
        <v>DOCTORADO EN CIENCIA E INGENIERIA DE MATERIALES/ UNIVERSIDAD NACIONAL AUTONOMA DE MEXICO/2013</v>
      </c>
      <c r="E20" s="319"/>
      <c r="F20" s="319"/>
      <c r="G20" s="319"/>
      <c r="H20" s="319"/>
      <c r="I20" s="319"/>
      <c r="J20" s="319"/>
      <c r="K20" s="319"/>
      <c r="L20" s="320"/>
      <c r="M20" s="29"/>
      <c r="N20" s="30">
        <v>3</v>
      </c>
    </row>
    <row r="21" spans="1:17" ht="16.5" thickBot="1" x14ac:dyDescent="0.3">
      <c r="A21" s="36"/>
      <c r="B21" s="37"/>
      <c r="C21" s="173"/>
      <c r="D21" s="39"/>
      <c r="E21" s="39"/>
      <c r="F21" s="39"/>
      <c r="G21" s="39"/>
      <c r="H21" s="39"/>
      <c r="I21" s="39"/>
      <c r="J21" s="39"/>
      <c r="K21" s="39"/>
      <c r="L21" s="39"/>
      <c r="M21" s="173"/>
      <c r="N21" s="40"/>
    </row>
    <row r="22" spans="1:17" ht="19.5" thickTop="1" thickBot="1" x14ac:dyDescent="0.3">
      <c r="A22" s="304" t="s">
        <v>31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6"/>
      <c r="M22" s="8"/>
      <c r="N22" s="160">
        <f>IF( SUM(N14:N20)&lt;=10,SUM(N14:N20),"EXCEDE LOS 10 PUNTOS VALIDOS")</f>
        <v>10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307" t="s">
        <v>32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9"/>
      <c r="M24" s="8"/>
      <c r="N24" s="40"/>
    </row>
    <row r="25" spans="1:17" ht="111.75" customHeight="1" thickBot="1" x14ac:dyDescent="0.3">
      <c r="A25" s="260" t="s">
        <v>33</v>
      </c>
      <c r="B25" s="262"/>
      <c r="C25" s="28"/>
      <c r="D25" s="310" t="s">
        <v>201</v>
      </c>
      <c r="E25" s="311"/>
      <c r="F25" s="311"/>
      <c r="G25" s="311"/>
      <c r="H25" s="311"/>
      <c r="I25" s="311"/>
      <c r="J25" s="311"/>
      <c r="K25" s="311"/>
      <c r="L25" s="312"/>
      <c r="M25" s="29"/>
      <c r="N25" s="30">
        <f>1.97+0.55+0.79+0.25</f>
        <v>3.56</v>
      </c>
      <c r="P25" s="43"/>
      <c r="Q25" s="43"/>
    </row>
    <row r="26" spans="1:17" ht="16.5" thickBot="1" x14ac:dyDescent="0.3">
      <c r="A26" s="36"/>
      <c r="B26" s="37"/>
      <c r="C26" s="173"/>
      <c r="D26" s="39"/>
      <c r="E26" s="39"/>
      <c r="F26" s="39"/>
      <c r="G26" s="39"/>
      <c r="H26" s="39"/>
      <c r="I26" s="39"/>
      <c r="J26" s="39"/>
      <c r="K26" s="39"/>
      <c r="L26" s="39"/>
      <c r="M26" s="173"/>
      <c r="N26" s="40"/>
    </row>
    <row r="27" spans="1:17" ht="19.5" thickTop="1" thickBot="1" x14ac:dyDescent="0.3">
      <c r="A27" s="304" t="s">
        <v>34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173"/>
      <c r="N27" s="160">
        <f>IF(N25&lt;=5,N25,"EXCEDE LOS 5 PUNTOS PERMITIDOS")</f>
        <v>3.56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307" t="s">
        <v>35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9"/>
      <c r="M29" s="45"/>
      <c r="N29" s="40"/>
    </row>
    <row r="30" spans="1:17" ht="35.25" customHeight="1" thickBot="1" x14ac:dyDescent="0.3">
      <c r="A30" s="260" t="s">
        <v>36</v>
      </c>
      <c r="B30" s="262"/>
      <c r="C30" s="28"/>
      <c r="D30" s="310" t="s">
        <v>202</v>
      </c>
      <c r="E30" s="311"/>
      <c r="F30" s="311"/>
      <c r="G30" s="311"/>
      <c r="H30" s="311"/>
      <c r="I30" s="311"/>
      <c r="J30" s="311"/>
      <c r="K30" s="311"/>
      <c r="L30" s="312"/>
      <c r="M30" s="29"/>
      <c r="N30" s="30">
        <v>2.04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304" t="s">
        <v>37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173"/>
      <c r="N32" s="160">
        <f>IF(N30&lt;=5,N30,"EXCEDE LOS 5 PUNTOS PERMITIDOS")</f>
        <v>2.04</v>
      </c>
    </row>
    <row r="33" spans="1:19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9" ht="24" thickBot="1" x14ac:dyDescent="0.3">
      <c r="A34" s="307" t="s">
        <v>38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9"/>
      <c r="M34" s="8"/>
      <c r="N34" s="40"/>
      <c r="S34" s="6">
        <f>4/5</f>
        <v>0.8</v>
      </c>
    </row>
    <row r="35" spans="1:19" ht="146.25" customHeight="1" thickBot="1" x14ac:dyDescent="0.3">
      <c r="A35" s="313" t="s">
        <v>39</v>
      </c>
      <c r="B35" s="314"/>
      <c r="C35" s="28"/>
      <c r="D35" s="310" t="s">
        <v>203</v>
      </c>
      <c r="E35" s="311"/>
      <c r="F35" s="311"/>
      <c r="G35" s="311"/>
      <c r="H35" s="311"/>
      <c r="I35" s="311"/>
      <c r="J35" s="311"/>
      <c r="K35" s="311"/>
      <c r="L35" s="312"/>
      <c r="M35" s="29"/>
      <c r="N35" s="30">
        <f>0.8+4+0.06</f>
        <v>4.8599999999999994</v>
      </c>
    </row>
    <row r="36" spans="1:19" ht="16.5" thickBot="1" x14ac:dyDescent="0.3">
      <c r="A36" s="36"/>
      <c r="B36" s="37"/>
      <c r="C36" s="173"/>
      <c r="D36" s="39"/>
      <c r="E36" s="39"/>
      <c r="F36" s="39"/>
      <c r="G36" s="39"/>
      <c r="H36" s="39"/>
      <c r="I36" s="39"/>
      <c r="J36" s="39"/>
      <c r="K36" s="39"/>
      <c r="L36" s="39"/>
      <c r="M36" s="173"/>
      <c r="N36" s="40"/>
    </row>
    <row r="37" spans="1:19" ht="19.5" thickTop="1" thickBot="1" x14ac:dyDescent="0.3">
      <c r="A37" s="304" t="s">
        <v>40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173"/>
      <c r="N37" s="160">
        <f>IF(N35&lt;=10,N35,"EXCEDE LOS 10 PUNTOS PERMITIDOS")</f>
        <v>4.8599999999999994</v>
      </c>
    </row>
    <row r="38" spans="1:19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9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9" ht="24.75" thickTop="1" thickBot="1" x14ac:dyDescent="0.3">
      <c r="A40" s="315" t="s">
        <v>23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7"/>
      <c r="M40" s="48"/>
      <c r="N40" s="49">
        <f>IF((N22+N27+N32+N37)&lt;=30,(N22+N27+N32+N37),"ERROR EXCEDE LOS 30 PUNTOS")</f>
        <v>20.46</v>
      </c>
    </row>
    <row r="41" spans="1:19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9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9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9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9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9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9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9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55" t="s">
        <v>42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5.5" customHeight="1" thickBot="1" x14ac:dyDescent="0.3">
      <c r="A57" s="298" t="s">
        <v>43</v>
      </c>
      <c r="B57" s="299"/>
      <c r="C57" s="299"/>
      <c r="D57" s="299"/>
      <c r="E57" s="299"/>
      <c r="F57" s="302"/>
      <c r="G57" s="303"/>
      <c r="H57" s="53" t="s">
        <v>44</v>
      </c>
      <c r="I57" s="54" t="s">
        <v>45</v>
      </c>
      <c r="J57" s="55" t="s">
        <v>46</v>
      </c>
      <c r="K57" s="56" t="s">
        <v>47</v>
      </c>
      <c r="L57" s="169"/>
      <c r="M57" s="8"/>
      <c r="N57" s="57" t="s">
        <v>48</v>
      </c>
    </row>
    <row r="58" spans="1:14" ht="38.25" customHeight="1" thickTop="1" thickBot="1" x14ac:dyDescent="0.3">
      <c r="A58" s="58">
        <v>1</v>
      </c>
      <c r="B58" s="287" t="s">
        <v>49</v>
      </c>
      <c r="C58" s="287"/>
      <c r="D58" s="287"/>
      <c r="E58" s="287"/>
      <c r="F58" s="288"/>
      <c r="G58" s="28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38.25" customHeight="1" thickTop="1" thickBot="1" x14ac:dyDescent="0.3">
      <c r="A59" s="63">
        <v>2</v>
      </c>
      <c r="B59" s="275" t="s">
        <v>51</v>
      </c>
      <c r="C59" s="289"/>
      <c r="D59" s="289"/>
      <c r="E59" s="28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8.25" customHeight="1" thickTop="1" thickBot="1" x14ac:dyDescent="0.3">
      <c r="A60" s="63">
        <v>3</v>
      </c>
      <c r="B60" s="289" t="s">
        <v>52</v>
      </c>
      <c r="C60" s="289"/>
      <c r="D60" s="289"/>
      <c r="E60" s="28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8.25" customHeight="1" thickTop="1" thickBot="1" x14ac:dyDescent="0.3">
      <c r="A61" s="63">
        <v>4</v>
      </c>
      <c r="B61" s="289" t="s">
        <v>54</v>
      </c>
      <c r="C61" s="289"/>
      <c r="D61" s="289"/>
      <c r="E61" s="28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8.25" customHeight="1" thickTop="1" thickBot="1" x14ac:dyDescent="0.3">
      <c r="A62" s="63">
        <v>5</v>
      </c>
      <c r="B62" s="289" t="s">
        <v>55</v>
      </c>
      <c r="C62" s="289"/>
      <c r="D62" s="289"/>
      <c r="E62" s="28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8.25" customHeight="1" thickTop="1" thickBot="1" x14ac:dyDescent="0.3">
      <c r="A63" s="63">
        <v>6</v>
      </c>
      <c r="B63" s="289" t="s">
        <v>56</v>
      </c>
      <c r="C63" s="289"/>
      <c r="D63" s="289"/>
      <c r="E63" s="28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8.25" customHeight="1" thickTop="1" thickBot="1" x14ac:dyDescent="0.3">
      <c r="A64" s="67">
        <v>7</v>
      </c>
      <c r="B64" s="290" t="s">
        <v>58</v>
      </c>
      <c r="C64" s="290"/>
      <c r="D64" s="290"/>
      <c r="E64" s="290"/>
      <c r="F64" s="259"/>
      <c r="G64" s="25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98" t="s">
        <v>61</v>
      </c>
      <c r="B68" s="299"/>
      <c r="C68" s="299"/>
      <c r="D68" s="299"/>
      <c r="E68" s="299"/>
      <c r="F68" s="299"/>
      <c r="G68" s="300"/>
      <c r="H68" s="78" t="s">
        <v>44</v>
      </c>
      <c r="I68" s="54" t="s">
        <v>45</v>
      </c>
      <c r="J68" s="55" t="s">
        <v>46</v>
      </c>
      <c r="K68" s="56" t="s">
        <v>47</v>
      </c>
      <c r="L68" s="169"/>
      <c r="M68" s="8"/>
      <c r="N68" s="57" t="s">
        <v>48</v>
      </c>
    </row>
    <row r="69" spans="1:14" ht="35.25" customHeight="1" thickTop="1" thickBot="1" x14ac:dyDescent="0.3">
      <c r="A69" s="58">
        <v>1</v>
      </c>
      <c r="B69" s="301" t="s">
        <v>62</v>
      </c>
      <c r="C69" s="301"/>
      <c r="D69" s="301"/>
      <c r="E69" s="301"/>
      <c r="F69" s="288"/>
      <c r="G69" s="28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35.25" customHeight="1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35.25" customHeight="1" thickTop="1" thickBot="1" x14ac:dyDescent="0.3">
      <c r="A71" s="67">
        <v>3</v>
      </c>
      <c r="B71" s="258" t="s">
        <v>65</v>
      </c>
      <c r="C71" s="258"/>
      <c r="D71" s="258"/>
      <c r="E71" s="258"/>
      <c r="F71" s="259"/>
      <c r="G71" s="25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35.25" customHeight="1" thickTop="1" thickBot="1" x14ac:dyDescent="0.3">
      <c r="A72" s="44"/>
      <c r="B72" s="260" t="s">
        <v>66</v>
      </c>
      <c r="C72" s="261"/>
      <c r="D72" s="261"/>
      <c r="E72" s="261"/>
      <c r="F72" s="261"/>
      <c r="G72" s="26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63" t="s">
        <v>67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5"/>
      <c r="L73" s="82"/>
      <c r="M73" s="45"/>
      <c r="N73" s="77">
        <f>N72/3</f>
        <v>0</v>
      </c>
    </row>
    <row r="74" spans="1:14" ht="19.5" thickTop="1" thickBot="1" x14ac:dyDescent="0.3">
      <c r="A74" s="266"/>
      <c r="B74" s="267"/>
      <c r="C74" s="267"/>
      <c r="D74" s="267"/>
      <c r="E74" s="267"/>
      <c r="F74" s="267"/>
      <c r="G74" s="267"/>
      <c r="H74" s="267"/>
      <c r="I74" s="267"/>
      <c r="J74" s="268"/>
      <c r="K74" s="268"/>
      <c r="L74" s="82"/>
      <c r="M74" s="45"/>
      <c r="N74" s="171"/>
    </row>
    <row r="75" spans="1:14" ht="26.25" thickBot="1" x14ac:dyDescent="0.3">
      <c r="A75" s="269" t="s">
        <v>68</v>
      </c>
      <c r="B75" s="270"/>
      <c r="C75" s="270"/>
      <c r="D75" s="270"/>
      <c r="E75" s="270"/>
      <c r="F75" s="270"/>
      <c r="G75" s="271"/>
      <c r="H75" s="93" t="s">
        <v>44</v>
      </c>
      <c r="I75" s="57" t="s">
        <v>45</v>
      </c>
      <c r="J75" s="169"/>
      <c r="K75" s="169"/>
      <c r="L75" s="82"/>
      <c r="M75" s="45"/>
      <c r="N75" s="94" t="s">
        <v>48</v>
      </c>
    </row>
    <row r="76" spans="1:14" ht="37.5" customHeight="1" thickBot="1" x14ac:dyDescent="0.3">
      <c r="A76" s="95">
        <v>1</v>
      </c>
      <c r="B76" s="272" t="s">
        <v>69</v>
      </c>
      <c r="C76" s="272"/>
      <c r="D76" s="272"/>
      <c r="E76" s="272"/>
      <c r="F76" s="273"/>
      <c r="G76" s="27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7.5" customHeight="1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27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7.5" customHeight="1" thickBot="1" x14ac:dyDescent="0.3">
      <c r="A78" s="67">
        <v>3</v>
      </c>
      <c r="B78" s="258" t="s">
        <v>71</v>
      </c>
      <c r="C78" s="258"/>
      <c r="D78" s="258"/>
      <c r="E78" s="258"/>
      <c r="F78" s="259"/>
      <c r="G78" s="27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79" t="s">
        <v>72</v>
      </c>
      <c r="B79" s="280"/>
      <c r="C79" s="280"/>
      <c r="D79" s="280"/>
      <c r="E79" s="280"/>
      <c r="F79" s="280"/>
      <c r="G79" s="280"/>
      <c r="H79" s="28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82" t="s">
        <v>73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85"/>
      <c r="F81" s="285"/>
      <c r="G81" s="285"/>
      <c r="H81" s="285"/>
      <c r="I81" s="285"/>
      <c r="J81" s="285"/>
      <c r="K81" s="285"/>
      <c r="L81" s="285"/>
      <c r="M81" s="285"/>
      <c r="N81" s="28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55" t="s">
        <v>74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38" t="s">
        <v>75</v>
      </c>
      <c r="B85" s="239"/>
      <c r="C85" s="239"/>
      <c r="D85" s="239"/>
      <c r="E85" s="239"/>
      <c r="F85" s="240"/>
      <c r="G85" s="241"/>
      <c r="H85" s="93" t="s">
        <v>44</v>
      </c>
      <c r="I85" s="169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42" t="s">
        <v>76</v>
      </c>
      <c r="C86" s="243"/>
      <c r="D86" s="243"/>
      <c r="E86" s="243"/>
      <c r="F86" s="244"/>
      <c r="G86" s="24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46" t="s">
        <v>78</v>
      </c>
      <c r="B88" s="247"/>
      <c r="C88" s="247"/>
      <c r="D88" s="247"/>
      <c r="E88" s="247"/>
      <c r="F88" s="247"/>
      <c r="G88" s="247"/>
      <c r="H88" s="247"/>
      <c r="I88" s="247"/>
      <c r="J88" s="24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49" t="s">
        <v>79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52" t="s">
        <v>23</v>
      </c>
      <c r="B92" s="253"/>
      <c r="C92" s="253"/>
      <c r="D92" s="253"/>
      <c r="E92" s="253"/>
      <c r="F92" s="253"/>
      <c r="G92" s="253"/>
      <c r="H92" s="253"/>
      <c r="I92" s="253"/>
      <c r="J92" s="254"/>
      <c r="K92" s="111"/>
      <c r="L92" s="111"/>
      <c r="M92" s="112"/>
      <c r="N92" s="113">
        <f>N40</f>
        <v>20.46</v>
      </c>
    </row>
    <row r="93" spans="1:14" ht="18" x14ac:dyDescent="0.25">
      <c r="A93" s="229" t="s">
        <v>80</v>
      </c>
      <c r="B93" s="230"/>
      <c r="C93" s="230"/>
      <c r="D93" s="230"/>
      <c r="E93" s="230"/>
      <c r="F93" s="230"/>
      <c r="G93" s="230"/>
      <c r="H93" s="230"/>
      <c r="I93" s="230"/>
      <c r="J93" s="231"/>
      <c r="K93" s="111"/>
      <c r="L93" s="111"/>
      <c r="M93" s="112"/>
      <c r="N93" s="114">
        <f>N66</f>
        <v>0</v>
      </c>
    </row>
    <row r="94" spans="1:14" ht="18" x14ac:dyDescent="0.25">
      <c r="A94" s="229" t="s">
        <v>81</v>
      </c>
      <c r="B94" s="230"/>
      <c r="C94" s="230"/>
      <c r="D94" s="230"/>
      <c r="E94" s="230"/>
      <c r="F94" s="230"/>
      <c r="G94" s="230"/>
      <c r="H94" s="230"/>
      <c r="I94" s="230"/>
      <c r="J94" s="231"/>
      <c r="K94" s="111"/>
      <c r="L94" s="111"/>
      <c r="M94" s="112"/>
      <c r="N94" s="115">
        <f>N73</f>
        <v>0</v>
      </c>
    </row>
    <row r="95" spans="1:14" ht="18" x14ac:dyDescent="0.25">
      <c r="A95" s="229" t="s">
        <v>82</v>
      </c>
      <c r="B95" s="230"/>
      <c r="C95" s="230"/>
      <c r="D95" s="230"/>
      <c r="E95" s="230"/>
      <c r="F95" s="230"/>
      <c r="G95" s="230"/>
      <c r="H95" s="230"/>
      <c r="I95" s="230"/>
      <c r="J95" s="231"/>
      <c r="K95" s="111"/>
      <c r="L95" s="111"/>
      <c r="M95" s="112"/>
      <c r="N95" s="116">
        <f>N80</f>
        <v>0</v>
      </c>
    </row>
    <row r="96" spans="1:14" ht="18.75" thickBot="1" x14ac:dyDescent="0.3">
      <c r="A96" s="232" t="s">
        <v>83</v>
      </c>
      <c r="B96" s="233"/>
      <c r="C96" s="233"/>
      <c r="D96" s="233"/>
      <c r="E96" s="233"/>
      <c r="F96" s="233"/>
      <c r="G96" s="233"/>
      <c r="H96" s="233"/>
      <c r="I96" s="233"/>
      <c r="J96" s="23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35" t="s">
        <v>84</v>
      </c>
      <c r="B97" s="236"/>
      <c r="C97" s="236"/>
      <c r="D97" s="236"/>
      <c r="E97" s="236"/>
      <c r="F97" s="236"/>
      <c r="G97" s="236"/>
      <c r="H97" s="236"/>
      <c r="I97" s="236"/>
      <c r="J97" s="237"/>
      <c r="K97" s="117"/>
      <c r="L97" s="118"/>
      <c r="M97" s="119"/>
      <c r="N97" s="120">
        <f>SUM(N92:N96)</f>
        <v>20.46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86EITi1pa+zFL7NwloAXi7WJTsw7r2StZpZh3+3n3pDZFLkUWpkCvuEokmGu6WftUFxQSlwJOm92zVtbs3MG6w==" saltValue="hagmZYJyN8iAwMJVG2j27g==" spinCount="100000" sheet="1" objects="1" scenarios="1" selectLockedCells="1" selectUnlockedCell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19685039370078741" bottom="0.15748031496062992" header="0" footer="0"/>
  <pageSetup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1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7.710937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47"/>
      <c r="B1" s="348"/>
      <c r="C1" s="351" t="s">
        <v>9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</row>
    <row r="2" spans="1:16" ht="51" customHeight="1" thickBot="1" x14ac:dyDescent="0.3">
      <c r="A2" s="349"/>
      <c r="B2" s="350"/>
      <c r="C2" s="351" t="s">
        <v>10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P2" s="161">
        <f ca="1">MATCH(MID(CELL("nombrearchivo",'6'!E9),FIND("]", CELL("nombrearchivo",'6'!E9),1)+1,LEN(CELL("nombrearchivo",'6'!E9))-FIND("]",CELL("nombrearchivo",'6'!E9),1)),GENERAL!A6:A54,0)</f>
        <v>8</v>
      </c>
    </row>
    <row r="3" spans="1:16" ht="15.75" x14ac:dyDescent="0.25">
      <c r="A3" s="354" t="s">
        <v>11</v>
      </c>
      <c r="B3" s="355"/>
      <c r="C3" s="355"/>
      <c r="D3" s="355"/>
      <c r="E3" s="7" t="str">
        <f>GENERAL!Z$2</f>
        <v>PLANTA</v>
      </c>
      <c r="F3" s="356"/>
      <c r="G3" s="356"/>
      <c r="H3" s="356"/>
      <c r="I3" s="356"/>
      <c r="J3" s="356"/>
      <c r="K3" s="356"/>
      <c r="L3" s="356"/>
      <c r="M3" s="356"/>
      <c r="N3" s="357"/>
    </row>
    <row r="4" spans="1:16" ht="15.75" x14ac:dyDescent="0.25">
      <c r="A4" s="324" t="s">
        <v>12</v>
      </c>
      <c r="B4" s="325"/>
      <c r="C4" s="325"/>
      <c r="D4" s="325"/>
      <c r="E4" s="8" t="str">
        <f>GENERAL!A$2</f>
        <v>C-P-07-4</v>
      </c>
      <c r="F4" s="345"/>
      <c r="G4" s="345"/>
      <c r="H4" s="345"/>
      <c r="I4" s="345"/>
      <c r="J4" s="345"/>
      <c r="K4" s="345"/>
      <c r="L4" s="345"/>
      <c r="M4" s="345"/>
      <c r="N4" s="346"/>
    </row>
    <row r="5" spans="1:16" ht="15.75" x14ac:dyDescent="0.25">
      <c r="A5" s="324" t="s">
        <v>13</v>
      </c>
      <c r="B5" s="325"/>
      <c r="C5" s="325"/>
      <c r="D5" s="325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6" x14ac:dyDescent="0.25">
      <c r="A8" s="326" t="s">
        <v>15</v>
      </c>
      <c r="B8" s="327"/>
      <c r="C8" s="330" t="s">
        <v>16</v>
      </c>
      <c r="D8" s="164"/>
      <c r="E8" s="332" t="s">
        <v>17</v>
      </c>
      <c r="F8" s="332" t="s">
        <v>18</v>
      </c>
      <c r="G8" s="332" t="s">
        <v>19</v>
      </c>
      <c r="H8" s="332" t="s">
        <v>20</v>
      </c>
      <c r="I8" s="332" t="s">
        <v>21</v>
      </c>
      <c r="J8" s="334" t="s">
        <v>22</v>
      </c>
      <c r="K8" s="165"/>
      <c r="L8" s="336"/>
      <c r="M8" s="336"/>
      <c r="N8" s="338" t="s">
        <v>23</v>
      </c>
    </row>
    <row r="9" spans="1:16" ht="31.5" customHeight="1" thickBot="1" x14ac:dyDescent="0.3">
      <c r="A9" s="328"/>
      <c r="B9" s="329"/>
      <c r="C9" s="331"/>
      <c r="D9" s="17"/>
      <c r="E9" s="333"/>
      <c r="F9" s="333"/>
      <c r="G9" s="333"/>
      <c r="H9" s="333"/>
      <c r="I9" s="333"/>
      <c r="J9" s="335"/>
      <c r="K9" s="166"/>
      <c r="L9" s="337"/>
      <c r="M9" s="337"/>
      <c r="N9" s="339"/>
    </row>
    <row r="10" spans="1:16" ht="44.25" customHeight="1" thickBot="1" x14ac:dyDescent="0.3">
      <c r="A10" s="340" t="str">
        <f ca="1">CONCATENATE((INDIRECT("GENERAL!D"&amp;P2+5))," ",((INDIRECT("GENERAL!E"&amp;P2+5))))</f>
        <v>CALDERON GOMEZ   JUAN CARLOS</v>
      </c>
      <c r="B10" s="341"/>
      <c r="C10" s="19">
        <f>N14</f>
        <v>4</v>
      </c>
      <c r="D10" s="20"/>
      <c r="E10" s="21">
        <f>N16</f>
        <v>0</v>
      </c>
      <c r="F10" s="21">
        <f>N18</f>
        <v>0</v>
      </c>
      <c r="G10" s="21">
        <f>N20</f>
        <v>6</v>
      </c>
      <c r="H10" s="21">
        <f>N27</f>
        <v>1.1599999999999999</v>
      </c>
      <c r="I10" s="21">
        <f>N32</f>
        <v>0</v>
      </c>
      <c r="J10" s="22">
        <f>N37</f>
        <v>7.45</v>
      </c>
      <c r="K10" s="23"/>
      <c r="L10" s="23"/>
      <c r="M10" s="23"/>
      <c r="N10" s="24">
        <v>19.059999999999999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42" t="s">
        <v>24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27" t="s">
        <v>25</v>
      </c>
    </row>
    <row r="13" spans="1:16" ht="24" thickBot="1" x14ac:dyDescent="0.3">
      <c r="A13" s="307" t="s">
        <v>26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8"/>
      <c r="N13" s="26"/>
    </row>
    <row r="14" spans="1:16" ht="31.5" customHeight="1" thickBot="1" x14ac:dyDescent="0.3">
      <c r="A14" s="260" t="s">
        <v>27</v>
      </c>
      <c r="B14" s="262"/>
      <c r="C14" s="28"/>
      <c r="D14" s="310" t="str">
        <f ca="1">(INDIRECT("GENERAL!J"&amp;P2+5))</f>
        <v>QUIMICO/UNIVERSIDAD NACIONAL DE COLOMBIA/2004</v>
      </c>
      <c r="E14" s="311"/>
      <c r="F14" s="311"/>
      <c r="G14" s="311"/>
      <c r="H14" s="311"/>
      <c r="I14" s="311"/>
      <c r="J14" s="311"/>
      <c r="K14" s="311"/>
      <c r="L14" s="31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13" t="s">
        <v>28</v>
      </c>
      <c r="B16" s="314"/>
      <c r="C16" s="8"/>
      <c r="D16" s="34"/>
      <c r="E16" s="321" t="str">
        <f ca="1">(INDIRECT("GENERAL!K"&amp;P2+5))</f>
        <v>NO REGISTRA</v>
      </c>
      <c r="F16" s="322"/>
      <c r="G16" s="322"/>
      <c r="H16" s="322"/>
      <c r="I16" s="322"/>
      <c r="J16" s="322"/>
      <c r="K16" s="322"/>
      <c r="L16" s="32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13" t="s">
        <v>29</v>
      </c>
      <c r="B18" s="314"/>
      <c r="C18" s="28"/>
      <c r="D18" s="163"/>
      <c r="E18" s="322" t="str">
        <f ca="1">(INDIRECT("GENERAL!L"&amp;P2+5))</f>
        <v>NO REGISTRA</v>
      </c>
      <c r="F18" s="322"/>
      <c r="G18" s="322"/>
      <c r="H18" s="322"/>
      <c r="I18" s="322"/>
      <c r="J18" s="322"/>
      <c r="K18" s="322"/>
      <c r="L18" s="32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13" t="s">
        <v>30</v>
      </c>
      <c r="B20" s="314"/>
      <c r="C20" s="28"/>
      <c r="D20" s="318" t="str">
        <f ca="1">(INDIRECT("GENERAL!M"&amp;P2+5))</f>
        <v>DOCTOR EN QUIMICA E INGENIERIA QUIMICA/UNIVERSIDAD DE LA LAGUNA (ESPAÑA)/2013</v>
      </c>
      <c r="E20" s="319"/>
      <c r="F20" s="319"/>
      <c r="G20" s="319"/>
      <c r="H20" s="319"/>
      <c r="I20" s="319"/>
      <c r="J20" s="319"/>
      <c r="K20" s="319"/>
      <c r="L20" s="320"/>
      <c r="M20" s="29"/>
      <c r="N20" s="30">
        <v>6</v>
      </c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304" t="s">
        <v>31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6"/>
      <c r="M22" s="8"/>
      <c r="N22" s="160">
        <f>IF( SUM(N14:N20)&lt;=10,SUM(N14:N20),"EXCEDE LOS 10 PUNTOS VALIDOS")</f>
        <v>10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307" t="s">
        <v>32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9"/>
      <c r="M24" s="8"/>
      <c r="N24" s="40"/>
    </row>
    <row r="25" spans="1:17" ht="68.25" customHeight="1" thickBot="1" x14ac:dyDescent="0.3">
      <c r="A25" s="260" t="s">
        <v>33</v>
      </c>
      <c r="B25" s="262"/>
      <c r="C25" s="28"/>
      <c r="D25" s="310" t="s">
        <v>186</v>
      </c>
      <c r="E25" s="311"/>
      <c r="F25" s="311"/>
      <c r="G25" s="311"/>
      <c r="H25" s="311"/>
      <c r="I25" s="311"/>
      <c r="J25" s="311"/>
      <c r="K25" s="311"/>
      <c r="L25" s="312"/>
      <c r="M25" s="29"/>
      <c r="N25" s="30">
        <f>0.71+0.23+0.22</f>
        <v>1.1599999999999999</v>
      </c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304" t="s">
        <v>34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162"/>
      <c r="N27" s="160">
        <f>IF(N25&lt;=5,N25,"EXCEDE LOS 5 PUNTOS PERMITIDOS")</f>
        <v>1.1599999999999999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307" t="s">
        <v>35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9"/>
      <c r="M29" s="45"/>
      <c r="N29" s="40"/>
    </row>
    <row r="30" spans="1:17" ht="35.25" customHeight="1" thickBot="1" x14ac:dyDescent="0.3">
      <c r="A30" s="260" t="s">
        <v>36</v>
      </c>
      <c r="B30" s="262"/>
      <c r="C30" s="28"/>
      <c r="D30" s="310" t="s">
        <v>187</v>
      </c>
      <c r="E30" s="311"/>
      <c r="F30" s="311"/>
      <c r="G30" s="311"/>
      <c r="H30" s="311"/>
      <c r="I30" s="311"/>
      <c r="J30" s="311"/>
      <c r="K30" s="311"/>
      <c r="L30" s="312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304" t="s">
        <v>37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307" t="s">
        <v>38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9"/>
      <c r="M34" s="8"/>
      <c r="N34" s="40"/>
    </row>
    <row r="35" spans="1:14" ht="265.5" customHeight="1" thickBot="1" x14ac:dyDescent="0.3">
      <c r="A35" s="313" t="s">
        <v>39</v>
      </c>
      <c r="B35" s="314"/>
      <c r="C35" s="28"/>
      <c r="D35" s="310" t="s">
        <v>188</v>
      </c>
      <c r="E35" s="311"/>
      <c r="F35" s="311"/>
      <c r="G35" s="311"/>
      <c r="H35" s="311"/>
      <c r="I35" s="311"/>
      <c r="J35" s="311"/>
      <c r="K35" s="311"/>
      <c r="L35" s="312"/>
      <c r="M35" s="29"/>
      <c r="N35" s="30">
        <f>1+2+1.12+1.12+1+0.75+0.46</f>
        <v>7.45</v>
      </c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304" t="s">
        <v>40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162"/>
      <c r="N37" s="160">
        <f>IF(N35&lt;=10,N35,"EXCEDE LOS 10 PUNTOS PERMITIDOS")</f>
        <v>7.45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15" t="s">
        <v>23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7"/>
      <c r="M40" s="48"/>
      <c r="N40" s="49">
        <v>19.059999999999999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55" t="s">
        <v>42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98" t="s">
        <v>43</v>
      </c>
      <c r="B57" s="299"/>
      <c r="C57" s="299"/>
      <c r="D57" s="299"/>
      <c r="E57" s="299"/>
      <c r="F57" s="302"/>
      <c r="G57" s="303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87" t="s">
        <v>49</v>
      </c>
      <c r="C58" s="287"/>
      <c r="D58" s="287"/>
      <c r="E58" s="287"/>
      <c r="F58" s="288"/>
      <c r="G58" s="28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5" t="s">
        <v>51</v>
      </c>
      <c r="C59" s="289"/>
      <c r="D59" s="289"/>
      <c r="E59" s="28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89" t="s">
        <v>52</v>
      </c>
      <c r="C60" s="289"/>
      <c r="D60" s="289"/>
      <c r="E60" s="28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89" t="s">
        <v>54</v>
      </c>
      <c r="C61" s="289"/>
      <c r="D61" s="289"/>
      <c r="E61" s="28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89" t="s">
        <v>55</v>
      </c>
      <c r="C62" s="289"/>
      <c r="D62" s="289"/>
      <c r="E62" s="28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89" t="s">
        <v>56</v>
      </c>
      <c r="C63" s="289"/>
      <c r="D63" s="289"/>
      <c r="E63" s="28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90" t="s">
        <v>58</v>
      </c>
      <c r="C64" s="290"/>
      <c r="D64" s="290"/>
      <c r="E64" s="290"/>
      <c r="F64" s="259"/>
      <c r="G64" s="25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98" t="s">
        <v>61</v>
      </c>
      <c r="B68" s="299"/>
      <c r="C68" s="299"/>
      <c r="D68" s="299"/>
      <c r="E68" s="299"/>
      <c r="F68" s="299"/>
      <c r="G68" s="300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301" t="s">
        <v>62</v>
      </c>
      <c r="C69" s="301"/>
      <c r="D69" s="301"/>
      <c r="E69" s="301"/>
      <c r="F69" s="288"/>
      <c r="G69" s="28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58" t="s">
        <v>65</v>
      </c>
      <c r="C71" s="258"/>
      <c r="D71" s="258"/>
      <c r="E71" s="258"/>
      <c r="F71" s="259"/>
      <c r="G71" s="25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261"/>
      <c r="D72" s="261"/>
      <c r="E72" s="261"/>
      <c r="F72" s="261"/>
      <c r="G72" s="26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63" t="s">
        <v>67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5"/>
      <c r="L73" s="82"/>
      <c r="M73" s="45"/>
      <c r="N73" s="77">
        <f>N72/3</f>
        <v>0</v>
      </c>
    </row>
    <row r="74" spans="1:14" ht="19.5" thickTop="1" thickBot="1" x14ac:dyDescent="0.3">
      <c r="A74" s="266"/>
      <c r="B74" s="267"/>
      <c r="C74" s="267"/>
      <c r="D74" s="267"/>
      <c r="E74" s="267"/>
      <c r="F74" s="267"/>
      <c r="G74" s="267"/>
      <c r="H74" s="267"/>
      <c r="I74" s="267"/>
      <c r="J74" s="268"/>
      <c r="K74" s="268"/>
      <c r="L74" s="82"/>
      <c r="M74" s="45"/>
      <c r="N74" s="167"/>
    </row>
    <row r="75" spans="1:14" ht="26.25" thickBot="1" x14ac:dyDescent="0.3">
      <c r="A75" s="269" t="s">
        <v>68</v>
      </c>
      <c r="B75" s="270"/>
      <c r="C75" s="270"/>
      <c r="D75" s="270"/>
      <c r="E75" s="270"/>
      <c r="F75" s="270"/>
      <c r="G75" s="271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72" t="s">
        <v>69</v>
      </c>
      <c r="C76" s="272"/>
      <c r="D76" s="272"/>
      <c r="E76" s="272"/>
      <c r="F76" s="273"/>
      <c r="G76" s="27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27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58" t="s">
        <v>71</v>
      </c>
      <c r="C78" s="258"/>
      <c r="D78" s="258"/>
      <c r="E78" s="258"/>
      <c r="F78" s="259"/>
      <c r="G78" s="27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79" t="s">
        <v>72</v>
      </c>
      <c r="B79" s="280"/>
      <c r="C79" s="280"/>
      <c r="D79" s="280"/>
      <c r="E79" s="280"/>
      <c r="F79" s="280"/>
      <c r="G79" s="280"/>
      <c r="H79" s="28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82" t="s">
        <v>73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85"/>
      <c r="F81" s="285"/>
      <c r="G81" s="285"/>
      <c r="H81" s="285"/>
      <c r="I81" s="285"/>
      <c r="J81" s="285"/>
      <c r="K81" s="285"/>
      <c r="L81" s="285"/>
      <c r="M81" s="285"/>
      <c r="N81" s="28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55" t="s">
        <v>74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38" t="s">
        <v>75</v>
      </c>
      <c r="B85" s="239"/>
      <c r="C85" s="239"/>
      <c r="D85" s="239"/>
      <c r="E85" s="239"/>
      <c r="F85" s="240"/>
      <c r="G85" s="241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42" t="s">
        <v>76</v>
      </c>
      <c r="C86" s="243"/>
      <c r="D86" s="243"/>
      <c r="E86" s="243"/>
      <c r="F86" s="244"/>
      <c r="G86" s="24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46" t="s">
        <v>78</v>
      </c>
      <c r="B88" s="247"/>
      <c r="C88" s="247"/>
      <c r="D88" s="247"/>
      <c r="E88" s="247"/>
      <c r="F88" s="247"/>
      <c r="G88" s="247"/>
      <c r="H88" s="247"/>
      <c r="I88" s="247"/>
      <c r="J88" s="24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49" t="s">
        <v>79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52" t="s">
        <v>23</v>
      </c>
      <c r="B92" s="253"/>
      <c r="C92" s="253"/>
      <c r="D92" s="253"/>
      <c r="E92" s="253"/>
      <c r="F92" s="253"/>
      <c r="G92" s="253"/>
      <c r="H92" s="253"/>
      <c r="I92" s="253"/>
      <c r="J92" s="254"/>
      <c r="K92" s="111"/>
      <c r="L92" s="111"/>
      <c r="M92" s="112"/>
      <c r="N92" s="113">
        <f>N40</f>
        <v>19.059999999999999</v>
      </c>
    </row>
    <row r="93" spans="1:14" ht="18" x14ac:dyDescent="0.25">
      <c r="A93" s="229" t="s">
        <v>80</v>
      </c>
      <c r="B93" s="230"/>
      <c r="C93" s="230"/>
      <c r="D93" s="230"/>
      <c r="E93" s="230"/>
      <c r="F93" s="230"/>
      <c r="G93" s="230"/>
      <c r="H93" s="230"/>
      <c r="I93" s="230"/>
      <c r="J93" s="231"/>
      <c r="K93" s="111"/>
      <c r="L93" s="111"/>
      <c r="M93" s="112"/>
      <c r="N93" s="114">
        <f>N66</f>
        <v>0</v>
      </c>
    </row>
    <row r="94" spans="1:14" ht="18" x14ac:dyDescent="0.25">
      <c r="A94" s="229" t="s">
        <v>81</v>
      </c>
      <c r="B94" s="230"/>
      <c r="C94" s="230"/>
      <c r="D94" s="230"/>
      <c r="E94" s="230"/>
      <c r="F94" s="230"/>
      <c r="G94" s="230"/>
      <c r="H94" s="230"/>
      <c r="I94" s="230"/>
      <c r="J94" s="231"/>
      <c r="K94" s="111"/>
      <c r="L94" s="111"/>
      <c r="M94" s="112"/>
      <c r="N94" s="115">
        <f>N73</f>
        <v>0</v>
      </c>
    </row>
    <row r="95" spans="1:14" ht="18" x14ac:dyDescent="0.25">
      <c r="A95" s="229" t="s">
        <v>82</v>
      </c>
      <c r="B95" s="230"/>
      <c r="C95" s="230"/>
      <c r="D95" s="230"/>
      <c r="E95" s="230"/>
      <c r="F95" s="230"/>
      <c r="G95" s="230"/>
      <c r="H95" s="230"/>
      <c r="I95" s="230"/>
      <c r="J95" s="231"/>
      <c r="K95" s="111"/>
      <c r="L95" s="111"/>
      <c r="M95" s="112"/>
      <c r="N95" s="116">
        <f>N80</f>
        <v>0</v>
      </c>
    </row>
    <row r="96" spans="1:14" ht="18.75" thickBot="1" x14ac:dyDescent="0.3">
      <c r="A96" s="232" t="s">
        <v>83</v>
      </c>
      <c r="B96" s="233"/>
      <c r="C96" s="233"/>
      <c r="D96" s="233"/>
      <c r="E96" s="233"/>
      <c r="F96" s="233"/>
      <c r="G96" s="233"/>
      <c r="H96" s="233"/>
      <c r="I96" s="233"/>
      <c r="J96" s="23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35" t="s">
        <v>84</v>
      </c>
      <c r="B97" s="236"/>
      <c r="C97" s="236"/>
      <c r="D97" s="236"/>
      <c r="E97" s="236"/>
      <c r="F97" s="236"/>
      <c r="G97" s="236"/>
      <c r="H97" s="236"/>
      <c r="I97" s="236"/>
      <c r="J97" s="237"/>
      <c r="K97" s="117"/>
      <c r="L97" s="118"/>
      <c r="M97" s="119"/>
      <c r="N97" s="120">
        <f>SUM(N92:N96)</f>
        <v>19.059999999999999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9vqbGnyZ5hfg3iFwjBOikQG+ZYhmBvjT1uPmnPfv2wWApSxvP1odv/GUKqKdvo9DRnb/HcI+7e1EZ9BiUqkWbw==" saltValue="hpvFnuqboUrg0omiY9R87g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15748031496062992" bottom="0.15748031496062992" header="0" footer="0"/>
  <pageSetup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8"/>
  <sheetViews>
    <sheetView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1.8554687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8.14062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47"/>
      <c r="B1" s="348"/>
      <c r="C1" s="351" t="s">
        <v>9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</row>
    <row r="2" spans="1:16" ht="51" customHeight="1" thickBot="1" x14ac:dyDescent="0.3">
      <c r="A2" s="349"/>
      <c r="B2" s="350"/>
      <c r="C2" s="351" t="s">
        <v>10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P2" s="161">
        <f ca="1">MATCH(MID(CELL("nombrearchivo",'7'!E9),FIND("]", CELL("nombrearchivo",'7'!E9),1)+1,LEN(CELL("nombrearchivo",'7'!E9))-FIND("]",CELL("nombrearchivo",'7'!E9),1)),GENERAL!A6:A54,0)</f>
        <v>3</v>
      </c>
    </row>
    <row r="3" spans="1:16" ht="15.75" x14ac:dyDescent="0.25">
      <c r="A3" s="354" t="s">
        <v>11</v>
      </c>
      <c r="B3" s="355"/>
      <c r="C3" s="355"/>
      <c r="D3" s="355"/>
      <c r="E3" s="7" t="str">
        <f>GENERAL!Z$2</f>
        <v>PLANTA</v>
      </c>
      <c r="F3" s="356"/>
      <c r="G3" s="356"/>
      <c r="H3" s="356"/>
      <c r="I3" s="356"/>
      <c r="J3" s="356"/>
      <c r="K3" s="356"/>
      <c r="L3" s="356"/>
      <c r="M3" s="356"/>
      <c r="N3" s="357"/>
    </row>
    <row r="4" spans="1:16" ht="15.75" x14ac:dyDescent="0.25">
      <c r="A4" s="324" t="s">
        <v>12</v>
      </c>
      <c r="B4" s="325"/>
      <c r="C4" s="325"/>
      <c r="D4" s="325"/>
      <c r="E4" s="8" t="str">
        <f>GENERAL!A$2</f>
        <v>C-P-07-4</v>
      </c>
      <c r="F4" s="345"/>
      <c r="G4" s="345"/>
      <c r="H4" s="345"/>
      <c r="I4" s="345"/>
      <c r="J4" s="345"/>
      <c r="K4" s="345"/>
      <c r="L4" s="345"/>
      <c r="M4" s="345"/>
      <c r="N4" s="346"/>
    </row>
    <row r="5" spans="1:16" ht="15.75" x14ac:dyDescent="0.25">
      <c r="A5" s="324" t="s">
        <v>13</v>
      </c>
      <c r="B5" s="325"/>
      <c r="C5" s="325"/>
      <c r="D5" s="325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6" x14ac:dyDescent="0.25">
      <c r="A8" s="326" t="s">
        <v>15</v>
      </c>
      <c r="B8" s="327"/>
      <c r="C8" s="330" t="s">
        <v>16</v>
      </c>
      <c r="D8" s="156"/>
      <c r="E8" s="332" t="s">
        <v>17</v>
      </c>
      <c r="F8" s="332" t="s">
        <v>18</v>
      </c>
      <c r="G8" s="332" t="s">
        <v>19</v>
      </c>
      <c r="H8" s="332" t="s">
        <v>20</v>
      </c>
      <c r="I8" s="332" t="s">
        <v>21</v>
      </c>
      <c r="J8" s="334" t="s">
        <v>22</v>
      </c>
      <c r="K8" s="157"/>
      <c r="L8" s="336"/>
      <c r="M8" s="336"/>
      <c r="N8" s="338" t="s">
        <v>23</v>
      </c>
    </row>
    <row r="9" spans="1:16" ht="31.5" customHeight="1" thickBot="1" x14ac:dyDescent="0.3">
      <c r="A9" s="328"/>
      <c r="B9" s="329"/>
      <c r="C9" s="331"/>
      <c r="D9" s="17"/>
      <c r="E9" s="333"/>
      <c r="F9" s="333"/>
      <c r="G9" s="333"/>
      <c r="H9" s="333"/>
      <c r="I9" s="333"/>
      <c r="J9" s="335"/>
      <c r="K9" s="158"/>
      <c r="L9" s="337"/>
      <c r="M9" s="337"/>
      <c r="N9" s="339"/>
    </row>
    <row r="10" spans="1:16" ht="44.25" customHeight="1" thickBot="1" x14ac:dyDescent="0.3">
      <c r="A10" s="340" t="str">
        <f ca="1">CONCATENATE((INDIRECT("GENERAL!D"&amp;P2+5))," ",((INDIRECT("GENERAL!E"&amp;P2+5))))</f>
        <v>AVILA VANEGAS HUMAR ALBERTO</v>
      </c>
      <c r="B10" s="341"/>
      <c r="C10" s="19">
        <f>N14</f>
        <v>4</v>
      </c>
      <c r="D10" s="20"/>
      <c r="E10" s="21">
        <f>N16</f>
        <v>0</v>
      </c>
      <c r="F10" s="21">
        <f>N18</f>
        <v>0</v>
      </c>
      <c r="G10" s="21">
        <f>N20</f>
        <v>3</v>
      </c>
      <c r="H10" s="21">
        <f>N27</f>
        <v>1.68</v>
      </c>
      <c r="I10" s="21">
        <f>N32</f>
        <v>0</v>
      </c>
      <c r="J10" s="22">
        <f>N37</f>
        <v>10</v>
      </c>
      <c r="K10" s="23"/>
      <c r="L10" s="23"/>
      <c r="M10" s="23"/>
      <c r="N10" s="24">
        <f>IF( SUM(C10:J10)&lt;=30,SUM(C10:J10),"EXCEDE LOS 30 PUNTOS")</f>
        <v>18.68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42" t="s">
        <v>24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27" t="s">
        <v>25</v>
      </c>
    </row>
    <row r="13" spans="1:16" ht="24" thickBot="1" x14ac:dyDescent="0.3">
      <c r="A13" s="307" t="s">
        <v>26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8"/>
      <c r="N13" s="26"/>
    </row>
    <row r="14" spans="1:16" ht="31.5" customHeight="1" thickBot="1" x14ac:dyDescent="0.3">
      <c r="A14" s="260" t="s">
        <v>27</v>
      </c>
      <c r="B14" s="262"/>
      <c r="C14" s="28"/>
      <c r="D14" s="310" t="str">
        <f ca="1">(INDIRECT("GENERAL!J"&amp;P2+5))</f>
        <v>QUIMICO /UNIVERSIDAD DEL CAUCA/2004</v>
      </c>
      <c r="E14" s="311"/>
      <c r="F14" s="311"/>
      <c r="G14" s="311"/>
      <c r="H14" s="311"/>
      <c r="I14" s="311"/>
      <c r="J14" s="311"/>
      <c r="K14" s="311"/>
      <c r="L14" s="31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13" t="s">
        <v>28</v>
      </c>
      <c r="B16" s="314"/>
      <c r="C16" s="8"/>
      <c r="D16" s="34"/>
      <c r="E16" s="321" t="str">
        <f ca="1">(INDIRECT("GENERAL!K"&amp;P2+5))</f>
        <v>NO REGISTRA</v>
      </c>
      <c r="F16" s="322"/>
      <c r="G16" s="322"/>
      <c r="H16" s="322"/>
      <c r="I16" s="322"/>
      <c r="J16" s="322"/>
      <c r="K16" s="322"/>
      <c r="L16" s="32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313" t="s">
        <v>29</v>
      </c>
      <c r="B18" s="314"/>
      <c r="C18" s="28"/>
      <c r="D18" s="155"/>
      <c r="E18" s="322" t="str">
        <f ca="1">(INDIRECT("GENERAL!L"&amp;P2+5))</f>
        <v>NO REGISTRA</v>
      </c>
      <c r="F18" s="322"/>
      <c r="G18" s="322"/>
      <c r="H18" s="322"/>
      <c r="I18" s="322"/>
      <c r="J18" s="322"/>
      <c r="K18" s="322"/>
      <c r="L18" s="32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313" t="s">
        <v>30</v>
      </c>
      <c r="B20" s="314"/>
      <c r="C20" s="28"/>
      <c r="D20" s="318" t="str">
        <f ca="1">(INDIRECT("GENERAL!M"&amp;P2+5))</f>
        <v>DOCTOR EN CIENCIAS MATEMATICAS /UNIVERSIDAD NACIONAL DE MAR DEL PLATA (PENDIENTE DE CEREMONIA DE GRADO)</v>
      </c>
      <c r="E20" s="319"/>
      <c r="F20" s="319"/>
      <c r="G20" s="319"/>
      <c r="H20" s="319"/>
      <c r="I20" s="319"/>
      <c r="J20" s="319"/>
      <c r="K20" s="319"/>
      <c r="L20" s="320"/>
      <c r="M20" s="29"/>
      <c r="N20" s="30">
        <v>3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304" t="s">
        <v>31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6"/>
      <c r="M22" s="8"/>
      <c r="N22" s="160">
        <f>IF( SUM(N14:N20)&lt;=10,SUM(N14:N20),"EXCEDE LOS 10 PUNTOS VALIDOS")</f>
        <v>7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307" t="s">
        <v>32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9"/>
      <c r="M24" s="8"/>
      <c r="N24" s="40"/>
    </row>
    <row r="25" spans="1:17" ht="107.25" customHeight="1" thickBot="1" x14ac:dyDescent="0.3">
      <c r="A25" s="260" t="s">
        <v>33</v>
      </c>
      <c r="B25" s="262"/>
      <c r="C25" s="28"/>
      <c r="D25" s="310" t="s">
        <v>192</v>
      </c>
      <c r="E25" s="311"/>
      <c r="F25" s="311"/>
      <c r="G25" s="311"/>
      <c r="H25" s="311"/>
      <c r="I25" s="311"/>
      <c r="J25" s="311"/>
      <c r="K25" s="311"/>
      <c r="L25" s="312"/>
      <c r="M25" s="29"/>
      <c r="N25" s="30">
        <f>0.73+0.23+0.72</f>
        <v>1.68</v>
      </c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304" t="s">
        <v>34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154"/>
      <c r="N27" s="160">
        <f>IF(N25&lt;=5,N25,"EXCEDE LOS 5 PUNTOS PERMITIDOS")</f>
        <v>1.68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307" t="s">
        <v>35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9"/>
      <c r="M29" s="45"/>
      <c r="N29" s="40"/>
    </row>
    <row r="30" spans="1:17" ht="35.25" customHeight="1" thickBot="1" x14ac:dyDescent="0.3">
      <c r="A30" s="260" t="s">
        <v>36</v>
      </c>
      <c r="B30" s="262"/>
      <c r="C30" s="28"/>
      <c r="D30" s="310" t="s">
        <v>187</v>
      </c>
      <c r="E30" s="311"/>
      <c r="F30" s="311"/>
      <c r="G30" s="311"/>
      <c r="H30" s="311"/>
      <c r="I30" s="311"/>
      <c r="J30" s="311"/>
      <c r="K30" s="311"/>
      <c r="L30" s="312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304" t="s">
        <v>37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307" t="s">
        <v>38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9"/>
      <c r="M34" s="8"/>
      <c r="N34" s="40"/>
    </row>
    <row r="35" spans="1:14" ht="120" customHeight="1" thickBot="1" x14ac:dyDescent="0.3">
      <c r="A35" s="313" t="s">
        <v>39</v>
      </c>
      <c r="B35" s="314"/>
      <c r="C35" s="28"/>
      <c r="D35" s="310" t="s">
        <v>193</v>
      </c>
      <c r="E35" s="311"/>
      <c r="F35" s="311"/>
      <c r="G35" s="311"/>
      <c r="H35" s="311"/>
      <c r="I35" s="311"/>
      <c r="J35" s="311"/>
      <c r="K35" s="311"/>
      <c r="L35" s="312"/>
      <c r="M35" s="29"/>
      <c r="N35" s="30">
        <v>10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304" t="s">
        <v>40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154"/>
      <c r="N37" s="160">
        <f>IF(N35&lt;=10,N35,"EXCEDE LOS 10 PUNTOS PERMITIDOS")</f>
        <v>10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15" t="s">
        <v>23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7"/>
      <c r="M40" s="48"/>
      <c r="N40" s="49">
        <f>IF((N22+N27+N32+N37)&lt;=30,(N22+N27+N32+N37),"ERROR EXCEDE LOS 30 PUNTOS")</f>
        <v>18.68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55" t="s">
        <v>42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98" t="s">
        <v>43</v>
      </c>
      <c r="B57" s="299"/>
      <c r="C57" s="299"/>
      <c r="D57" s="299"/>
      <c r="E57" s="299"/>
      <c r="F57" s="302"/>
      <c r="G57" s="303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51" customHeight="1" thickTop="1" thickBot="1" x14ac:dyDescent="0.3">
      <c r="A58" s="58">
        <v>1</v>
      </c>
      <c r="B58" s="287" t="s">
        <v>49</v>
      </c>
      <c r="C58" s="287"/>
      <c r="D58" s="287"/>
      <c r="E58" s="287"/>
      <c r="F58" s="288"/>
      <c r="G58" s="28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51" customHeight="1" thickTop="1" thickBot="1" x14ac:dyDescent="0.3">
      <c r="A59" s="63">
        <v>2</v>
      </c>
      <c r="B59" s="275" t="s">
        <v>51</v>
      </c>
      <c r="C59" s="289"/>
      <c r="D59" s="289"/>
      <c r="E59" s="28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51" customHeight="1" thickTop="1" thickBot="1" x14ac:dyDescent="0.3">
      <c r="A60" s="63">
        <v>3</v>
      </c>
      <c r="B60" s="289" t="s">
        <v>52</v>
      </c>
      <c r="C60" s="289"/>
      <c r="D60" s="289"/>
      <c r="E60" s="28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51" customHeight="1" thickTop="1" thickBot="1" x14ac:dyDescent="0.3">
      <c r="A61" s="63">
        <v>4</v>
      </c>
      <c r="B61" s="289" t="s">
        <v>54</v>
      </c>
      <c r="C61" s="289"/>
      <c r="D61" s="289"/>
      <c r="E61" s="28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51" customHeight="1" thickTop="1" thickBot="1" x14ac:dyDescent="0.3">
      <c r="A62" s="63">
        <v>5</v>
      </c>
      <c r="B62" s="289" t="s">
        <v>55</v>
      </c>
      <c r="C62" s="289"/>
      <c r="D62" s="289"/>
      <c r="E62" s="28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51" customHeight="1" thickTop="1" thickBot="1" x14ac:dyDescent="0.3">
      <c r="A63" s="63">
        <v>6</v>
      </c>
      <c r="B63" s="289" t="s">
        <v>56</v>
      </c>
      <c r="C63" s="289"/>
      <c r="D63" s="289"/>
      <c r="E63" s="28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51" customHeight="1" thickTop="1" thickBot="1" x14ac:dyDescent="0.3">
      <c r="A64" s="67">
        <v>7</v>
      </c>
      <c r="B64" s="290" t="s">
        <v>58</v>
      </c>
      <c r="C64" s="290"/>
      <c r="D64" s="290"/>
      <c r="E64" s="290"/>
      <c r="F64" s="259"/>
      <c r="G64" s="25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98" t="s">
        <v>61</v>
      </c>
      <c r="B68" s="299"/>
      <c r="C68" s="299"/>
      <c r="D68" s="299"/>
      <c r="E68" s="299"/>
      <c r="F68" s="299"/>
      <c r="G68" s="300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35.25" customHeight="1" thickTop="1" thickBot="1" x14ac:dyDescent="0.3">
      <c r="A69" s="58">
        <v>1</v>
      </c>
      <c r="B69" s="301" t="s">
        <v>62</v>
      </c>
      <c r="C69" s="301"/>
      <c r="D69" s="301"/>
      <c r="E69" s="301"/>
      <c r="F69" s="288"/>
      <c r="G69" s="28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35.25" customHeight="1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35.25" customHeight="1" thickTop="1" thickBot="1" x14ac:dyDescent="0.3">
      <c r="A71" s="67">
        <v>3</v>
      </c>
      <c r="B71" s="258" t="s">
        <v>65</v>
      </c>
      <c r="C71" s="258"/>
      <c r="D71" s="258"/>
      <c r="E71" s="258"/>
      <c r="F71" s="259"/>
      <c r="G71" s="25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35.25" customHeight="1" thickTop="1" thickBot="1" x14ac:dyDescent="0.3">
      <c r="A72" s="44"/>
      <c r="B72" s="260" t="s">
        <v>66</v>
      </c>
      <c r="C72" s="261"/>
      <c r="D72" s="261"/>
      <c r="E72" s="261"/>
      <c r="F72" s="261"/>
      <c r="G72" s="26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63" t="s">
        <v>67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5"/>
      <c r="L73" s="82"/>
      <c r="M73" s="45"/>
      <c r="N73" s="77">
        <f>N72/3</f>
        <v>0</v>
      </c>
    </row>
    <row r="74" spans="1:14" ht="19.5" thickTop="1" thickBot="1" x14ac:dyDescent="0.3">
      <c r="A74" s="266"/>
      <c r="B74" s="267"/>
      <c r="C74" s="267"/>
      <c r="D74" s="267"/>
      <c r="E74" s="267"/>
      <c r="F74" s="267"/>
      <c r="G74" s="267"/>
      <c r="H74" s="267"/>
      <c r="I74" s="267"/>
      <c r="J74" s="268"/>
      <c r="K74" s="268"/>
      <c r="L74" s="82"/>
      <c r="M74" s="45"/>
      <c r="N74" s="159"/>
    </row>
    <row r="75" spans="1:14" ht="26.25" thickBot="1" x14ac:dyDescent="0.3">
      <c r="A75" s="269" t="s">
        <v>68</v>
      </c>
      <c r="B75" s="270"/>
      <c r="C75" s="270"/>
      <c r="D75" s="270"/>
      <c r="E75" s="270"/>
      <c r="F75" s="270"/>
      <c r="G75" s="271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38.25" customHeight="1" thickBot="1" x14ac:dyDescent="0.3">
      <c r="A76" s="95">
        <v>1</v>
      </c>
      <c r="B76" s="272" t="s">
        <v>69</v>
      </c>
      <c r="C76" s="272"/>
      <c r="D76" s="272"/>
      <c r="E76" s="272"/>
      <c r="F76" s="273"/>
      <c r="G76" s="27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8.25" customHeight="1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27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8.25" customHeight="1" thickBot="1" x14ac:dyDescent="0.3">
      <c r="A78" s="67">
        <v>3</v>
      </c>
      <c r="B78" s="258" t="s">
        <v>71</v>
      </c>
      <c r="C78" s="258"/>
      <c r="D78" s="258"/>
      <c r="E78" s="258"/>
      <c r="F78" s="259"/>
      <c r="G78" s="27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79" t="s">
        <v>72</v>
      </c>
      <c r="B79" s="280"/>
      <c r="C79" s="280"/>
      <c r="D79" s="280"/>
      <c r="E79" s="280"/>
      <c r="F79" s="280"/>
      <c r="G79" s="280"/>
      <c r="H79" s="28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82" t="s">
        <v>73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85"/>
      <c r="F81" s="285"/>
      <c r="G81" s="285"/>
      <c r="H81" s="285"/>
      <c r="I81" s="285"/>
      <c r="J81" s="285"/>
      <c r="K81" s="285"/>
      <c r="L81" s="285"/>
      <c r="M81" s="285"/>
      <c r="N81" s="28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55" t="s">
        <v>74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38" t="s">
        <v>75</v>
      </c>
      <c r="B85" s="239"/>
      <c r="C85" s="239"/>
      <c r="D85" s="239"/>
      <c r="E85" s="239"/>
      <c r="F85" s="240"/>
      <c r="G85" s="241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42" t="s">
        <v>76</v>
      </c>
      <c r="C86" s="243"/>
      <c r="D86" s="243"/>
      <c r="E86" s="243"/>
      <c r="F86" s="244"/>
      <c r="G86" s="24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46" t="s">
        <v>78</v>
      </c>
      <c r="B88" s="247"/>
      <c r="C88" s="247"/>
      <c r="D88" s="247"/>
      <c r="E88" s="247"/>
      <c r="F88" s="247"/>
      <c r="G88" s="247"/>
      <c r="H88" s="247"/>
      <c r="I88" s="247"/>
      <c r="J88" s="24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49" t="s">
        <v>79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52" t="s">
        <v>23</v>
      </c>
      <c r="B92" s="253"/>
      <c r="C92" s="253"/>
      <c r="D92" s="253"/>
      <c r="E92" s="253"/>
      <c r="F92" s="253"/>
      <c r="G92" s="253"/>
      <c r="H92" s="253"/>
      <c r="I92" s="253"/>
      <c r="J92" s="254"/>
      <c r="K92" s="111"/>
      <c r="L92" s="111"/>
      <c r="M92" s="112"/>
      <c r="N92" s="113">
        <f>N40</f>
        <v>18.68</v>
      </c>
    </row>
    <row r="93" spans="1:14" ht="18" x14ac:dyDescent="0.25">
      <c r="A93" s="229" t="s">
        <v>80</v>
      </c>
      <c r="B93" s="230"/>
      <c r="C93" s="230"/>
      <c r="D93" s="230"/>
      <c r="E93" s="230"/>
      <c r="F93" s="230"/>
      <c r="G93" s="230"/>
      <c r="H93" s="230"/>
      <c r="I93" s="230"/>
      <c r="J93" s="231"/>
      <c r="K93" s="111"/>
      <c r="L93" s="111"/>
      <c r="M93" s="112"/>
      <c r="N93" s="114">
        <f>N66</f>
        <v>0</v>
      </c>
    </row>
    <row r="94" spans="1:14" ht="18" x14ac:dyDescent="0.25">
      <c r="A94" s="229" t="s">
        <v>81</v>
      </c>
      <c r="B94" s="230"/>
      <c r="C94" s="230"/>
      <c r="D94" s="230"/>
      <c r="E94" s="230"/>
      <c r="F94" s="230"/>
      <c r="G94" s="230"/>
      <c r="H94" s="230"/>
      <c r="I94" s="230"/>
      <c r="J94" s="231"/>
      <c r="K94" s="111"/>
      <c r="L94" s="111"/>
      <c r="M94" s="112"/>
      <c r="N94" s="115">
        <f>N73</f>
        <v>0</v>
      </c>
    </row>
    <row r="95" spans="1:14" ht="18" x14ac:dyDescent="0.25">
      <c r="A95" s="229" t="s">
        <v>82</v>
      </c>
      <c r="B95" s="230"/>
      <c r="C95" s="230"/>
      <c r="D95" s="230"/>
      <c r="E95" s="230"/>
      <c r="F95" s="230"/>
      <c r="G95" s="230"/>
      <c r="H95" s="230"/>
      <c r="I95" s="230"/>
      <c r="J95" s="231"/>
      <c r="K95" s="111"/>
      <c r="L95" s="111"/>
      <c r="M95" s="112"/>
      <c r="N95" s="116">
        <f>N80</f>
        <v>0</v>
      </c>
    </row>
    <row r="96" spans="1:14" ht="18.75" thickBot="1" x14ac:dyDescent="0.3">
      <c r="A96" s="232" t="s">
        <v>83</v>
      </c>
      <c r="B96" s="233"/>
      <c r="C96" s="233"/>
      <c r="D96" s="233"/>
      <c r="E96" s="233"/>
      <c r="F96" s="233"/>
      <c r="G96" s="233"/>
      <c r="H96" s="233"/>
      <c r="I96" s="233"/>
      <c r="J96" s="23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35" t="s">
        <v>84</v>
      </c>
      <c r="B97" s="236"/>
      <c r="C97" s="236"/>
      <c r="D97" s="236"/>
      <c r="E97" s="236"/>
      <c r="F97" s="236"/>
      <c r="G97" s="236"/>
      <c r="H97" s="236"/>
      <c r="I97" s="236"/>
      <c r="J97" s="237"/>
      <c r="K97" s="117"/>
      <c r="L97" s="118"/>
      <c r="M97" s="119"/>
      <c r="N97" s="120">
        <f>SUM(N92:N96)</f>
        <v>18.68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NYH1oMKSytufxYzb1CVQ3emBEbGuI1AcnbCyCLz9RG2xnS3lmzkbet+JXW6GgF0bLmwL4j/BqETl3adwxHqLaQ==" saltValue="6xTcVEpmZJI3HgSW8oky6Q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15748031496062992" bottom="0.15748031496062992" header="0" footer="0"/>
  <pageSetup scale="6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8"/>
  <sheetViews>
    <sheetView workbookViewId="0">
      <selection activeCell="P3" sqref="P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2.710937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0" width="12.42578125" style="6" customWidth="1"/>
    <col min="11" max="12" width="7.7109375" style="6" customWidth="1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347"/>
      <c r="B1" s="348"/>
      <c r="C1" s="351" t="s">
        <v>9</v>
      </c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3"/>
    </row>
    <row r="2" spans="1:16" ht="51" customHeight="1" thickBot="1" x14ac:dyDescent="0.3">
      <c r="A2" s="349"/>
      <c r="B2" s="350"/>
      <c r="C2" s="351" t="s">
        <v>10</v>
      </c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3"/>
      <c r="P2" s="161">
        <f ca="1">MATCH(MID(CELL("nombrearchivo",'8'!E9),FIND("]", CELL("nombrearchivo",'8'!E9),1)+1,LEN(CELL("nombrearchivo",'8'!E9))-FIND("]",CELL("nombrearchivo",'8'!E9),1)),GENERAL!A6:A54,0)</f>
        <v>1</v>
      </c>
    </row>
    <row r="3" spans="1:16" ht="15.75" x14ac:dyDescent="0.25">
      <c r="A3" s="354" t="s">
        <v>11</v>
      </c>
      <c r="B3" s="355"/>
      <c r="C3" s="355"/>
      <c r="D3" s="355"/>
      <c r="E3" s="7" t="str">
        <f>GENERAL!Z$2</f>
        <v>PLANTA</v>
      </c>
      <c r="F3" s="356"/>
      <c r="G3" s="356"/>
      <c r="H3" s="356"/>
      <c r="I3" s="356"/>
      <c r="J3" s="356"/>
      <c r="K3" s="356"/>
      <c r="L3" s="356"/>
      <c r="M3" s="356"/>
      <c r="N3" s="357"/>
    </row>
    <row r="4" spans="1:16" ht="15.75" x14ac:dyDescent="0.25">
      <c r="A4" s="324" t="s">
        <v>12</v>
      </c>
      <c r="B4" s="325"/>
      <c r="C4" s="325"/>
      <c r="D4" s="325"/>
      <c r="E4" s="8" t="str">
        <f>GENERAL!A$2</f>
        <v>C-P-07-4</v>
      </c>
      <c r="F4" s="345"/>
      <c r="G4" s="345"/>
      <c r="H4" s="345"/>
      <c r="I4" s="345"/>
      <c r="J4" s="345"/>
      <c r="K4" s="345"/>
      <c r="L4" s="345"/>
      <c r="M4" s="345"/>
      <c r="N4" s="346"/>
    </row>
    <row r="5" spans="1:16" ht="15.75" x14ac:dyDescent="0.25">
      <c r="A5" s="324" t="s">
        <v>13</v>
      </c>
      <c r="B5" s="325"/>
      <c r="C5" s="325"/>
      <c r="D5" s="325"/>
      <c r="E5" s="8" t="str">
        <f>GENERAL!A$1</f>
        <v>CIENCIAS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55" t="s">
        <v>14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7"/>
    </row>
    <row r="8" spans="1:16" x14ac:dyDescent="0.25">
      <c r="A8" s="326" t="s">
        <v>15</v>
      </c>
      <c r="B8" s="327"/>
      <c r="C8" s="330" t="s">
        <v>16</v>
      </c>
      <c r="D8" s="15"/>
      <c r="E8" s="332" t="s">
        <v>17</v>
      </c>
      <c r="F8" s="332" t="s">
        <v>18</v>
      </c>
      <c r="G8" s="332" t="s">
        <v>19</v>
      </c>
      <c r="H8" s="332" t="s">
        <v>20</v>
      </c>
      <c r="I8" s="332" t="s">
        <v>21</v>
      </c>
      <c r="J8" s="334" t="s">
        <v>22</v>
      </c>
      <c r="K8" s="16"/>
      <c r="L8" s="336"/>
      <c r="M8" s="336"/>
      <c r="N8" s="338" t="s">
        <v>23</v>
      </c>
    </row>
    <row r="9" spans="1:16" ht="31.5" customHeight="1" thickBot="1" x14ac:dyDescent="0.3">
      <c r="A9" s="328"/>
      <c r="B9" s="329"/>
      <c r="C9" s="331"/>
      <c r="D9" s="17"/>
      <c r="E9" s="333"/>
      <c r="F9" s="333"/>
      <c r="G9" s="333"/>
      <c r="H9" s="333"/>
      <c r="I9" s="333"/>
      <c r="J9" s="335"/>
      <c r="K9" s="18"/>
      <c r="L9" s="337"/>
      <c r="M9" s="337"/>
      <c r="N9" s="339"/>
    </row>
    <row r="10" spans="1:16" ht="44.25" customHeight="1" thickBot="1" x14ac:dyDescent="0.3">
      <c r="A10" s="340" t="str">
        <f ca="1">CONCATENATE((INDIRECT("GENERAL!D"&amp;P2+5))," ",((INDIRECT("GENERAL!E"&amp;P2+5))))</f>
        <v xml:space="preserve">RODRIGUEZ PAEZ  LILIANA </v>
      </c>
      <c r="B10" s="341"/>
      <c r="C10" s="19">
        <f>N14</f>
        <v>4</v>
      </c>
      <c r="D10" s="20"/>
      <c r="E10" s="21">
        <f>N16</f>
        <v>0</v>
      </c>
      <c r="F10" s="21">
        <f>N18</f>
        <v>0</v>
      </c>
      <c r="G10" s="21">
        <f>N20</f>
        <v>6</v>
      </c>
      <c r="H10" s="21">
        <f>N27</f>
        <v>1.48</v>
      </c>
      <c r="I10" s="21">
        <f>N32</f>
        <v>4.5299999999999994</v>
      </c>
      <c r="J10" s="22">
        <f>N37</f>
        <v>1.5</v>
      </c>
      <c r="K10" s="23"/>
      <c r="L10" s="23"/>
      <c r="M10" s="23"/>
      <c r="N10" s="24">
        <f>IF( SUM(C10:J10)&lt;=30,SUM(C10:J10),"EXCEDE LOS 30 PUNTOS")</f>
        <v>17.509999999999998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342" t="s">
        <v>24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  <c r="N12" s="27" t="s">
        <v>25</v>
      </c>
    </row>
    <row r="13" spans="1:16" ht="24" thickBot="1" x14ac:dyDescent="0.3">
      <c r="A13" s="307" t="s">
        <v>26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9"/>
      <c r="M13" s="8"/>
      <c r="N13" s="26"/>
    </row>
    <row r="14" spans="1:16" ht="31.5" customHeight="1" thickBot="1" x14ac:dyDescent="0.3">
      <c r="A14" s="260" t="s">
        <v>27</v>
      </c>
      <c r="B14" s="262"/>
      <c r="C14" s="28"/>
      <c r="D14" s="310" t="str">
        <f ca="1">(INDIRECT("GENERAL!J"&amp;P2+5))</f>
        <v>LICENCIADO EN QUÍMICA/UNIVERSIDAD PEDAGOGICA NACIONAL/1998</v>
      </c>
      <c r="E14" s="311"/>
      <c r="F14" s="311"/>
      <c r="G14" s="311"/>
      <c r="H14" s="311"/>
      <c r="I14" s="311"/>
      <c r="J14" s="311"/>
      <c r="K14" s="311"/>
      <c r="L14" s="312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313" t="s">
        <v>28</v>
      </c>
      <c r="B16" s="314"/>
      <c r="C16" s="8"/>
      <c r="D16" s="34"/>
      <c r="E16" s="321" t="str">
        <f ca="1">(INDIRECT("GENERAL!K"&amp;P2+5))</f>
        <v>NO REGISTRA</v>
      </c>
      <c r="F16" s="322"/>
      <c r="G16" s="322"/>
      <c r="H16" s="322"/>
      <c r="I16" s="322"/>
      <c r="J16" s="322"/>
      <c r="K16" s="322"/>
      <c r="L16" s="323"/>
      <c r="M16" s="29"/>
      <c r="N16" s="30">
        <v>0</v>
      </c>
    </row>
    <row r="17" spans="1:19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9" ht="34.5" customHeight="1" thickBot="1" x14ac:dyDescent="0.3">
      <c r="A18" s="313" t="s">
        <v>29</v>
      </c>
      <c r="B18" s="314"/>
      <c r="C18" s="28"/>
      <c r="D18" s="35"/>
      <c r="E18" s="322" t="str">
        <f ca="1">(INDIRECT("GENERAL!L"&amp;P2+5))</f>
        <v>NO REGISTRA</v>
      </c>
      <c r="F18" s="322"/>
      <c r="G18" s="322"/>
      <c r="H18" s="322"/>
      <c r="I18" s="322"/>
      <c r="J18" s="322"/>
      <c r="K18" s="322"/>
      <c r="L18" s="323"/>
      <c r="M18" s="29"/>
      <c r="N18" s="30">
        <v>0</v>
      </c>
    </row>
    <row r="19" spans="1:19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9" ht="54" customHeight="1" thickBot="1" x14ac:dyDescent="0.3">
      <c r="A20" s="313" t="s">
        <v>30</v>
      </c>
      <c r="B20" s="314"/>
      <c r="C20" s="28"/>
      <c r="D20" s="318" t="str">
        <f ca="1">(INDIRECT("GENERAL!M"&amp;P2+5))</f>
        <v>DOCTOR EN QUÍMICA/UNIVERSIDAD DE QUIMICA (PRAGA)/2005</v>
      </c>
      <c r="E20" s="319"/>
      <c r="F20" s="319"/>
      <c r="G20" s="319"/>
      <c r="H20" s="319"/>
      <c r="I20" s="319"/>
      <c r="J20" s="319"/>
      <c r="K20" s="319"/>
      <c r="L20" s="320"/>
      <c r="M20" s="29"/>
      <c r="N20" s="30">
        <v>6</v>
      </c>
    </row>
    <row r="21" spans="1:19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9" ht="19.5" thickTop="1" thickBot="1" x14ac:dyDescent="0.3">
      <c r="A22" s="304" t="s">
        <v>31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6"/>
      <c r="M22" s="8"/>
      <c r="N22" s="160">
        <f>IF( SUM(N14:N20)&lt;=10,SUM(N14:N20),"EXCEDE LOS 10 PUNTOS VALIDOS")</f>
        <v>10</v>
      </c>
    </row>
    <row r="23" spans="1:19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9" ht="24" thickBot="1" x14ac:dyDescent="0.3">
      <c r="A24" s="307" t="s">
        <v>32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9"/>
      <c r="M24" s="8"/>
      <c r="N24" s="40"/>
    </row>
    <row r="25" spans="1:19" ht="96.75" customHeight="1" thickBot="1" x14ac:dyDescent="0.3">
      <c r="A25" s="260" t="s">
        <v>33</v>
      </c>
      <c r="B25" s="262"/>
      <c r="C25" s="28"/>
      <c r="D25" s="310" t="s">
        <v>189</v>
      </c>
      <c r="E25" s="311"/>
      <c r="F25" s="311"/>
      <c r="G25" s="311"/>
      <c r="H25" s="311"/>
      <c r="I25" s="311"/>
      <c r="J25" s="311"/>
      <c r="K25" s="311"/>
      <c r="L25" s="312"/>
      <c r="M25" s="29"/>
      <c r="N25" s="30">
        <f>0.87+0.61</f>
        <v>1.48</v>
      </c>
      <c r="P25" s="43"/>
      <c r="Q25" s="43"/>
    </row>
    <row r="26" spans="1:19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  <c r="Q26" s="6">
        <f>213/480</f>
        <v>0.44374999999999998</v>
      </c>
    </row>
    <row r="27" spans="1:19" ht="19.5" thickTop="1" thickBot="1" x14ac:dyDescent="0.3">
      <c r="A27" s="304" t="s">
        <v>34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6"/>
      <c r="M27" s="38"/>
      <c r="N27" s="160">
        <f>IF(N25&lt;=5,N25,"EXCEDE LOS 5 PUNTOS PERMITIDOS")</f>
        <v>1.48</v>
      </c>
      <c r="P27" s="43"/>
      <c r="Q27" s="43"/>
    </row>
    <row r="28" spans="1:19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9" ht="24" thickBot="1" x14ac:dyDescent="0.3">
      <c r="A29" s="307" t="s">
        <v>35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9"/>
      <c r="M29" s="45"/>
      <c r="N29" s="40"/>
      <c r="Q29" s="6">
        <f>161+52</f>
        <v>213</v>
      </c>
      <c r="S29" s="6">
        <f>0.44+0.16+0.2+0.07+0.04+0.12+0.18+0.94</f>
        <v>2.1500000000000004</v>
      </c>
    </row>
    <row r="30" spans="1:19" ht="160.5" customHeight="1" thickBot="1" x14ac:dyDescent="0.3">
      <c r="A30" s="260" t="s">
        <v>36</v>
      </c>
      <c r="B30" s="262"/>
      <c r="C30" s="28"/>
      <c r="D30" s="310" t="s">
        <v>190</v>
      </c>
      <c r="E30" s="311"/>
      <c r="F30" s="311"/>
      <c r="G30" s="311"/>
      <c r="H30" s="311"/>
      <c r="I30" s="311"/>
      <c r="J30" s="311"/>
      <c r="K30" s="311"/>
      <c r="L30" s="312"/>
      <c r="M30" s="29"/>
      <c r="N30" s="30">
        <f>0.7+0.5+0.35+0.39+0.07+0.37+2.15</f>
        <v>4.5299999999999994</v>
      </c>
    </row>
    <row r="31" spans="1:19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  <c r="Q31" s="6">
        <f>10*4</f>
        <v>40</v>
      </c>
    </row>
    <row r="32" spans="1:19" ht="19.5" thickTop="1" thickBot="1" x14ac:dyDescent="0.3">
      <c r="A32" s="304" t="s">
        <v>37</v>
      </c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6"/>
      <c r="M32" s="38"/>
      <c r="N32" s="160">
        <f>IF(N30&lt;=5,N30,"EXCEDE LOS 5 PUNTOS PERMITIDOS")</f>
        <v>4.5299999999999994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307" t="s">
        <v>38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9"/>
      <c r="M34" s="8"/>
      <c r="N34" s="40"/>
    </row>
    <row r="35" spans="1:14" ht="74.25" customHeight="1" thickBot="1" x14ac:dyDescent="0.3">
      <c r="A35" s="313" t="s">
        <v>39</v>
      </c>
      <c r="B35" s="314"/>
      <c r="C35" s="28"/>
      <c r="D35" s="310" t="s">
        <v>191</v>
      </c>
      <c r="E35" s="311"/>
      <c r="F35" s="311"/>
      <c r="G35" s="311"/>
      <c r="H35" s="311"/>
      <c r="I35" s="311"/>
      <c r="J35" s="311"/>
      <c r="K35" s="311"/>
      <c r="L35" s="312"/>
      <c r="M35" s="29"/>
      <c r="N35" s="30">
        <f>0.5+0.5+0.5</f>
        <v>1.5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304" t="s">
        <v>40</v>
      </c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38"/>
      <c r="N37" s="160">
        <f>IF(N35&lt;=10,N35,"EXCEDE LOS 10 PUNTOS PERMITIDOS")</f>
        <v>1.5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315" t="s">
        <v>23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7"/>
      <c r="M40" s="48"/>
      <c r="N40" s="49">
        <f>IF((N22+N27+N32+N37)&lt;=30,(N22+N27+N32+N37),"ERROR EXCEDE LOS 30 PUNTOS")</f>
        <v>17.509999999999998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55" t="s">
        <v>42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7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98" t="s">
        <v>43</v>
      </c>
      <c r="B57" s="299"/>
      <c r="C57" s="299"/>
      <c r="D57" s="299"/>
      <c r="E57" s="299"/>
      <c r="F57" s="302"/>
      <c r="G57" s="303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39" customHeight="1" thickTop="1" thickBot="1" x14ac:dyDescent="0.3">
      <c r="A58" s="58">
        <v>1</v>
      </c>
      <c r="B58" s="287" t="s">
        <v>49</v>
      </c>
      <c r="C58" s="287"/>
      <c r="D58" s="287"/>
      <c r="E58" s="287"/>
      <c r="F58" s="288"/>
      <c r="G58" s="288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39" customHeight="1" thickTop="1" thickBot="1" x14ac:dyDescent="0.3">
      <c r="A59" s="63">
        <v>2</v>
      </c>
      <c r="B59" s="275" t="s">
        <v>51</v>
      </c>
      <c r="C59" s="289"/>
      <c r="D59" s="289"/>
      <c r="E59" s="289"/>
      <c r="F59" s="276"/>
      <c r="G59" s="276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39" customHeight="1" thickTop="1" thickBot="1" x14ac:dyDescent="0.3">
      <c r="A60" s="63">
        <v>3</v>
      </c>
      <c r="B60" s="289" t="s">
        <v>52</v>
      </c>
      <c r="C60" s="289"/>
      <c r="D60" s="289"/>
      <c r="E60" s="289"/>
      <c r="F60" s="276"/>
      <c r="G60" s="276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39" customHeight="1" thickTop="1" thickBot="1" x14ac:dyDescent="0.3">
      <c r="A61" s="63">
        <v>4</v>
      </c>
      <c r="B61" s="289" t="s">
        <v>54</v>
      </c>
      <c r="C61" s="289"/>
      <c r="D61" s="289"/>
      <c r="E61" s="289"/>
      <c r="F61" s="276"/>
      <c r="G61" s="276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39" customHeight="1" thickTop="1" thickBot="1" x14ac:dyDescent="0.3">
      <c r="A62" s="63">
        <v>5</v>
      </c>
      <c r="B62" s="289" t="s">
        <v>55</v>
      </c>
      <c r="C62" s="289"/>
      <c r="D62" s="289"/>
      <c r="E62" s="289"/>
      <c r="F62" s="276"/>
      <c r="G62" s="276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39" customHeight="1" thickTop="1" thickBot="1" x14ac:dyDescent="0.3">
      <c r="A63" s="63">
        <v>6</v>
      </c>
      <c r="B63" s="289" t="s">
        <v>56</v>
      </c>
      <c r="C63" s="289"/>
      <c r="D63" s="289"/>
      <c r="E63" s="289"/>
      <c r="F63" s="276"/>
      <c r="G63" s="276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39" customHeight="1" thickTop="1" thickBot="1" x14ac:dyDescent="0.3">
      <c r="A64" s="67">
        <v>7</v>
      </c>
      <c r="B64" s="290" t="s">
        <v>58</v>
      </c>
      <c r="C64" s="290"/>
      <c r="D64" s="290"/>
      <c r="E64" s="290"/>
      <c r="F64" s="259"/>
      <c r="G64" s="25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91" t="s">
        <v>59</v>
      </c>
      <c r="B65" s="292"/>
      <c r="C65" s="292"/>
      <c r="D65" s="292"/>
      <c r="E65" s="292"/>
      <c r="F65" s="292"/>
      <c r="G65" s="292"/>
      <c r="H65" s="293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94" t="s">
        <v>60</v>
      </c>
      <c r="B66" s="295"/>
      <c r="C66" s="295"/>
      <c r="D66" s="295"/>
      <c r="E66" s="295"/>
      <c r="F66" s="295"/>
      <c r="G66" s="295"/>
      <c r="H66" s="295"/>
      <c r="I66" s="296"/>
      <c r="J66" s="296"/>
      <c r="K66" s="297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98" t="s">
        <v>61</v>
      </c>
      <c r="B68" s="299"/>
      <c r="C68" s="299"/>
      <c r="D68" s="299"/>
      <c r="E68" s="299"/>
      <c r="F68" s="299"/>
      <c r="G68" s="300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27.75" customHeight="1" thickTop="1" thickBot="1" x14ac:dyDescent="0.3">
      <c r="A69" s="58">
        <v>1</v>
      </c>
      <c r="B69" s="301" t="s">
        <v>62</v>
      </c>
      <c r="C69" s="301"/>
      <c r="D69" s="301"/>
      <c r="E69" s="301"/>
      <c r="F69" s="288"/>
      <c r="G69" s="288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27.75" customHeight="1" thickTop="1" thickBot="1" x14ac:dyDescent="0.3">
      <c r="A70" s="63">
        <v>2</v>
      </c>
      <c r="B70" s="275" t="s">
        <v>64</v>
      </c>
      <c r="C70" s="275"/>
      <c r="D70" s="275"/>
      <c r="E70" s="275"/>
      <c r="F70" s="276"/>
      <c r="G70" s="276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27.75" customHeight="1" thickTop="1" thickBot="1" x14ac:dyDescent="0.3">
      <c r="A71" s="67">
        <v>3</v>
      </c>
      <c r="B71" s="258" t="s">
        <v>65</v>
      </c>
      <c r="C71" s="258"/>
      <c r="D71" s="258"/>
      <c r="E71" s="258"/>
      <c r="F71" s="259"/>
      <c r="G71" s="25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60" t="s">
        <v>66</v>
      </c>
      <c r="C72" s="261"/>
      <c r="D72" s="261"/>
      <c r="E72" s="261"/>
      <c r="F72" s="261"/>
      <c r="G72" s="261"/>
      <c r="H72" s="262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63" t="s">
        <v>67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5"/>
      <c r="L73" s="82"/>
      <c r="M73" s="45"/>
      <c r="N73" s="77">
        <f>N72/3</f>
        <v>0</v>
      </c>
    </row>
    <row r="74" spans="1:14" ht="19.5" thickTop="1" thickBot="1" x14ac:dyDescent="0.3">
      <c r="A74" s="266"/>
      <c r="B74" s="267"/>
      <c r="C74" s="267"/>
      <c r="D74" s="267"/>
      <c r="E74" s="267"/>
      <c r="F74" s="267"/>
      <c r="G74" s="267"/>
      <c r="H74" s="267"/>
      <c r="I74" s="267"/>
      <c r="J74" s="268"/>
      <c r="K74" s="268"/>
      <c r="L74" s="82"/>
      <c r="M74" s="45"/>
      <c r="N74" s="92"/>
    </row>
    <row r="75" spans="1:14" ht="26.25" thickBot="1" x14ac:dyDescent="0.3">
      <c r="A75" s="269" t="s">
        <v>68</v>
      </c>
      <c r="B75" s="270"/>
      <c r="C75" s="270"/>
      <c r="D75" s="270"/>
      <c r="E75" s="270"/>
      <c r="F75" s="270"/>
      <c r="G75" s="271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36.75" customHeight="1" thickBot="1" x14ac:dyDescent="0.3">
      <c r="A76" s="95">
        <v>1</v>
      </c>
      <c r="B76" s="272" t="s">
        <v>69</v>
      </c>
      <c r="C76" s="272"/>
      <c r="D76" s="272"/>
      <c r="E76" s="272"/>
      <c r="F76" s="273"/>
      <c r="G76" s="274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36.75" customHeight="1" thickBot="1" x14ac:dyDescent="0.3">
      <c r="A77" s="63">
        <v>2</v>
      </c>
      <c r="B77" s="275" t="s">
        <v>70</v>
      </c>
      <c r="C77" s="275"/>
      <c r="D77" s="275"/>
      <c r="E77" s="275"/>
      <c r="F77" s="276"/>
      <c r="G77" s="27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36.75" customHeight="1" thickBot="1" x14ac:dyDescent="0.3">
      <c r="A78" s="67">
        <v>3</v>
      </c>
      <c r="B78" s="258" t="s">
        <v>71</v>
      </c>
      <c r="C78" s="258"/>
      <c r="D78" s="258"/>
      <c r="E78" s="258"/>
      <c r="F78" s="259"/>
      <c r="G78" s="27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79" t="s">
        <v>72</v>
      </c>
      <c r="B79" s="280"/>
      <c r="C79" s="280"/>
      <c r="D79" s="280"/>
      <c r="E79" s="280"/>
      <c r="F79" s="280"/>
      <c r="G79" s="280"/>
      <c r="H79" s="28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282" t="s">
        <v>73</v>
      </c>
      <c r="B80" s="283"/>
      <c r="C80" s="283"/>
      <c r="D80" s="283"/>
      <c r="E80" s="283"/>
      <c r="F80" s="283"/>
      <c r="G80" s="283"/>
      <c r="H80" s="283"/>
      <c r="I80" s="283"/>
      <c r="J80" s="283"/>
      <c r="K80" s="28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285"/>
      <c r="F81" s="285"/>
      <c r="G81" s="285"/>
      <c r="H81" s="285"/>
      <c r="I81" s="285"/>
      <c r="J81" s="285"/>
      <c r="K81" s="285"/>
      <c r="L81" s="285"/>
      <c r="M81" s="285"/>
      <c r="N81" s="28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55" t="s">
        <v>74</v>
      </c>
      <c r="B83" s="256"/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256"/>
      <c r="N83" s="257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238" t="s">
        <v>75</v>
      </c>
      <c r="B85" s="239"/>
      <c r="C85" s="239"/>
      <c r="D85" s="239"/>
      <c r="E85" s="239"/>
      <c r="F85" s="240"/>
      <c r="G85" s="241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242" t="s">
        <v>76</v>
      </c>
      <c r="C86" s="243"/>
      <c r="D86" s="243"/>
      <c r="E86" s="243"/>
      <c r="F86" s="244"/>
      <c r="G86" s="245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246" t="s">
        <v>78</v>
      </c>
      <c r="B88" s="247"/>
      <c r="C88" s="247"/>
      <c r="D88" s="247"/>
      <c r="E88" s="247"/>
      <c r="F88" s="247"/>
      <c r="G88" s="247"/>
      <c r="H88" s="247"/>
      <c r="I88" s="247"/>
      <c r="J88" s="248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249" t="s">
        <v>79</v>
      </c>
      <c r="B90" s="250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1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252" t="s">
        <v>23</v>
      </c>
      <c r="B92" s="253"/>
      <c r="C92" s="253"/>
      <c r="D92" s="253"/>
      <c r="E92" s="253"/>
      <c r="F92" s="253"/>
      <c r="G92" s="253"/>
      <c r="H92" s="253"/>
      <c r="I92" s="253"/>
      <c r="J92" s="254"/>
      <c r="K92" s="111"/>
      <c r="L92" s="111"/>
      <c r="M92" s="112"/>
      <c r="N92" s="113">
        <f>N40</f>
        <v>17.509999999999998</v>
      </c>
    </row>
    <row r="93" spans="1:14" ht="18" x14ac:dyDescent="0.25">
      <c r="A93" s="229" t="s">
        <v>80</v>
      </c>
      <c r="B93" s="230"/>
      <c r="C93" s="230"/>
      <c r="D93" s="230"/>
      <c r="E93" s="230"/>
      <c r="F93" s="230"/>
      <c r="G93" s="230"/>
      <c r="H93" s="230"/>
      <c r="I93" s="230"/>
      <c r="J93" s="231"/>
      <c r="K93" s="111"/>
      <c r="L93" s="111"/>
      <c r="M93" s="112"/>
      <c r="N93" s="114">
        <f>N66</f>
        <v>0</v>
      </c>
    </row>
    <row r="94" spans="1:14" ht="18" x14ac:dyDescent="0.25">
      <c r="A94" s="229" t="s">
        <v>81</v>
      </c>
      <c r="B94" s="230"/>
      <c r="C94" s="230"/>
      <c r="D94" s="230"/>
      <c r="E94" s="230"/>
      <c r="F94" s="230"/>
      <c r="G94" s="230"/>
      <c r="H94" s="230"/>
      <c r="I94" s="230"/>
      <c r="J94" s="231"/>
      <c r="K94" s="111"/>
      <c r="L94" s="111"/>
      <c r="M94" s="112"/>
      <c r="N94" s="115">
        <f>N73</f>
        <v>0</v>
      </c>
    </row>
    <row r="95" spans="1:14" ht="18" x14ac:dyDescent="0.25">
      <c r="A95" s="229" t="s">
        <v>82</v>
      </c>
      <c r="B95" s="230"/>
      <c r="C95" s="230"/>
      <c r="D95" s="230"/>
      <c r="E95" s="230"/>
      <c r="F95" s="230"/>
      <c r="G95" s="230"/>
      <c r="H95" s="230"/>
      <c r="I95" s="230"/>
      <c r="J95" s="231"/>
      <c r="K95" s="111"/>
      <c r="L95" s="111"/>
      <c r="M95" s="112"/>
      <c r="N95" s="116">
        <f>N80</f>
        <v>0</v>
      </c>
    </row>
    <row r="96" spans="1:14" ht="18.75" thickBot="1" x14ac:dyDescent="0.3">
      <c r="A96" s="232" t="s">
        <v>83</v>
      </c>
      <c r="B96" s="233"/>
      <c r="C96" s="233"/>
      <c r="D96" s="233"/>
      <c r="E96" s="233"/>
      <c r="F96" s="233"/>
      <c r="G96" s="233"/>
      <c r="H96" s="233"/>
      <c r="I96" s="233"/>
      <c r="J96" s="234"/>
      <c r="K96" s="111"/>
      <c r="L96" s="111"/>
      <c r="M96" s="112"/>
      <c r="N96" s="116">
        <f>N86</f>
        <v>0</v>
      </c>
    </row>
    <row r="97" spans="1:14" ht="24.75" thickTop="1" thickBot="1" x14ac:dyDescent="0.3">
      <c r="A97" s="235" t="s">
        <v>84</v>
      </c>
      <c r="B97" s="236"/>
      <c r="C97" s="236"/>
      <c r="D97" s="236"/>
      <c r="E97" s="236"/>
      <c r="F97" s="236"/>
      <c r="G97" s="236"/>
      <c r="H97" s="236"/>
      <c r="I97" s="236"/>
      <c r="J97" s="237"/>
      <c r="K97" s="117"/>
      <c r="L97" s="118"/>
      <c r="M97" s="119"/>
      <c r="N97" s="120">
        <f>SUM(N92:N96)</f>
        <v>17.509999999999998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juzRwxeX+JPMweVFDsNZIM0a1c43euJ/5dMheOFpAa4AfS6ZFuLCGumtvUgLu2rG1PANlwThnpzhf3FC1r7cJQ==" saltValue="cG4xQOvhUg51xoZGaZhUUA==" spinCount="100000" sheet="1" objects="1" scenarios="1" selectLockedCells="1" selectUnlockedCells="1"/>
  <mergeCells count="81">
    <mergeCell ref="A4:D4"/>
    <mergeCell ref="F4:N4"/>
    <mergeCell ref="A1:B2"/>
    <mergeCell ref="C1:N1"/>
    <mergeCell ref="C2:N2"/>
    <mergeCell ref="A3:D3"/>
    <mergeCell ref="F3:N3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14:B14"/>
    <mergeCell ref="D14:L14"/>
    <mergeCell ref="A16:B16"/>
    <mergeCell ref="E16:L16"/>
    <mergeCell ref="A18:B18"/>
    <mergeCell ref="E18:L18"/>
    <mergeCell ref="A20:B20"/>
    <mergeCell ref="D20:L20"/>
    <mergeCell ref="A22:L22"/>
    <mergeCell ref="A24:L24"/>
    <mergeCell ref="A25:B25"/>
    <mergeCell ref="D25:L25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11811023622047245" right="0.11811023622047245" top="0.15748031496062992" bottom="0.15748031496062992" header="0" footer="0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GENERAL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EVALUACIÓN DEL PERFIL</vt:lpstr>
      <vt:lpstr>INFORMACIÓN IMPORTANTE</vt:lpstr>
      <vt:lpstr>Hoja3</vt:lpstr>
      <vt:lpstr>10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2014-04-29T05:36:10Z</cp:lastPrinted>
  <dcterms:created xsi:type="dcterms:W3CDTF">2014-02-18T13:10:52Z</dcterms:created>
  <dcterms:modified xsi:type="dcterms:W3CDTF">2014-04-30T05:18:00Z</dcterms:modified>
</cp:coreProperties>
</file>